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\Desktop\Project Work\Depreciation Calc - Hopefully Final\"/>
    </mc:Choice>
  </mc:AlternateContent>
  <xr:revisionPtr revIDLastSave="0" documentId="13_ncr:1_{01BE5C21-4C9F-446F-854C-B9E78347B650}" xr6:coauthVersionLast="45" xr6:coauthVersionMax="45" xr10:uidLastSave="{00000000-0000-0000-0000-000000000000}"/>
  <bookViews>
    <workbookView xWindow="-120" yWindow="-120" windowWidth="29040" windowHeight="15840" xr2:uid="{CA26A211-4D6C-428B-BE7D-85B71303710B}"/>
  </bookViews>
  <sheets>
    <sheet name="Calculator" sheetId="1" r:id="rId1"/>
    <sheet name="P&amp;E" sheetId="9" r:id="rId2"/>
    <sheet name="Calcs" sheetId="3" r:id="rId3"/>
    <sheet name="BPI's" sheetId="2" r:id="rId4"/>
  </sheets>
  <externalReferences>
    <externalReference r:id="rId5"/>
  </externalReferences>
  <definedNames>
    <definedName name="Settlement">[1]Start!$G$11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13" i="1" l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5" i="1"/>
  <c r="M106" i="1"/>
  <c r="M107" i="1"/>
  <c r="M108" i="1"/>
  <c r="M109" i="1"/>
  <c r="M110" i="1"/>
  <c r="M111" i="1"/>
  <c r="M112" i="1"/>
  <c r="M104" i="1"/>
  <c r="M10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Q5" i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4" i="1"/>
  <c r="U4" i="1" s="1"/>
  <c r="Q48" i="1" l="1"/>
  <c r="Q49" i="1"/>
  <c r="Q56" i="1"/>
  <c r="Q47" i="1"/>
  <c r="Q46" i="1"/>
  <c r="Q65" i="1"/>
  <c r="Q55" i="1"/>
  <c r="Q63" i="1"/>
  <c r="Q57" i="1"/>
  <c r="Q64" i="1"/>
  <c r="Q54" i="1"/>
  <c r="Q75" i="1"/>
  <c r="Q74" i="1"/>
  <c r="Q73" i="1"/>
  <c r="Q62" i="1"/>
  <c r="Q72" i="1"/>
  <c r="Q71" i="1"/>
  <c r="Q52" i="1"/>
  <c r="Q44" i="1"/>
  <c r="Q60" i="1"/>
  <c r="Q70" i="1"/>
  <c r="Q53" i="1"/>
  <c r="Q45" i="1"/>
  <c r="Q61" i="1"/>
  <c r="Q42" i="1"/>
  <c r="Q51" i="1"/>
  <c r="Q67" i="1"/>
  <c r="Q59" i="1"/>
  <c r="Q69" i="1"/>
  <c r="Q43" i="1"/>
  <c r="Q50" i="1"/>
  <c r="Q66" i="1"/>
  <c r="Q58" i="1"/>
  <c r="Q68" i="1"/>
  <c r="AI30" i="1"/>
  <c r="T44" i="9" s="1"/>
  <c r="AI31" i="1"/>
  <c r="T45" i="9" s="1"/>
  <c r="G3" i="9" l="1"/>
  <c r="G2" i="9"/>
  <c r="F39" i="9"/>
  <c r="K3" i="9" l="1"/>
  <c r="L3" i="9" s="1"/>
  <c r="P30" i="9" l="1"/>
  <c r="P38" i="9"/>
  <c r="P15" i="9"/>
  <c r="P23" i="9"/>
  <c r="P17" i="9"/>
  <c r="P33" i="9"/>
  <c r="P29" i="9"/>
  <c r="P10" i="9"/>
  <c r="P31" i="9"/>
  <c r="P39" i="9"/>
  <c r="P16" i="9"/>
  <c r="P24" i="9"/>
  <c r="P32" i="9"/>
  <c r="P40" i="9"/>
  <c r="P25" i="9"/>
  <c r="P18" i="9"/>
  <c r="P34" i="9"/>
  <c r="P11" i="9"/>
  <c r="P19" i="9"/>
  <c r="P13" i="9"/>
  <c r="P21" i="9"/>
  <c r="P37" i="9"/>
  <c r="P14" i="9"/>
  <c r="P35" i="9"/>
  <c r="P12" i="9"/>
  <c r="P20" i="9"/>
  <c r="P36" i="9"/>
  <c r="P22" i="9"/>
  <c r="F24" i="9"/>
  <c r="E24" i="9"/>
  <c r="D24" i="9"/>
  <c r="I24" i="9" l="1"/>
  <c r="M24" i="9" s="1"/>
  <c r="E39" i="9"/>
  <c r="E40" i="9"/>
  <c r="J5" i="1"/>
  <c r="J6" i="1" s="1"/>
  <c r="J4" i="1"/>
  <c r="F40" i="9"/>
  <c r="C3" i="9"/>
  <c r="C4" i="9" s="1"/>
  <c r="C25" i="1" a="1"/>
  <c r="C25" i="1" s="1"/>
  <c r="E29" i="9"/>
  <c r="F29" i="9"/>
  <c r="E34" i="1"/>
  <c r="C24" i="9" s="1"/>
  <c r="E30" i="9"/>
  <c r="F30" i="9"/>
  <c r="E31" i="9"/>
  <c r="F31" i="9"/>
  <c r="E32" i="9"/>
  <c r="F32" i="9"/>
  <c r="E33" i="9"/>
  <c r="F33" i="9"/>
  <c r="E34" i="9"/>
  <c r="F34" i="9"/>
  <c r="E35" i="9"/>
  <c r="F35" i="9"/>
  <c r="E36" i="9"/>
  <c r="F36" i="9"/>
  <c r="U36" i="9"/>
  <c r="E37" i="9"/>
  <c r="F37" i="9"/>
  <c r="E38" i="9"/>
  <c r="F38" i="9"/>
  <c r="U40" i="9"/>
  <c r="F25" i="9"/>
  <c r="E25" i="9"/>
  <c r="F23" i="9"/>
  <c r="I23" i="9" s="1"/>
  <c r="F22" i="9"/>
  <c r="I22" i="9" s="1"/>
  <c r="F21" i="9"/>
  <c r="I21" i="9" s="1"/>
  <c r="F20" i="9"/>
  <c r="I20" i="9" s="1"/>
  <c r="F19" i="9"/>
  <c r="E19" i="9"/>
  <c r="F18" i="9"/>
  <c r="I18" i="9" s="1"/>
  <c r="E17" i="9"/>
  <c r="F17" i="9"/>
  <c r="F16" i="9"/>
  <c r="I16" i="9" s="1"/>
  <c r="E15" i="9"/>
  <c r="F15" i="9"/>
  <c r="E14" i="9"/>
  <c r="F14" i="9"/>
  <c r="E13" i="9"/>
  <c r="F13" i="9"/>
  <c r="F12" i="9"/>
  <c r="E12" i="9"/>
  <c r="F11" i="9"/>
  <c r="E11" i="9"/>
  <c r="F10" i="9"/>
  <c r="E10" i="9"/>
  <c r="D19" i="9"/>
  <c r="D17" i="9"/>
  <c r="D15" i="9"/>
  <c r="D14" i="9"/>
  <c r="D13" i="9"/>
  <c r="D11" i="9"/>
  <c r="D29" i="9"/>
  <c r="D30" i="9"/>
  <c r="D31" i="9"/>
  <c r="D32" i="9"/>
  <c r="D33" i="9"/>
  <c r="D34" i="9"/>
  <c r="D35" i="9"/>
  <c r="U35" i="9"/>
  <c r="D36" i="9"/>
  <c r="D37" i="9"/>
  <c r="U37" i="9"/>
  <c r="D38" i="9"/>
  <c r="D39" i="9"/>
  <c r="U39" i="9"/>
  <c r="D40" i="9"/>
  <c r="D25" i="9"/>
  <c r="D20" i="9"/>
  <c r="D21" i="9"/>
  <c r="D22" i="9"/>
  <c r="D23" i="9"/>
  <c r="U20" i="9"/>
  <c r="D18" i="9"/>
  <c r="D16" i="9"/>
  <c r="U15" i="9"/>
  <c r="U14" i="9"/>
  <c r="U13" i="9"/>
  <c r="U12" i="9"/>
  <c r="D12" i="9"/>
  <c r="U11" i="9"/>
  <c r="D10" i="9"/>
  <c r="AD13" i="1"/>
  <c r="AD16" i="1" s="1"/>
  <c r="AF13" i="1"/>
  <c r="AF16" i="1"/>
  <c r="AE13" i="1"/>
  <c r="AE16" i="1" s="1"/>
  <c r="Z13" i="1"/>
  <c r="Z16" i="1" s="1"/>
  <c r="AB13" i="1"/>
  <c r="AB16" i="1" s="1"/>
  <c r="AA13" i="1"/>
  <c r="AA16" i="1" s="1"/>
  <c r="V13" i="1"/>
  <c r="V16" i="1" s="1"/>
  <c r="X13" i="1"/>
  <c r="X16" i="1"/>
  <c r="W13" i="1"/>
  <c r="W16" i="1" s="1"/>
  <c r="AD9" i="1"/>
  <c r="AD14" i="1" s="1"/>
  <c r="AF9" i="1"/>
  <c r="AF14" i="1" s="1"/>
  <c r="AE9" i="1"/>
  <c r="AE14" i="1" s="1"/>
  <c r="Z9" i="1"/>
  <c r="Z14" i="1" s="1"/>
  <c r="AB9" i="1"/>
  <c r="AB14" i="1"/>
  <c r="AA9" i="1"/>
  <c r="AA14" i="1" s="1"/>
  <c r="V9" i="1"/>
  <c r="V14" i="1" s="1"/>
  <c r="X9" i="1"/>
  <c r="X14" i="1" s="1"/>
  <c r="W9" i="1"/>
  <c r="W14" i="1" s="1"/>
  <c r="AD12" i="1"/>
  <c r="AG12" i="1" s="1"/>
  <c r="AF12" i="1"/>
  <c r="AE12" i="1"/>
  <c r="Z12" i="1"/>
  <c r="AC12" i="1"/>
  <c r="AB12" i="1"/>
  <c r="AA12" i="1"/>
  <c r="V12" i="1"/>
  <c r="Y12" i="1" s="1"/>
  <c r="X12" i="1"/>
  <c r="W12" i="1"/>
  <c r="AD11" i="1"/>
  <c r="AG11" i="1" s="1"/>
  <c r="AF11" i="1"/>
  <c r="AE11" i="1"/>
  <c r="Z11" i="1"/>
  <c r="AC11" i="1" s="1"/>
  <c r="AB11" i="1"/>
  <c r="AA11" i="1"/>
  <c r="V11" i="1"/>
  <c r="Y11" i="1"/>
  <c r="X11" i="1"/>
  <c r="W11" i="1"/>
  <c r="AD10" i="1"/>
  <c r="AG10" i="1" s="1"/>
  <c r="AF10" i="1"/>
  <c r="AE10" i="1"/>
  <c r="Z10" i="1"/>
  <c r="AC10" i="1" s="1"/>
  <c r="AB10" i="1"/>
  <c r="AA10" i="1"/>
  <c r="V10" i="1"/>
  <c r="Y10" i="1" s="1"/>
  <c r="X10" i="1"/>
  <c r="W10" i="1"/>
  <c r="D10" i="3"/>
  <c r="E10" i="3"/>
  <c r="F10" i="3"/>
  <c r="G10" i="3"/>
  <c r="H10" i="3"/>
  <c r="I10" i="3"/>
  <c r="J10" i="3"/>
  <c r="K10" i="3"/>
  <c r="L10" i="3"/>
  <c r="M10" i="3"/>
  <c r="N10" i="3"/>
  <c r="C10" i="3"/>
  <c r="D8" i="3"/>
  <c r="E8" i="3"/>
  <c r="F8" i="3"/>
  <c r="G8" i="3"/>
  <c r="H8" i="3"/>
  <c r="I8" i="3"/>
  <c r="J8" i="3"/>
  <c r="K8" i="3"/>
  <c r="L8" i="3"/>
  <c r="M8" i="3"/>
  <c r="N8" i="3"/>
  <c r="C8" i="3"/>
  <c r="N4" i="3"/>
  <c r="N5" i="3"/>
  <c r="N6" i="3"/>
  <c r="N7" i="3"/>
  <c r="N3" i="3"/>
  <c r="J4" i="3"/>
  <c r="J5" i="3"/>
  <c r="J6" i="3"/>
  <c r="J7" i="3"/>
  <c r="J3" i="3"/>
  <c r="F4" i="3"/>
  <c r="F5" i="3"/>
  <c r="F6" i="3"/>
  <c r="F7" i="3"/>
  <c r="F3" i="3"/>
  <c r="M7" i="3"/>
  <c r="M6" i="3"/>
  <c r="M5" i="3"/>
  <c r="M4" i="3"/>
  <c r="M3" i="3"/>
  <c r="L7" i="3"/>
  <c r="L6" i="3"/>
  <c r="L5" i="3"/>
  <c r="L4" i="3"/>
  <c r="L3" i="3"/>
  <c r="K7" i="3"/>
  <c r="K6" i="3"/>
  <c r="K5" i="3"/>
  <c r="K4" i="3"/>
  <c r="K3" i="3"/>
  <c r="I7" i="3"/>
  <c r="I6" i="3"/>
  <c r="I5" i="3"/>
  <c r="I4" i="3"/>
  <c r="I3" i="3"/>
  <c r="H7" i="3"/>
  <c r="H6" i="3"/>
  <c r="H5" i="3"/>
  <c r="H4" i="3"/>
  <c r="H3" i="3"/>
  <c r="G7" i="3"/>
  <c r="G6" i="3"/>
  <c r="G5" i="3"/>
  <c r="G4" i="3"/>
  <c r="E7" i="3"/>
  <c r="E6" i="3"/>
  <c r="E5" i="3"/>
  <c r="E4" i="3"/>
  <c r="E3" i="3"/>
  <c r="C7" i="3"/>
  <c r="C6" i="3"/>
  <c r="C5" i="3"/>
  <c r="C4" i="3"/>
  <c r="C3" i="3"/>
  <c r="G3" i="3"/>
  <c r="D7" i="3"/>
  <c r="D6" i="3"/>
  <c r="D5" i="3"/>
  <c r="D4" i="3"/>
  <c r="D3" i="3"/>
  <c r="U10" i="9" l="1"/>
  <c r="U18" i="9"/>
  <c r="U17" i="9"/>
  <c r="Y9" i="1"/>
  <c r="Y14" i="1" s="1"/>
  <c r="AC9" i="1"/>
  <c r="AC14" i="1" s="1"/>
  <c r="AG9" i="1"/>
  <c r="AG14" i="1" s="1"/>
  <c r="Y13" i="1"/>
  <c r="Y16" i="1" s="1"/>
  <c r="AC13" i="1"/>
  <c r="AC16" i="1" s="1"/>
  <c r="AG13" i="1"/>
  <c r="AG16" i="1" s="1"/>
  <c r="I11" i="9"/>
  <c r="M11" i="9" s="1"/>
  <c r="U19" i="9"/>
  <c r="U21" i="9"/>
  <c r="M16" i="9"/>
  <c r="U16" i="9"/>
  <c r="U23" i="9"/>
  <c r="C30" i="9"/>
  <c r="W7" i="9"/>
  <c r="J7" i="1"/>
  <c r="C26" i="1" s="1"/>
  <c r="I17" i="9"/>
  <c r="M17" i="9" s="1"/>
  <c r="I36" i="9"/>
  <c r="M36" i="9" s="1"/>
  <c r="I14" i="9"/>
  <c r="M14" i="9" s="1"/>
  <c r="I40" i="9"/>
  <c r="M40" i="9" s="1"/>
  <c r="I12" i="9"/>
  <c r="M12" i="9" s="1"/>
  <c r="I35" i="9"/>
  <c r="M35" i="9" s="1"/>
  <c r="I33" i="9"/>
  <c r="M33" i="9" s="1"/>
  <c r="I13" i="9"/>
  <c r="M13" i="9" s="1"/>
  <c r="I34" i="9"/>
  <c r="M34" i="9" s="1"/>
  <c r="I32" i="9"/>
  <c r="M32" i="9" s="1"/>
  <c r="I37" i="9"/>
  <c r="M37" i="9" s="1"/>
  <c r="M21" i="9"/>
  <c r="M22" i="9"/>
  <c r="U22" i="9"/>
  <c r="U38" i="9"/>
  <c r="I10" i="9"/>
  <c r="M10" i="9" s="1"/>
  <c r="I19" i="9"/>
  <c r="M19" i="9" s="1"/>
  <c r="I25" i="9"/>
  <c r="M25" i="9" s="1"/>
  <c r="I29" i="9"/>
  <c r="M29" i="9" s="1"/>
  <c r="I30" i="9"/>
  <c r="M30" i="9" s="1"/>
  <c r="I15" i="9"/>
  <c r="M15" i="9" s="1"/>
  <c r="I38" i="9"/>
  <c r="M38" i="9" s="1"/>
  <c r="M18" i="9"/>
  <c r="I31" i="9"/>
  <c r="M31" i="9" s="1"/>
  <c r="I39" i="9"/>
  <c r="M39" i="9" s="1"/>
  <c r="C10" i="9"/>
  <c r="C13" i="9"/>
  <c r="C20" i="9"/>
  <c r="C15" i="9"/>
  <c r="C39" i="9"/>
  <c r="C14" i="9"/>
  <c r="C25" i="9"/>
  <c r="C38" i="9"/>
  <c r="C12" i="9"/>
  <c r="C16" i="9"/>
  <c r="C21" i="9"/>
  <c r="C34" i="9"/>
  <c r="W6" i="9"/>
  <c r="X6" i="9" s="1"/>
  <c r="Y6" i="9" s="1"/>
  <c r="C18" i="9"/>
  <c r="C23" i="9"/>
  <c r="C31" i="9"/>
  <c r="C11" i="9"/>
  <c r="C35" i="9"/>
  <c r="C32" i="9"/>
  <c r="C29" i="9"/>
  <c r="C40" i="9"/>
  <c r="C36" i="9"/>
  <c r="C17" i="9"/>
  <c r="C22" i="9"/>
  <c r="C37" i="9"/>
  <c r="C33" i="9"/>
  <c r="C19" i="9"/>
  <c r="M20" i="9"/>
  <c r="M23" i="9"/>
  <c r="U25" i="9"/>
  <c r="C28" i="1" l="1"/>
  <c r="D28" i="1"/>
  <c r="N39" i="9"/>
  <c r="V39" i="9" s="1"/>
  <c r="N24" i="9"/>
  <c r="N33" i="9"/>
  <c r="Q33" i="9" s="1"/>
  <c r="N38" i="9"/>
  <c r="V38" i="9" s="1"/>
  <c r="N32" i="9"/>
  <c r="V32" i="9" s="1"/>
  <c r="N36" i="9"/>
  <c r="V36" i="9" s="1"/>
  <c r="N22" i="9"/>
  <c r="V22" i="9" s="1"/>
  <c r="N10" i="9"/>
  <c r="V10" i="9" s="1"/>
  <c r="N29" i="9"/>
  <c r="V29" i="9" s="1"/>
  <c r="N20" i="9"/>
  <c r="V20" i="9" s="1"/>
  <c r="N18" i="9"/>
  <c r="V18" i="9" s="1"/>
  <c r="N34" i="9"/>
  <c r="V34" i="9" s="1"/>
  <c r="N11" i="9"/>
  <c r="V11" i="9" s="1"/>
  <c r="N12" i="9"/>
  <c r="V12" i="9" s="1"/>
  <c r="N31" i="9"/>
  <c r="Q31" i="9" s="1"/>
  <c r="N14" i="9"/>
  <c r="V14" i="9" s="1"/>
  <c r="N15" i="9"/>
  <c r="V15" i="9" s="1"/>
  <c r="N23" i="9"/>
  <c r="V23" i="9" s="1"/>
  <c r="N13" i="9"/>
  <c r="V13" i="9" s="1"/>
  <c r="N30" i="9"/>
  <c r="V30" i="9" s="1"/>
  <c r="N19" i="9"/>
  <c r="Q19" i="9" s="1"/>
  <c r="N25" i="9"/>
  <c r="V25" i="9" s="1"/>
  <c r="N40" i="9"/>
  <c r="V40" i="9" s="1"/>
  <c r="N21" i="9"/>
  <c r="V21" i="9" s="1"/>
  <c r="N37" i="9"/>
  <c r="V37" i="9" s="1"/>
  <c r="N16" i="9"/>
  <c r="V16" i="9" s="1"/>
  <c r="N17" i="9"/>
  <c r="V17" i="9" s="1"/>
  <c r="N35" i="9"/>
  <c r="V35" i="9" s="1"/>
  <c r="X7" i="9"/>
  <c r="K31" i="9" l="1"/>
  <c r="A31" i="9"/>
  <c r="W31" i="9" s="1"/>
  <c r="X31" i="9" s="1"/>
  <c r="Y31" i="9" s="1"/>
  <c r="K33" i="9"/>
  <c r="A33" i="9"/>
  <c r="W33" i="9" s="1"/>
  <c r="X33" i="9" s="1"/>
  <c r="A19" i="9"/>
  <c r="W19" i="9" s="1"/>
  <c r="X19" i="9" s="1"/>
  <c r="V33" i="9"/>
  <c r="Q20" i="9"/>
  <c r="Q39" i="9"/>
  <c r="Q24" i="9"/>
  <c r="V24" i="9"/>
  <c r="V31" i="9"/>
  <c r="Q32" i="9"/>
  <c r="Q29" i="9"/>
  <c r="Q14" i="9"/>
  <c r="Q36" i="9"/>
  <c r="Q18" i="9"/>
  <c r="Q23" i="9"/>
  <c r="Q30" i="9"/>
  <c r="E48" i="1"/>
  <c r="Q11" i="9"/>
  <c r="V19" i="9"/>
  <c r="Q38" i="9"/>
  <c r="Q10" i="9"/>
  <c r="Q25" i="9"/>
  <c r="Q12" i="9"/>
  <c r="A12" i="9" s="1"/>
  <c r="Q17" i="9"/>
  <c r="Q37" i="9"/>
  <c r="Q34" i="9"/>
  <c r="Q15" i="9"/>
  <c r="Q22" i="9"/>
  <c r="Q13" i="9"/>
  <c r="Q16" i="9"/>
  <c r="Q40" i="9"/>
  <c r="Q21" i="9"/>
  <c r="Q35" i="9"/>
  <c r="O19" i="9"/>
  <c r="K19" i="9"/>
  <c r="O31" i="9"/>
  <c r="Z6" i="9"/>
  <c r="Y7" i="9"/>
  <c r="E40" i="1"/>
  <c r="E41" i="1"/>
  <c r="E42" i="1"/>
  <c r="E43" i="1"/>
  <c r="E39" i="1"/>
  <c r="E55" i="1" l="1"/>
  <c r="K38" i="9"/>
  <c r="A38" i="9"/>
  <c r="W38" i="9" s="1"/>
  <c r="X38" i="9" s="1"/>
  <c r="Y38" i="9" s="1"/>
  <c r="A36" i="9"/>
  <c r="W36" i="9" s="1"/>
  <c r="K34" i="9"/>
  <c r="A34" i="9"/>
  <c r="W34" i="9" s="1"/>
  <c r="X34" i="9" s="1"/>
  <c r="K39" i="9"/>
  <c r="A39" i="9"/>
  <c r="W39" i="9" s="1"/>
  <c r="X39" i="9" s="1"/>
  <c r="A37" i="9"/>
  <c r="W37" i="9" s="1"/>
  <c r="O30" i="9"/>
  <c r="A30" i="9"/>
  <c r="W30" i="9" s="1"/>
  <c r="X30" i="9" s="1"/>
  <c r="Y30" i="9" s="1"/>
  <c r="A35" i="9"/>
  <c r="W35" i="9" s="1"/>
  <c r="A40" i="9"/>
  <c r="W40" i="9" s="1"/>
  <c r="K32" i="9"/>
  <c r="A32" i="9"/>
  <c r="W32" i="9" s="1"/>
  <c r="X32" i="9" s="1"/>
  <c r="Y32" i="9" s="1"/>
  <c r="A29" i="9"/>
  <c r="W29" i="9" s="1"/>
  <c r="O21" i="9"/>
  <c r="A21" i="9"/>
  <c r="W21" i="9" s="1"/>
  <c r="X21" i="9" s="1"/>
  <c r="K17" i="9"/>
  <c r="A17" i="9"/>
  <c r="W17" i="9" s="1"/>
  <c r="X17" i="9" s="1"/>
  <c r="Y17" i="9" s="1"/>
  <c r="O23" i="9"/>
  <c r="A23" i="9"/>
  <c r="W23" i="9" s="1"/>
  <c r="X23" i="9" s="1"/>
  <c r="K20" i="9"/>
  <c r="A20" i="9"/>
  <c r="W20" i="9" s="1"/>
  <c r="X20" i="9" s="1"/>
  <c r="Y20" i="9" s="1"/>
  <c r="O25" i="9"/>
  <c r="A25" i="9"/>
  <c r="W25" i="9" s="1"/>
  <c r="X25" i="9" s="1"/>
  <c r="A18" i="9"/>
  <c r="W18" i="9" s="1"/>
  <c r="Y19" i="9"/>
  <c r="Z19" i="9" s="1"/>
  <c r="O16" i="9"/>
  <c r="A16" i="9"/>
  <c r="W16" i="9" s="1"/>
  <c r="X16" i="9" s="1"/>
  <c r="O13" i="9"/>
  <c r="A13" i="9"/>
  <c r="W13" i="9" s="1"/>
  <c r="X13" i="9" s="1"/>
  <c r="K22" i="9"/>
  <c r="A22" i="9"/>
  <c r="W22" i="9" s="1"/>
  <c r="X22" i="9" s="1"/>
  <c r="Y22" i="9" s="1"/>
  <c r="O24" i="9"/>
  <c r="A24" i="9"/>
  <c r="W24" i="9" s="1"/>
  <c r="O15" i="9"/>
  <c r="A15" i="9"/>
  <c r="W15" i="9" s="1"/>
  <c r="X15" i="9" s="1"/>
  <c r="Y15" i="9" s="1"/>
  <c r="A14" i="9"/>
  <c r="W14" i="9" s="1"/>
  <c r="X14" i="9" s="1"/>
  <c r="O11" i="9"/>
  <c r="A11" i="9"/>
  <c r="W11" i="9" s="1"/>
  <c r="X11" i="9" s="1"/>
  <c r="K10" i="9"/>
  <c r="A10" i="9"/>
  <c r="W10" i="9" s="1"/>
  <c r="O12" i="9"/>
  <c r="O29" i="9"/>
  <c r="K29" i="9"/>
  <c r="O20" i="9"/>
  <c r="K36" i="9"/>
  <c r="K23" i="9"/>
  <c r="O32" i="9"/>
  <c r="E46" i="1"/>
  <c r="E53" i="1" s="1"/>
  <c r="E49" i="1"/>
  <c r="E56" i="1" s="1"/>
  <c r="E47" i="1"/>
  <c r="E54" i="1" s="1"/>
  <c r="E50" i="1"/>
  <c r="E57" i="1" s="1"/>
  <c r="K24" i="9"/>
  <c r="K11" i="9"/>
  <c r="O14" i="9"/>
  <c r="K14" i="9"/>
  <c r="K30" i="9"/>
  <c r="K18" i="9"/>
  <c r="O18" i="9"/>
  <c r="K25" i="9"/>
  <c r="K40" i="9"/>
  <c r="O10" i="9"/>
  <c r="K12" i="9"/>
  <c r="W12" i="9"/>
  <c r="X12" i="9" s="1"/>
  <c r="K15" i="9"/>
  <c r="K13" i="9"/>
  <c r="O17" i="9"/>
  <c r="K37" i="9"/>
  <c r="O22" i="9"/>
  <c r="K35" i="9"/>
  <c r="K21" i="9"/>
  <c r="K16" i="9"/>
  <c r="Z31" i="9"/>
  <c r="AA6" i="9"/>
  <c r="Z7" i="9"/>
  <c r="Y33" i="9"/>
  <c r="Z33" i="9" s="1"/>
  <c r="X40" i="9" l="1"/>
  <c r="Y40" i="9" s="1"/>
  <c r="Z40" i="9" s="1"/>
  <c r="AA40" i="9" s="1"/>
  <c r="AB40" i="9" s="1"/>
  <c r="X35" i="9"/>
  <c r="Y35" i="9" s="1"/>
  <c r="X37" i="9"/>
  <c r="Y37" i="9" s="1"/>
  <c r="X36" i="9"/>
  <c r="Y36" i="9" s="1"/>
  <c r="Z36" i="9" s="1"/>
  <c r="X29" i="9"/>
  <c r="Y29" i="9" s="1"/>
  <c r="Z29" i="9" s="1"/>
  <c r="AA29" i="9" s="1"/>
  <c r="AB29" i="9" s="1"/>
  <c r="X18" i="9"/>
  <c r="Y18" i="9" s="1"/>
  <c r="Z18" i="9" s="1"/>
  <c r="AA18" i="9" s="1"/>
  <c r="AB18" i="9" s="1"/>
  <c r="Y14" i="9"/>
  <c r="Z14" i="9" s="1"/>
  <c r="W41" i="9"/>
  <c r="X10" i="9"/>
  <c r="Y39" i="9"/>
  <c r="Z39" i="9" s="1"/>
  <c r="Z38" i="9"/>
  <c r="AA38" i="9" s="1"/>
  <c r="AB38" i="9" s="1"/>
  <c r="Z32" i="9"/>
  <c r="AA32" i="9" s="1"/>
  <c r="AB32" i="9" s="1"/>
  <c r="Y25" i="9"/>
  <c r="Z25" i="9" s="1"/>
  <c r="Y11" i="9"/>
  <c r="Z11" i="9" s="1"/>
  <c r="X24" i="9"/>
  <c r="Y24" i="9" s="1"/>
  <c r="Z22" i="9"/>
  <c r="AA22" i="9" s="1"/>
  <c r="AB22" i="9" s="1"/>
  <c r="Y12" i="9"/>
  <c r="Z12" i="9" s="1"/>
  <c r="Y16" i="9"/>
  <c r="Z16" i="9" s="1"/>
  <c r="AA16" i="9" s="1"/>
  <c r="AB16" i="9" s="1"/>
  <c r="Y21" i="9"/>
  <c r="Z21" i="9" s="1"/>
  <c r="AA21" i="9" s="1"/>
  <c r="AB21" i="9" s="1"/>
  <c r="Z17" i="9"/>
  <c r="AA17" i="9" s="1"/>
  <c r="AB17" i="9" s="1"/>
  <c r="Y34" i="9"/>
  <c r="Z34" i="9" s="1"/>
  <c r="Y13" i="9"/>
  <c r="AA31" i="9"/>
  <c r="AB31" i="9" s="1"/>
  <c r="AA19" i="9"/>
  <c r="AB19" i="9" s="1"/>
  <c r="AA7" i="9"/>
  <c r="Z30" i="9"/>
  <c r="AA30" i="9" s="1"/>
  <c r="Y23" i="9"/>
  <c r="Z23" i="9" s="1"/>
  <c r="AA33" i="9"/>
  <c r="AB33" i="9" s="1"/>
  <c r="Z15" i="9"/>
  <c r="AA15" i="9" s="1"/>
  <c r="Z20" i="9"/>
  <c r="Z35" i="9" l="1"/>
  <c r="AA35" i="9" s="1"/>
  <c r="AB35" i="9" s="1"/>
  <c r="AA36" i="9"/>
  <c r="AB36" i="9" s="1"/>
  <c r="AA14" i="9"/>
  <c r="AB14" i="9" s="1"/>
  <c r="Z37" i="9"/>
  <c r="AA37" i="9" s="1"/>
  <c r="AB37" i="9" s="1"/>
  <c r="X41" i="9"/>
  <c r="D40" i="1" s="1"/>
  <c r="D39" i="1"/>
  <c r="Y10" i="9"/>
  <c r="AA25" i="9"/>
  <c r="AB25" i="9" s="1"/>
  <c r="AA11" i="9"/>
  <c r="AB11" i="9" s="1"/>
  <c r="Z24" i="9"/>
  <c r="AA24" i="9" s="1"/>
  <c r="AA34" i="9"/>
  <c r="AB34" i="9" s="1"/>
  <c r="Z13" i="9"/>
  <c r="AB30" i="9"/>
  <c r="AA23" i="9"/>
  <c r="AB23" i="9" s="1"/>
  <c r="AB15" i="9"/>
  <c r="AA20" i="9"/>
  <c r="AB20" i="9" s="1"/>
  <c r="AA39" i="9"/>
  <c r="AB39" i="9" s="1"/>
  <c r="AA12" i="9"/>
  <c r="F40" i="1" l="1"/>
  <c r="F39" i="1"/>
  <c r="Y41" i="9"/>
  <c r="D41" i="1" s="1"/>
  <c r="Z41" i="9"/>
  <c r="D46" i="1"/>
  <c r="F46" i="1" s="1"/>
  <c r="Z10" i="9"/>
  <c r="D47" i="1"/>
  <c r="F47" i="1" s="1"/>
  <c r="AB24" i="9"/>
  <c r="AA13" i="9"/>
  <c r="AC29" i="9"/>
  <c r="AB12" i="9"/>
  <c r="F54" i="1" l="1"/>
  <c r="F53" i="1"/>
  <c r="D54" i="1"/>
  <c r="D53" i="1"/>
  <c r="F41" i="1"/>
  <c r="D42" i="1"/>
  <c r="D48" i="1"/>
  <c r="F48" i="1" s="1"/>
  <c r="AA10" i="9"/>
  <c r="AA41" i="9" s="1"/>
  <c r="AB13" i="9"/>
  <c r="F55" i="1" l="1"/>
  <c r="D55" i="1"/>
  <c r="F42" i="1"/>
  <c r="AB41" i="9"/>
  <c r="AB10" i="9"/>
  <c r="AC10" i="9" s="1"/>
  <c r="D43" i="1"/>
  <c r="D49" i="1"/>
  <c r="F49" i="1" s="1"/>
  <c r="F56" i="1" l="1"/>
  <c r="D56" i="1"/>
  <c r="F43" i="1"/>
  <c r="D50" i="1"/>
  <c r="F50" i="1" s="1"/>
  <c r="F57" i="1" l="1"/>
  <c r="D5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X7" authorId="0" shapeId="0" xr:uid="{BEFBE9AA-CDBE-411A-8F4D-716CBF3D6A3E}">
      <text>
        <r>
          <rPr>
            <b/>
            <sz val="9"/>
            <color indexed="81"/>
            <rFont val="Tahoma"/>
            <family val="2"/>
          </rPr>
          <t>Source: http://www.mrexcel.com/forum/excel-questions/568505-set-cell-first-day-financial-year.html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0" authorId="0" shapeId="0" xr:uid="{BEB992E4-6D3A-43E1-97CD-A165C685627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checks to see if it's individually able to pool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<sst xmlns="http://schemas.openxmlformats.org/spreadsheetml/2006/main" count="428" uniqueCount="139">
  <si>
    <t>BPI Date - This comes from the Department of Commerce - Checkl Subscription Status</t>
  </si>
  <si>
    <t>Month Index</t>
  </si>
  <si>
    <t>Estimated Year Of Construction</t>
  </si>
  <si>
    <t>Unit</t>
  </si>
  <si>
    <t>Townhouse</t>
  </si>
  <si>
    <t>House</t>
  </si>
  <si>
    <t>Granny Flat</t>
  </si>
  <si>
    <t>Nearest Major City</t>
  </si>
  <si>
    <t>Low</t>
  </si>
  <si>
    <t>Medium</t>
  </si>
  <si>
    <t>High</t>
  </si>
  <si>
    <t>1986 Or Earlier</t>
  </si>
  <si>
    <t>Yes</t>
  </si>
  <si>
    <t>No</t>
  </si>
  <si>
    <t>Sydney</t>
  </si>
  <si>
    <t>Adelaide</t>
  </si>
  <si>
    <t>Melbourne</t>
  </si>
  <si>
    <t>Brisbane</t>
  </si>
  <si>
    <t>Darwin</t>
  </si>
  <si>
    <t>Hobart</t>
  </si>
  <si>
    <t>Perth</t>
  </si>
  <si>
    <t>Canberra</t>
  </si>
  <si>
    <t>Yearly Average Table</t>
  </si>
  <si>
    <t>Average BPI</t>
  </si>
  <si>
    <t>Current Month/Year</t>
  </si>
  <si>
    <t>Todays BPI</t>
  </si>
  <si>
    <t>BPI Construction 
Write Down %</t>
  </si>
  <si>
    <t>Year Of Construction BPI</t>
  </si>
  <si>
    <t>Low Quality</t>
  </si>
  <si>
    <t>Medium Quality</t>
  </si>
  <si>
    <t>High Quality</t>
  </si>
  <si>
    <t>Residential Property Construction Cost Calculator</t>
  </si>
  <si>
    <t>Sqare Metre Rate</t>
  </si>
  <si>
    <t>Estimated Construction Cost</t>
  </si>
  <si>
    <t>Property</t>
  </si>
  <si>
    <t>Property Type / Quality Of Finish</t>
  </si>
  <si>
    <t>House - Low Quality</t>
  </si>
  <si>
    <t>Granny Flat - Low Quality</t>
  </si>
  <si>
    <t>House - Medium Quality</t>
  </si>
  <si>
    <t>Unit - Medium Quality</t>
  </si>
  <si>
    <t>Townhouse - Medium Quality</t>
  </si>
  <si>
    <t>Granny Flat - Medium Quality</t>
  </si>
  <si>
    <t>House - High Quality</t>
  </si>
  <si>
    <t>Unit - High Quality</t>
  </si>
  <si>
    <t>Townhouse - High Quality</t>
  </si>
  <si>
    <t>Granny Flat - High Quality</t>
  </si>
  <si>
    <t>Unit - Low Quality</t>
  </si>
  <si>
    <t>Townhouse - Low Quality</t>
  </si>
  <si>
    <t>House -Low Quality</t>
  </si>
  <si>
    <t>City</t>
  </si>
  <si>
    <t>Rate</t>
  </si>
  <si>
    <t>Approximate Internal Floor Area (m2)</t>
  </si>
  <si>
    <t>MIN</t>
  </si>
  <si>
    <t>MAX</t>
  </si>
  <si>
    <t>Total number of units in development</t>
  </si>
  <si>
    <t>number of levels in development (Include basement carparks)</t>
  </si>
  <si>
    <t>Year of Purchase</t>
  </si>
  <si>
    <t>Was the property purchased brand new?</t>
  </si>
  <si>
    <t xml:space="preserve">DEPRECIATION FROM HERE DOWN </t>
  </si>
  <si>
    <t>(METHOD 1 - Advanced, would use a basic P&amp;E table with life rates to ascertain div40)</t>
  </si>
  <si>
    <t>No. of assets</t>
  </si>
  <si>
    <t>Qty</t>
  </si>
  <si>
    <t>Effective Life</t>
  </si>
  <si>
    <t>Asset</t>
  </si>
  <si>
    <t>Settlement Date</t>
  </si>
  <si>
    <t>Cost (per sqm/item)</t>
  </si>
  <si>
    <t>Use Exact Cost  (Y/N)</t>
  </si>
  <si>
    <t>Raw Sum for Calcs</t>
  </si>
  <si>
    <t>Expend</t>
  </si>
  <si>
    <t>Pooling Test</t>
  </si>
  <si>
    <t>prelims &amp; cons</t>
  </si>
  <si>
    <t>cost inc prelims</t>
  </si>
  <si>
    <t>BPI Write Down</t>
  </si>
  <si>
    <t>Individual Asset Value</t>
  </si>
  <si>
    <t>% of value left</t>
  </si>
  <si>
    <t>End Value</t>
  </si>
  <si>
    <t>% of full year</t>
  </si>
  <si>
    <t>Report Split %</t>
  </si>
  <si>
    <t>Diminishing Dep Rate</t>
  </si>
  <si>
    <t>Prime Cost Dep Rate</t>
  </si>
  <si>
    <t>Raw Cost with Prelims for Write down</t>
  </si>
  <si>
    <t>Y</t>
  </si>
  <si>
    <t>Unit Specific</t>
  </si>
  <si>
    <t>Floor Coverings - Carpet</t>
  </si>
  <si>
    <t>N</t>
  </si>
  <si>
    <t>Floor Coverings - Floating Timber Floors</t>
  </si>
  <si>
    <t>Bathroom Assets - Freestanding Accessories</t>
  </si>
  <si>
    <t>Exhaust Fans (inc. Light &amp; Heating)</t>
  </si>
  <si>
    <t>Ceiling Fans</t>
  </si>
  <si>
    <t>Door Closers</t>
  </si>
  <si>
    <t>Smoke &amp; Heat Alarms</t>
  </si>
  <si>
    <t>Intercom System Assets</t>
  </si>
  <si>
    <t>Window Blinds, Internal</t>
  </si>
  <si>
    <t>Air Conditioning Assets - Packaged Unit</t>
  </si>
  <si>
    <t>? Of value left</t>
  </si>
  <si>
    <t>IF(Start!$G$21&gt;1,"100%",Start!$G$21)</t>
  </si>
  <si>
    <t>Residential</t>
  </si>
  <si>
    <t>Allow Pooling</t>
  </si>
  <si>
    <t>Number of decimals to round to</t>
  </si>
  <si>
    <t>Diminishing Method</t>
  </si>
  <si>
    <t>Fin Yr Start</t>
  </si>
  <si>
    <t>Fin Yr Finish</t>
  </si>
  <si>
    <t>Light Shades</t>
  </si>
  <si>
    <t>Aircon Split System</t>
  </si>
  <si>
    <t>Hot Water Systems</t>
  </si>
  <si>
    <t>Kitchen Assets - Ovens</t>
  </si>
  <si>
    <t>Kitchen Assets - Cooktops</t>
  </si>
  <si>
    <t>Kitchen Assets - Rangehoods</t>
  </si>
  <si>
    <t>Kitchen Assets - Dishwashers</t>
  </si>
  <si>
    <t>TOTALS</t>
  </si>
  <si>
    <t>GRAND TOTAL</t>
  </si>
  <si>
    <t>Emergency Warning &amp; Intercommunication Systems (EWIS)</t>
  </si>
  <si>
    <t>Fire Control Assets - Fire Alarm Bells</t>
  </si>
  <si>
    <t>Fire Control Assets - Fire Booster Pumps</t>
  </si>
  <si>
    <t>Fire Control Assets - Fire Detection Alarms</t>
  </si>
  <si>
    <t>Fire Control Assets - Fire Extinguishers</t>
  </si>
  <si>
    <t>Fire Control Assets - Fire Hoses &amp; Nozzles</t>
  </si>
  <si>
    <t>Fire Control Assets - Fire Indicator Panels</t>
  </si>
  <si>
    <t>Lifts</t>
  </si>
  <si>
    <t>MATV Assets</t>
  </si>
  <si>
    <t>Units</t>
  </si>
  <si>
    <t>UE</t>
  </si>
  <si>
    <t>UE %</t>
  </si>
  <si>
    <t>MINIMUM</t>
  </si>
  <si>
    <t>P/E</t>
  </si>
  <si>
    <t>MAXIMUM</t>
  </si>
  <si>
    <t>YEAR</t>
  </si>
  <si>
    <t>DIV 43</t>
  </si>
  <si>
    <t>TOTAL</t>
  </si>
  <si>
    <t>Purchase Year:</t>
  </si>
  <si>
    <t>Construction Year:</t>
  </si>
  <si>
    <t>P&amp;E Multiplier</t>
  </si>
  <si>
    <t>Is it 2017 or later?</t>
  </si>
  <si>
    <t>Is it New?</t>
  </si>
  <si>
    <t>Year 1</t>
  </si>
  <si>
    <t>Year 2</t>
  </si>
  <si>
    <t>Year 3</t>
  </si>
  <si>
    <t>Year 4</t>
  </si>
  <si>
    <t>Year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</si>
</sst>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&quot;$&quot;#,##0.00"/>
    <numFmt numFmtId="166" formatCode="d/mm/yy;@"/>
    <numFmt numFmtId="167" formatCode="0.0000"/>
    <numFmt numFmtId="168" formatCode="[$-C09]dd\-mmm\-yy;@"/>
    <numFmt numFmtId="169" formatCode="&quot;$&quot;#,##0"/>
    <numFmt numFmtId="170" formatCode="&quot;$&quot;#,##0;[Red]&quot;$&quot;#,##0"/>
  </numFmts>
  <fonts count="23">
    <font>
      <sz val="11"/>
      <color theme="1"/>
      <name val="Calibri"/>
      <family val="2"/>
      <scheme val="minor"/>
    </font>
    <font>
      <sz val="10"/>
      <name val="Geneva"/>
    </font>
    <font>
      <sz val="10"/>
      <name val="Nixie One"/>
      <family val="3"/>
    </font>
    <font>
      <b/>
      <sz val="10"/>
      <name val="Geneva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2"/>
      <name val="Nixie One"/>
      <family val="3"/>
    </font>
    <font>
      <sz val="12"/>
      <name val="Nixie One"/>
      <family val="3"/>
    </font>
    <font>
      <b/>
      <sz val="12"/>
      <color theme="0"/>
      <name val="Nixie One"/>
      <family val="3"/>
    </font>
    <font>
      <sz val="12"/>
      <color theme="0"/>
      <name val="Nixie One"/>
      <family val="3"/>
    </font>
    <font>
      <sz val="12"/>
      <color rgb="FF006100"/>
      <name val="Nixie One"/>
      <family val="3"/>
    </font>
    <font>
      <b/>
      <sz val="12"/>
      <color rgb="FF006100"/>
      <name val="Nixie One"/>
      <family val="3"/>
    </font>
    <font>
      <b/>
      <sz val="13"/>
      <color theme="0"/>
      <name val="Nixie One"/>
      <family val="3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Nixie One"/>
      <family val="3"/>
    </font>
    <font>
      <sz val="12"/>
      <color theme="1"/>
      <name val="Nixie One"/>
      <family val="3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62970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66B01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0" fontId="8" fillId="6" borderId="0" applyNumberFormat="0" applyBorder="0" applyAlignment="0" applyProtection="0"/>
    <xf numFmtId="0" fontId="9" fillId="0" borderId="0"/>
  </cellStyleXfs>
  <cellXfs count="116">
    <xf numFmtId="0" fontId="0" fillId="0" borderId="0" xfId="0"/>
    <xf numFmtId="3" fontId="2" fillId="2" borderId="0" xfId="1" applyNumberFormat="1" applyFont="1" applyFill="1"/>
    <xf numFmtId="0" fontId="3" fillId="0" borderId="0" xfId="0" applyFont="1" applyAlignment="1">
      <alignment horizontal="center" wrapText="1"/>
    </xf>
    <xf numFmtId="17" fontId="0" fillId="0" borderId="0" xfId="0" applyNumberFormat="1"/>
    <xf numFmtId="164" fontId="3" fillId="0" borderId="0" xfId="0" applyNumberFormat="1" applyFont="1" applyAlignment="1">
      <alignment horizontal="center"/>
    </xf>
    <xf numFmtId="164" fontId="0" fillId="0" borderId="0" xfId="0" applyNumberFormat="1"/>
    <xf numFmtId="1" fontId="0" fillId="0" borderId="1" xfId="0" applyNumberFormat="1" applyBorder="1"/>
    <xf numFmtId="14" fontId="0" fillId="0" borderId="0" xfId="0" applyNumberFormat="1"/>
    <xf numFmtId="0" fontId="0" fillId="0" borderId="0" xfId="0" applyAlignment="1">
      <alignment wrapText="1"/>
    </xf>
    <xf numFmtId="0" fontId="0" fillId="0" borderId="2" xfId="0" applyBorder="1"/>
    <xf numFmtId="0" fontId="0" fillId="3" borderId="0" xfId="0" applyFill="1"/>
    <xf numFmtId="0" fontId="0" fillId="3" borderId="2" xfId="0" applyFill="1" applyBorder="1"/>
    <xf numFmtId="1" fontId="0" fillId="0" borderId="5" xfId="0" applyNumberFormat="1" applyBorder="1"/>
    <xf numFmtId="1" fontId="0" fillId="0" borderId="4" xfId="0" applyNumberFormat="1" applyBorder="1"/>
    <xf numFmtId="1" fontId="0" fillId="0" borderId="6" xfId="0" applyNumberFormat="1" applyBorder="1"/>
    <xf numFmtId="1" fontId="0" fillId="3" borderId="6" xfId="0" applyNumberFormat="1" applyFill="1" applyBorder="1"/>
    <xf numFmtId="1" fontId="0" fillId="3" borderId="1" xfId="0" applyNumberFormat="1" applyFill="1" applyBorder="1"/>
    <xf numFmtId="0" fontId="0" fillId="4" borderId="0" xfId="0" applyFill="1"/>
    <xf numFmtId="0" fontId="7" fillId="5" borderId="0" xfId="0" applyFont="1" applyFill="1"/>
    <xf numFmtId="0" fontId="0" fillId="5" borderId="0" xfId="0" applyFill="1"/>
    <xf numFmtId="0" fontId="0" fillId="5" borderId="7" xfId="0" applyFill="1" applyBorder="1"/>
    <xf numFmtId="165" fontId="0" fillId="5" borderId="7" xfId="0" applyNumberFormat="1" applyFill="1" applyBorder="1"/>
    <xf numFmtId="165" fontId="0" fillId="5" borderId="0" xfId="0" applyNumberFormat="1" applyFill="1"/>
    <xf numFmtId="9" fontId="10" fillId="7" borderId="8" xfId="3" applyNumberFormat="1" applyFont="1" applyFill="1" applyBorder="1" applyAlignment="1">
      <alignment horizontal="center" vertical="center" wrapText="1"/>
    </xf>
    <xf numFmtId="0" fontId="10" fillId="7" borderId="4" xfId="3" applyFont="1" applyFill="1" applyBorder="1" applyAlignment="1">
      <alignment horizontal="center" vertical="center" wrapText="1"/>
    </xf>
    <xf numFmtId="0" fontId="11" fillId="7" borderId="4" xfId="3" applyFont="1" applyFill="1" applyBorder="1" applyAlignment="1">
      <alignment horizontal="center" vertical="center" wrapText="1"/>
    </xf>
    <xf numFmtId="0" fontId="12" fillId="8" borderId="1" xfId="3" applyFont="1" applyFill="1" applyBorder="1" applyAlignment="1">
      <alignment horizontal="center" vertical="center"/>
    </xf>
    <xf numFmtId="0" fontId="12" fillId="8" borderId="6" xfId="3" applyFont="1" applyFill="1" applyBorder="1" applyAlignment="1">
      <alignment horizontal="left"/>
    </xf>
    <xf numFmtId="0" fontId="12" fillId="8" borderId="1" xfId="3" applyFont="1" applyFill="1" applyBorder="1" applyAlignment="1">
      <alignment horizontal="center" vertical="center" wrapText="1"/>
    </xf>
    <xf numFmtId="0" fontId="12" fillId="8" borderId="9" xfId="3" applyFont="1" applyFill="1" applyBorder="1" applyAlignment="1">
      <alignment horizontal="center" vertical="center" wrapText="1"/>
    </xf>
    <xf numFmtId="1" fontId="12" fillId="8" borderId="1" xfId="3" applyNumberFormat="1" applyFont="1" applyFill="1" applyBorder="1" applyAlignment="1">
      <alignment horizontal="center"/>
    </xf>
    <xf numFmtId="0" fontId="11" fillId="0" borderId="6" xfId="3" applyFont="1" applyBorder="1" applyAlignment="1">
      <alignment horizontal="left"/>
    </xf>
    <xf numFmtId="166" fontId="13" fillId="8" borderId="1" xfId="3" applyNumberFormat="1" applyFont="1" applyFill="1" applyBorder="1" applyAlignment="1">
      <alignment horizontal="right"/>
    </xf>
    <xf numFmtId="0" fontId="11" fillId="0" borderId="1" xfId="3" applyFont="1" applyBorder="1" applyAlignment="1">
      <alignment horizontal="right"/>
    </xf>
    <xf numFmtId="1" fontId="11" fillId="9" borderId="1" xfId="3" applyNumberFormat="1" applyFont="1" applyFill="1" applyBorder="1" applyAlignment="1">
      <alignment horizontal="right"/>
    </xf>
    <xf numFmtId="1" fontId="11" fillId="0" borderId="1" xfId="3" applyNumberFormat="1" applyFont="1" applyBorder="1" applyAlignment="1">
      <alignment horizontal="right"/>
    </xf>
    <xf numFmtId="1" fontId="11" fillId="0" borderId="1" xfId="3" applyNumberFormat="1" applyFont="1" applyBorder="1" applyAlignment="1">
      <alignment horizontal="center"/>
    </xf>
    <xf numFmtId="1" fontId="11" fillId="3" borderId="1" xfId="3" applyNumberFormat="1" applyFont="1" applyFill="1" applyBorder="1" applyAlignment="1">
      <alignment horizontal="center"/>
    </xf>
    <xf numFmtId="1" fontId="11" fillId="7" borderId="1" xfId="3" applyNumberFormat="1" applyFont="1" applyFill="1" applyBorder="1" applyAlignment="1">
      <alignment horizontal="right"/>
    </xf>
    <xf numFmtId="1" fontId="11" fillId="10" borderId="1" xfId="1" applyNumberFormat="1" applyFont="1" applyFill="1" applyBorder="1"/>
    <xf numFmtId="1" fontId="14" fillId="10" borderId="1" xfId="2" applyNumberFormat="1" applyFont="1" applyFill="1" applyBorder="1"/>
    <xf numFmtId="1" fontId="11" fillId="10" borderId="1" xfId="3" applyNumberFormat="1" applyFont="1" applyFill="1" applyBorder="1" applyAlignment="1">
      <alignment horizontal="right"/>
    </xf>
    <xf numFmtId="167" fontId="14" fillId="10" borderId="1" xfId="2" applyNumberFormat="1" applyFont="1" applyFill="1" applyBorder="1" applyAlignment="1">
      <alignment horizontal="right"/>
    </xf>
    <xf numFmtId="1" fontId="15" fillId="10" borderId="1" xfId="2" applyNumberFormat="1" applyFont="1" applyFill="1" applyBorder="1" applyAlignment="1">
      <alignment horizontal="right"/>
    </xf>
    <xf numFmtId="9" fontId="11" fillId="10" borderId="10" xfId="3" applyNumberFormat="1" applyFont="1" applyFill="1" applyBorder="1" applyAlignment="1">
      <alignment horizontal="right"/>
    </xf>
    <xf numFmtId="3" fontId="16" fillId="11" borderId="11" xfId="3" applyNumberFormat="1" applyFont="1" applyFill="1" applyBorder="1"/>
    <xf numFmtId="0" fontId="11" fillId="10" borderId="6" xfId="3" applyFont="1" applyFill="1" applyBorder="1" applyAlignment="1">
      <alignment horizontal="right"/>
    </xf>
    <xf numFmtId="0" fontId="11" fillId="10" borderId="1" xfId="3" applyFont="1" applyFill="1" applyBorder="1"/>
    <xf numFmtId="10" fontId="11" fillId="3" borderId="1" xfId="3" applyNumberFormat="1" applyFont="1" applyFill="1" applyBorder="1"/>
    <xf numFmtId="164" fontId="11" fillId="7" borderId="1" xfId="3" applyNumberFormat="1" applyFont="1" applyFill="1" applyBorder="1"/>
    <xf numFmtId="1" fontId="11" fillId="7" borderId="1" xfId="3" applyNumberFormat="1" applyFont="1" applyFill="1" applyBorder="1"/>
    <xf numFmtId="1" fontId="11" fillId="0" borderId="9" xfId="3" applyNumberFormat="1" applyFont="1" applyBorder="1" applyAlignment="1">
      <alignment horizontal="center"/>
    </xf>
    <xf numFmtId="1" fontId="11" fillId="7" borderId="9" xfId="3" applyNumberFormat="1" applyFont="1" applyFill="1" applyBorder="1" applyAlignment="1">
      <alignment horizontal="right"/>
    </xf>
    <xf numFmtId="1" fontId="11" fillId="10" borderId="9" xfId="1" applyNumberFormat="1" applyFont="1" applyFill="1" applyBorder="1"/>
    <xf numFmtId="1" fontId="14" fillId="10" borderId="9" xfId="2" applyNumberFormat="1" applyFont="1" applyFill="1" applyBorder="1"/>
    <xf numFmtId="1" fontId="11" fillId="10" borderId="9" xfId="3" applyNumberFormat="1" applyFont="1" applyFill="1" applyBorder="1" applyAlignment="1">
      <alignment horizontal="right"/>
    </xf>
    <xf numFmtId="1" fontId="15" fillId="10" borderId="9" xfId="2" applyNumberFormat="1" applyFont="1" applyFill="1" applyBorder="1" applyAlignment="1">
      <alignment horizontal="right"/>
    </xf>
    <xf numFmtId="0" fontId="2" fillId="7" borderId="0" xfId="1" applyFont="1" applyFill="1"/>
    <xf numFmtId="0" fontId="19" fillId="7" borderId="0" xfId="0" applyFont="1" applyFill="1"/>
    <xf numFmtId="0" fontId="2" fillId="7" borderId="0" xfId="3" applyFont="1" applyFill="1"/>
    <xf numFmtId="0" fontId="2" fillId="7" borderId="0" xfId="1" applyFont="1" applyFill="1" applyAlignment="1">
      <alignment horizontal="left" vertical="top" wrapText="1"/>
    </xf>
    <xf numFmtId="3" fontId="2" fillId="7" borderId="0" xfId="1" applyNumberFormat="1" applyFont="1" applyFill="1" applyAlignment="1">
      <alignment horizontal="left" vertical="top" wrapText="1"/>
    </xf>
    <xf numFmtId="0" fontId="19" fillId="0" borderId="0" xfId="0" applyFont="1"/>
    <xf numFmtId="0" fontId="12" fillId="8" borderId="14" xfId="3" applyFont="1" applyFill="1" applyBorder="1" applyAlignment="1">
      <alignment horizontal="center" vertical="center" wrapText="1"/>
    </xf>
    <xf numFmtId="0" fontId="13" fillId="8" borderId="15" xfId="1" applyFont="1" applyFill="1" applyBorder="1"/>
    <xf numFmtId="14" fontId="13" fillId="8" borderId="15" xfId="3" applyNumberFormat="1" applyFont="1" applyFill="1" applyBorder="1"/>
    <xf numFmtId="2" fontId="13" fillId="8" borderId="15" xfId="3" applyNumberFormat="1" applyFont="1" applyFill="1" applyBorder="1"/>
    <xf numFmtId="14" fontId="13" fillId="8" borderId="15" xfId="1" applyNumberFormat="1" applyFont="1" applyFill="1" applyBorder="1"/>
    <xf numFmtId="0" fontId="12" fillId="8" borderId="15" xfId="3" applyFont="1" applyFill="1" applyBorder="1"/>
    <xf numFmtId="0" fontId="13" fillId="8" borderId="0" xfId="1" applyFont="1" applyFill="1"/>
    <xf numFmtId="14" fontId="13" fillId="8" borderId="0" xfId="1" applyNumberFormat="1" applyFont="1" applyFill="1"/>
    <xf numFmtId="168" fontId="13" fillId="8" borderId="9" xfId="3" applyNumberFormat="1" applyFont="1" applyFill="1" applyBorder="1"/>
    <xf numFmtId="0" fontId="13" fillId="8" borderId="18" xfId="3" applyFont="1" applyFill="1" applyBorder="1"/>
    <xf numFmtId="168" fontId="13" fillId="8" borderId="19" xfId="3" applyNumberFormat="1" applyFont="1" applyFill="1" applyBorder="1"/>
    <xf numFmtId="1" fontId="12" fillId="12" borderId="1" xfId="3" applyNumberFormat="1" applyFont="1" applyFill="1" applyBorder="1" applyAlignment="1">
      <alignment horizontal="center"/>
    </xf>
    <xf numFmtId="0" fontId="11" fillId="12" borderId="6" xfId="3" applyFont="1" applyFill="1" applyBorder="1" applyAlignment="1">
      <alignment horizontal="left"/>
    </xf>
    <xf numFmtId="166" fontId="13" fillId="12" borderId="1" xfId="3" applyNumberFormat="1" applyFont="1" applyFill="1" applyBorder="1" applyAlignment="1">
      <alignment horizontal="right"/>
    </xf>
    <xf numFmtId="0" fontId="11" fillId="12" borderId="1" xfId="3" applyFont="1" applyFill="1" applyBorder="1" applyAlignment="1">
      <alignment horizontal="right"/>
    </xf>
    <xf numFmtId="1" fontId="11" fillId="12" borderId="1" xfId="3" applyNumberFormat="1" applyFont="1" applyFill="1" applyBorder="1" applyAlignment="1">
      <alignment horizontal="right"/>
    </xf>
    <xf numFmtId="1" fontId="11" fillId="12" borderId="1" xfId="3" applyNumberFormat="1" applyFont="1" applyFill="1" applyBorder="1" applyAlignment="1">
      <alignment horizontal="center"/>
    </xf>
    <xf numFmtId="1" fontId="11" fillId="12" borderId="1" xfId="1" applyNumberFormat="1" applyFont="1" applyFill="1" applyBorder="1"/>
    <xf numFmtId="1" fontId="14" fillId="12" borderId="1" xfId="2" applyNumberFormat="1" applyFont="1" applyFill="1" applyBorder="1"/>
    <xf numFmtId="167" fontId="14" fillId="12" borderId="1" xfId="2" applyNumberFormat="1" applyFont="1" applyFill="1" applyBorder="1" applyAlignment="1">
      <alignment horizontal="right"/>
    </xf>
    <xf numFmtId="1" fontId="15" fillId="12" borderId="1" xfId="2" applyNumberFormat="1" applyFont="1" applyFill="1" applyBorder="1" applyAlignment="1">
      <alignment horizontal="right"/>
    </xf>
    <xf numFmtId="9" fontId="11" fillId="12" borderId="10" xfId="3" applyNumberFormat="1" applyFont="1" applyFill="1" applyBorder="1" applyAlignment="1">
      <alignment horizontal="right"/>
    </xf>
    <xf numFmtId="3" fontId="16" fillId="12" borderId="11" xfId="3" applyNumberFormat="1" applyFont="1" applyFill="1" applyBorder="1"/>
    <xf numFmtId="0" fontId="11" fillId="12" borderId="6" xfId="3" applyFont="1" applyFill="1" applyBorder="1" applyAlignment="1">
      <alignment horizontal="right"/>
    </xf>
    <xf numFmtId="0" fontId="11" fillId="12" borderId="1" xfId="3" applyFont="1" applyFill="1" applyBorder="1"/>
    <xf numFmtId="10" fontId="11" fillId="12" borderId="1" xfId="3" applyNumberFormat="1" applyFont="1" applyFill="1" applyBorder="1"/>
    <xf numFmtId="164" fontId="11" fillId="12" borderId="1" xfId="3" applyNumberFormat="1" applyFont="1" applyFill="1" applyBorder="1"/>
    <xf numFmtId="1" fontId="11" fillId="12" borderId="1" xfId="3" applyNumberFormat="1" applyFont="1" applyFill="1" applyBorder="1"/>
    <xf numFmtId="0" fontId="0" fillId="12" borderId="0" xfId="0" applyFill="1"/>
    <xf numFmtId="0" fontId="0" fillId="12" borderId="0" xfId="0" applyFill="1" applyAlignment="1">
      <alignment wrapText="1"/>
    </xf>
    <xf numFmtId="0" fontId="5" fillId="5" borderId="0" xfId="0" applyFont="1" applyFill="1"/>
    <xf numFmtId="0" fontId="0" fillId="13" borderId="0" xfId="0" applyFill="1"/>
    <xf numFmtId="3" fontId="2" fillId="2" borderId="0" xfId="1" applyNumberFormat="1" applyFont="1" applyFill="1" applyAlignment="1">
      <alignment horizontal="right"/>
    </xf>
    <xf numFmtId="1" fontId="0" fillId="5" borderId="7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14" fontId="0" fillId="13" borderId="0" xfId="0" applyNumberFormat="1" applyFill="1" applyAlignment="1">
      <alignment horizontal="left"/>
    </xf>
    <xf numFmtId="1" fontId="0" fillId="13" borderId="0" xfId="0" applyNumberFormat="1" applyFill="1" applyAlignment="1">
      <alignment horizontal="left"/>
    </xf>
    <xf numFmtId="1" fontId="12" fillId="8" borderId="1" xfId="3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170" fontId="0" fillId="13" borderId="0" xfId="0" applyNumberFormat="1" applyFill="1" applyAlignment="1">
      <alignment horizontal="left"/>
    </xf>
    <xf numFmtId="170" fontId="0" fillId="13" borderId="0" xfId="0" applyNumberFormat="1" applyFill="1" applyAlignment="1">
      <alignment horizontal="center"/>
    </xf>
    <xf numFmtId="170" fontId="0" fillId="13" borderId="0" xfId="0" applyNumberFormat="1" applyFill="1"/>
    <xf numFmtId="1" fontId="0" fillId="0" borderId="0" xfId="0" applyNumberFormat="1"/>
    <xf numFmtId="0" fontId="0" fillId="0" borderId="0" xfId="0" applyFill="1" applyAlignment="1">
      <alignment horizontal="right"/>
    </xf>
    <xf numFmtId="169" fontId="22" fillId="0" borderId="0" xfId="0" applyNumberFormat="1" applyFont="1"/>
    <xf numFmtId="0" fontId="6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0" fillId="7" borderId="12" xfId="0" applyFont="1" applyFill="1" applyBorder="1" applyAlignment="1">
      <alignment wrapText="1"/>
    </xf>
    <xf numFmtId="0" fontId="21" fillId="0" borderId="13" xfId="0" applyFont="1" applyBorder="1" applyAlignment="1">
      <alignment wrapText="1"/>
    </xf>
    <xf numFmtId="0" fontId="12" fillId="8" borderId="16" xfId="3" applyFont="1" applyFill="1" applyBorder="1" applyAlignment="1">
      <alignment horizontal="center" vertical="center"/>
    </xf>
    <xf numFmtId="0" fontId="12" fillId="8" borderId="17" xfId="3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4">
    <cellStyle name="Good" xfId="2" builtinId="26"/>
    <cellStyle name="Normal" xfId="0" builtinId="0"/>
    <cellStyle name="Normal 2" xfId="1" xr:uid="{1997B421-C048-4B19-A24B-5D715C0435D3}"/>
    <cellStyle name="Normal_NZ Temp" xfId="3" xr:uid="{3A02A652-2CB7-4F65-B43F-D3FE4BA209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94358</xdr:colOff>
      <xdr:row>7</xdr:row>
      <xdr:rowOff>33616</xdr:rowOff>
    </xdr:from>
    <xdr:to>
      <xdr:col>1</xdr:col>
      <xdr:colOff>4780440</xdr:colOff>
      <xdr:row>14</xdr:row>
      <xdr:rowOff>126106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A158C5B-6012-49CB-A59D-99E91900F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55505" y="1602440"/>
          <a:ext cx="4686082" cy="15828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295275</xdr:colOff>
      <xdr:row>24</xdr:row>
      <xdr:rowOff>21723</xdr:rowOff>
    </xdr:from>
    <xdr:ext cx="6336606" cy="937629"/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242A5261-FEFD-47DA-8E4E-31E45F965550}"/>
            </a:ext>
          </a:extLst>
        </xdr:cNvPr>
        <xdr:cNvSpPr/>
      </xdr:nvSpPr>
      <xdr:spPr>
        <a:xfrm>
          <a:off x="295275" y="6498723"/>
          <a:ext cx="6336606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COMMON</a:t>
          </a:r>
          <a:r>
            <a:rPr lang="en-US" sz="54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 PROPERTY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CG-NAS\Staff\TAX\Mm%20Tax%20Temp\Capital%20Allowance%20&amp;%20Tax%20Depreciation%20Schedule%20-%20MCG%20Quantity%20Surveyo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Unit &amp; Com. Meas."/>
      <sheetName val="P&amp;E Page"/>
      <sheetName val="Div43 Adds &amp; Calcs"/>
      <sheetName val="Pro Rata"/>
      <sheetName val="Look Up"/>
      <sheetName val="Page 1.1"/>
      <sheetName val="Page 2.2"/>
      <sheetName val="Page 3.3"/>
      <sheetName val="Page 4.1"/>
      <sheetName val="Page 5.1"/>
      <sheetName val="Page 6.1"/>
      <sheetName val="DV1-5.1"/>
      <sheetName val="DV6-10.1"/>
      <sheetName val="DV11-15.1"/>
      <sheetName val="DV16-20.1"/>
      <sheetName val="Page 7.1"/>
      <sheetName val="PC1-5.1"/>
      <sheetName val="PC6-10.1"/>
      <sheetName val="PC11-15.1"/>
      <sheetName val="PC16-20.1"/>
      <sheetName val="Page 8.1"/>
      <sheetName val="Page 9.1"/>
      <sheetName val="Page 10.1"/>
      <sheetName val="BPI's"/>
      <sheetName val="Effective Life"/>
      <sheetName val="Capital Loss Calculations"/>
      <sheetName val="DV1-5.1-Capital Loss"/>
      <sheetName val="DV6-10.1-Capital Loss"/>
      <sheetName val="DV11-15.1-Capital Loss"/>
      <sheetName val="DV16-20.1-Capital Loss"/>
      <sheetName val="PC1-5.1-Capital Loss"/>
      <sheetName val="PC6-10.1-Capital Loss"/>
      <sheetName val="PC11-15.1-Capital Loss"/>
      <sheetName val="PC16-20.1-Capital Loss"/>
      <sheetName val="Phase A - Page 1"/>
      <sheetName val="Phase A - Page 2"/>
      <sheetName val="Phase A - Appendix One"/>
      <sheetName val="Phase A - Graph"/>
      <sheetName val="CSV - Div40"/>
      <sheetName val="CSV - Pooling"/>
      <sheetName val="CSV - Div43"/>
      <sheetName val="RCE - Project Calculations"/>
      <sheetName val="RCE - Project Report 01"/>
      <sheetName val="WF Data"/>
      <sheetName val="import_Div40_Diminshing_Value"/>
      <sheetName val="import_Div40_pool"/>
      <sheetName val="import_Div43"/>
      <sheetName val="importcalcs"/>
    </sheetNames>
    <sheetDataSet>
      <sheetData sheetId="0">
        <row r="11">
          <cell r="G11">
            <v>41456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42470-F80E-400A-9DB4-E8EF428130E8}">
  <dimension ref="A1:AI1003"/>
  <sheetViews>
    <sheetView tabSelected="1" topLeftCell="M1" zoomScale="85" zoomScaleNormal="85" workbookViewId="0">
      <selection activeCell="Y18" sqref="Y18"/>
    </sheetView>
  </sheetViews>
  <sheetFormatPr defaultRowHeight="15"/>
  <cols>
    <col min="1" max="1" width="9.85546875" bestFit="1" customWidth="1"/>
    <col min="2" max="2" width="78.140625" bestFit="1" customWidth="1"/>
    <col min="3" max="3" width="32.5703125" customWidth="1"/>
    <col min="4" max="4" width="36.28515625" bestFit="1" customWidth="1"/>
    <col min="5" max="5" width="32.5703125" bestFit="1" customWidth="1"/>
    <col min="6" max="6" width="36" customWidth="1"/>
    <col min="7" max="8" width="0" hidden="1" customWidth="1"/>
    <col min="9" max="9" width="23.5703125" bestFit="1" customWidth="1"/>
    <col min="10" max="10" width="12.28515625" bestFit="1" customWidth="1"/>
    <col min="11" max="11" width="28.7109375" bestFit="1" customWidth="1"/>
    <col min="12" max="12" width="11.7109375" bestFit="1" customWidth="1"/>
    <col min="13" max="13" width="8" customWidth="1"/>
    <col min="14" max="14" width="5.42578125" customWidth="1"/>
    <col min="15" max="15" width="8.7109375" bestFit="1" customWidth="1"/>
    <col min="16" max="17" width="5.140625" bestFit="1" customWidth="1"/>
    <col min="18" max="18" width="14.42578125" bestFit="1" customWidth="1"/>
    <col min="19" max="19" width="4.28515625" bestFit="1" customWidth="1"/>
    <col min="20" max="21" width="11.28515625" bestFit="1" customWidth="1"/>
    <col min="22" max="22" width="19.140625" bestFit="1" customWidth="1"/>
    <col min="23" max="23" width="28.7109375" bestFit="1" customWidth="1"/>
    <col min="24" max="24" width="24.5703125" bestFit="1" customWidth="1"/>
    <col min="25" max="25" width="24.28515625" bestFit="1" customWidth="1"/>
    <col min="26" max="26" width="23.85546875" bestFit="1" customWidth="1"/>
    <col min="27" max="27" width="21.85546875" bestFit="1" customWidth="1"/>
    <col min="28" max="28" width="28.7109375" bestFit="1" customWidth="1"/>
    <col min="29" max="29" width="28.5703125" bestFit="1" customWidth="1"/>
    <col min="30" max="30" width="20.28515625" bestFit="1" customWidth="1"/>
    <col min="31" max="31" width="18.28515625" bestFit="1" customWidth="1"/>
    <col min="32" max="32" width="25.140625" bestFit="1" customWidth="1"/>
    <col min="33" max="33" width="25" bestFit="1" customWidth="1"/>
    <col min="34" max="34" width="17.85546875" bestFit="1" customWidth="1"/>
    <col min="35" max="35" width="5.42578125" customWidth="1"/>
  </cols>
  <sheetData>
    <row r="1" spans="1:3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3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33">
      <c r="A3" s="1"/>
      <c r="B3" s="1"/>
      <c r="C3" s="1"/>
      <c r="D3" s="1"/>
      <c r="E3" s="1"/>
      <c r="F3" s="1"/>
    </row>
    <row r="4" spans="1:33">
      <c r="A4" s="1"/>
      <c r="B4" s="1"/>
      <c r="C4" s="1"/>
      <c r="D4" s="1"/>
      <c r="E4" s="1"/>
      <c r="F4" s="1"/>
      <c r="I4" t="s">
        <v>27</v>
      </c>
      <c r="J4">
        <f>LOOKUP($C$22, 'BPI''s'!G2:H36)</f>
        <v>178.9</v>
      </c>
      <c r="L4" t="s">
        <v>3</v>
      </c>
      <c r="M4" s="101" t="str">
        <f>IF(ISNUMBER(SEARCH("Unit",$C$19)),"1"," ")</f>
        <v xml:space="preserve"> </v>
      </c>
      <c r="N4" s="101" t="str">
        <f>IF(ISNUMBER(SEARCH("Unit",$C$19)),"1"," ")</f>
        <v xml:space="preserve"> </v>
      </c>
      <c r="O4" t="s">
        <v>8</v>
      </c>
      <c r="P4">
        <v>1</v>
      </c>
      <c r="Q4">
        <f>C22</f>
        <v>2001</v>
      </c>
      <c r="R4" t="s">
        <v>11</v>
      </c>
      <c r="S4" t="s">
        <v>12</v>
      </c>
      <c r="T4" t="s">
        <v>14</v>
      </c>
      <c r="U4">
        <f>IF(Q4&lt;2021,Q4," ")</f>
        <v>2001</v>
      </c>
    </row>
    <row r="5" spans="1:33">
      <c r="A5" s="1"/>
      <c r="B5" s="1"/>
      <c r="C5" s="1"/>
      <c r="D5" s="1"/>
      <c r="E5" s="1"/>
      <c r="F5" s="1"/>
      <c r="I5" t="s">
        <v>24</v>
      </c>
      <c r="J5" s="7">
        <f ca="1">TODAY()</f>
        <v>44014</v>
      </c>
      <c r="L5" t="s">
        <v>4</v>
      </c>
      <c r="M5" s="101" t="str">
        <f>IF(ISNUMBER(SEARCH("Unit",$C$19)),"2"," ")</f>
        <v xml:space="preserve"> </v>
      </c>
      <c r="N5" s="101" t="str">
        <f>IF(ISNUMBER(SEARCH("Unit",$C$19)),"2"," ")</f>
        <v xml:space="preserve"> </v>
      </c>
      <c r="O5" t="s">
        <v>9</v>
      </c>
      <c r="P5">
        <v>2</v>
      </c>
      <c r="Q5">
        <f>C22+1</f>
        <v>2002</v>
      </c>
      <c r="R5">
        <v>1987</v>
      </c>
      <c r="S5" t="s">
        <v>13</v>
      </c>
      <c r="T5" t="s">
        <v>15</v>
      </c>
    </row>
    <row r="6" spans="1:33" ht="15.75" thickBot="1">
      <c r="A6" s="1"/>
      <c r="B6" s="1"/>
      <c r="C6" s="1"/>
      <c r="D6" s="1"/>
      <c r="E6" s="1"/>
      <c r="F6" s="1"/>
      <c r="I6" t="s">
        <v>25</v>
      </c>
      <c r="J6">
        <f ca="1">LOOKUP($J$5, 'BPI''s'!B2:C420)</f>
        <v>324</v>
      </c>
      <c r="L6" t="s">
        <v>5</v>
      </c>
      <c r="M6" s="101" t="str">
        <f>IF(ISNUMBER(SEARCH("Unit",$C$19)),"3"," ")</f>
        <v xml:space="preserve"> </v>
      </c>
      <c r="N6" s="101" t="str">
        <f>IF(ISNUMBER(SEARCH("Unit",$C$19)),"3"," ")</f>
        <v xml:space="preserve"> </v>
      </c>
      <c r="O6" t="s">
        <v>10</v>
      </c>
      <c r="P6">
        <v>3</v>
      </c>
      <c r="Q6">
        <f>Q5+1</f>
        <v>2003</v>
      </c>
      <c r="R6">
        <v>1988</v>
      </c>
      <c r="T6" t="s">
        <v>16</v>
      </c>
    </row>
    <row r="7" spans="1:33" ht="32.25" thickTop="1" thickBot="1">
      <c r="A7" s="1"/>
      <c r="B7" s="1"/>
      <c r="C7" s="1"/>
      <c r="D7" s="1"/>
      <c r="E7" s="1"/>
      <c r="F7" s="1"/>
      <c r="I7" s="8" t="s">
        <v>26</v>
      </c>
      <c r="J7">
        <f ca="1">J4/J6</f>
        <v>0.55216049382716048</v>
      </c>
      <c r="L7" t="s">
        <v>6</v>
      </c>
      <c r="M7" s="101" t="str">
        <f>IF(ISNUMBER(SEARCH("Unit",$C$19)),"4"," ")</f>
        <v xml:space="preserve"> </v>
      </c>
      <c r="N7" s="101" t="str">
        <f>IF(ISNUMBER(SEARCH("Unit",$C$19)),"4"," ")</f>
        <v xml:space="preserve"> </v>
      </c>
      <c r="P7">
        <v>4</v>
      </c>
      <c r="Q7">
        <f t="shared" ref="Q7:Q38" si="0">Q6+1</f>
        <v>2004</v>
      </c>
      <c r="R7">
        <v>1989</v>
      </c>
      <c r="T7" t="s">
        <v>17</v>
      </c>
      <c r="V7" s="108" t="s">
        <v>28</v>
      </c>
      <c r="W7" s="108"/>
      <c r="X7" s="108"/>
      <c r="Y7" s="108"/>
      <c r="Z7" s="109" t="s">
        <v>29</v>
      </c>
      <c r="AA7" s="109"/>
      <c r="AB7" s="109"/>
      <c r="AC7" s="109"/>
      <c r="AD7" s="109" t="s">
        <v>30</v>
      </c>
      <c r="AE7" s="109"/>
      <c r="AF7" s="109"/>
      <c r="AG7" s="109"/>
    </row>
    <row r="8" spans="1:33" ht="16.5" thickTop="1" thickBot="1">
      <c r="A8" s="1"/>
      <c r="B8" s="1"/>
      <c r="C8" s="1"/>
      <c r="D8" s="1"/>
      <c r="E8" s="1"/>
      <c r="F8" s="1"/>
      <c r="M8" s="101" t="str">
        <f>IF(ISNUMBER(SEARCH("Unit",$C$19)),"5"," ")</f>
        <v xml:space="preserve"> </v>
      </c>
      <c r="N8" s="101" t="str">
        <f>IF(ISNUMBER(SEARCH("Unit",$C$19)),"5"," ")</f>
        <v xml:space="preserve"> </v>
      </c>
      <c r="P8">
        <v>5</v>
      </c>
      <c r="Q8">
        <f t="shared" si="0"/>
        <v>2005</v>
      </c>
      <c r="R8">
        <v>1990</v>
      </c>
      <c r="T8" t="s">
        <v>18</v>
      </c>
      <c r="V8" s="9" t="s">
        <v>48</v>
      </c>
      <c r="W8" s="9" t="s">
        <v>46</v>
      </c>
      <c r="X8" s="9" t="s">
        <v>47</v>
      </c>
      <c r="Y8" s="9" t="s">
        <v>37</v>
      </c>
      <c r="Z8" s="9" t="s">
        <v>38</v>
      </c>
      <c r="AA8" s="9" t="s">
        <v>39</v>
      </c>
      <c r="AB8" s="9" t="s">
        <v>40</v>
      </c>
      <c r="AC8" s="9" t="s">
        <v>41</v>
      </c>
      <c r="AD8" s="9" t="s">
        <v>42</v>
      </c>
      <c r="AE8" s="9" t="s">
        <v>43</v>
      </c>
      <c r="AF8" s="9" t="s">
        <v>44</v>
      </c>
      <c r="AG8" s="9" t="s">
        <v>45</v>
      </c>
    </row>
    <row r="9" spans="1:33" ht="16.5" thickTop="1" thickBot="1">
      <c r="A9" s="1"/>
      <c r="B9" s="1"/>
      <c r="C9" s="1"/>
      <c r="D9" s="1"/>
      <c r="E9" s="1"/>
      <c r="F9" s="1"/>
      <c r="M9" s="101" t="str">
        <f>IF(ISNUMBER(SEARCH("Unit",$C$19)),"6"," ")</f>
        <v xml:space="preserve"> </v>
      </c>
      <c r="N9" s="101" t="str">
        <f>IF(ISNUMBER(SEARCH("Unit",$C$19)),"6"," ")</f>
        <v xml:space="preserve"> </v>
      </c>
      <c r="P9">
        <v>6</v>
      </c>
      <c r="Q9">
        <f t="shared" si="0"/>
        <v>2006</v>
      </c>
      <c r="R9">
        <v>1991</v>
      </c>
      <c r="T9" t="s">
        <v>19</v>
      </c>
      <c r="U9" s="9" t="s">
        <v>15</v>
      </c>
      <c r="V9" s="12">
        <f>1150*1.1</f>
        <v>1265</v>
      </c>
      <c r="W9" s="13">
        <f>2030*1.1</f>
        <v>2233</v>
      </c>
      <c r="X9" s="13">
        <f>1350*1.1</f>
        <v>1485.0000000000002</v>
      </c>
      <c r="Y9" s="13">
        <f>V9*1.15</f>
        <v>1454.75</v>
      </c>
      <c r="Z9" s="13">
        <f>1385*1.1</f>
        <v>1523.5000000000002</v>
      </c>
      <c r="AA9" s="13">
        <f>2215*1.1</f>
        <v>2436.5</v>
      </c>
      <c r="AB9" s="13">
        <f>1470*1.1</f>
        <v>1617.0000000000002</v>
      </c>
      <c r="AC9" s="13">
        <f>Z9*1.15</f>
        <v>1752.0250000000001</v>
      </c>
      <c r="AD9" s="13">
        <f>1800*1.1</f>
        <v>1980.0000000000002</v>
      </c>
      <c r="AE9" s="13">
        <f>2765*1.1</f>
        <v>3041.5000000000005</v>
      </c>
      <c r="AF9" s="13">
        <f>1645*1.1</f>
        <v>1809.5000000000002</v>
      </c>
      <c r="AG9" s="13">
        <f>AD9*1.15</f>
        <v>2277</v>
      </c>
    </row>
    <row r="10" spans="1:33" ht="16.5" thickTop="1" thickBot="1">
      <c r="A10" s="1"/>
      <c r="B10" s="1"/>
      <c r="C10" s="1"/>
      <c r="D10" s="1"/>
      <c r="E10" s="1"/>
      <c r="F10" s="1"/>
      <c r="M10" s="101" t="str">
        <f>IF(ISNUMBER(SEARCH("Unit",$C$19)),"7"," ")</f>
        <v xml:space="preserve"> </v>
      </c>
      <c r="N10" s="101" t="str">
        <f>IF(ISNUMBER(SEARCH("Unit",$C$19)),"7"," ")</f>
        <v xml:space="preserve"> </v>
      </c>
      <c r="P10">
        <v>7</v>
      </c>
      <c r="Q10">
        <f t="shared" si="0"/>
        <v>2007</v>
      </c>
      <c r="R10">
        <v>1992</v>
      </c>
      <c r="T10" t="s">
        <v>20</v>
      </c>
      <c r="U10" s="9" t="s">
        <v>17</v>
      </c>
      <c r="V10" s="14">
        <f>1220*1.1</f>
        <v>1342</v>
      </c>
      <c r="W10" s="6">
        <f>2115*1.1</f>
        <v>2326.5</v>
      </c>
      <c r="X10" s="6">
        <f>1600*1.1</f>
        <v>1760.0000000000002</v>
      </c>
      <c r="Y10" s="13">
        <f t="shared" ref="Y10:Y13" si="1">V10*1.15</f>
        <v>1543.3</v>
      </c>
      <c r="Z10" s="6">
        <f>1640*1.1</f>
        <v>1804.0000000000002</v>
      </c>
      <c r="AA10" s="6">
        <f>2275*1.1</f>
        <v>2502.5</v>
      </c>
      <c r="AB10" s="6">
        <f>1750*1.1</f>
        <v>1925.0000000000002</v>
      </c>
      <c r="AC10" s="13">
        <f t="shared" ref="AC10:AC13" si="2">Z10*1.15</f>
        <v>2074.6</v>
      </c>
      <c r="AD10" s="6">
        <f>1885*1.1</f>
        <v>2073.5</v>
      </c>
      <c r="AE10" s="6">
        <f>2815*1.1</f>
        <v>3096.5000000000005</v>
      </c>
      <c r="AF10" s="6">
        <f>1910*1.1</f>
        <v>2101</v>
      </c>
      <c r="AG10" s="13">
        <f t="shared" ref="AG10:AG13" si="3">AD10*1.15</f>
        <v>2384.5249999999996</v>
      </c>
    </row>
    <row r="11" spans="1:33" ht="16.5" thickTop="1" thickBot="1">
      <c r="A11" s="1"/>
      <c r="B11" s="1"/>
      <c r="C11" s="1"/>
      <c r="D11" s="1"/>
      <c r="E11" s="1"/>
      <c r="F11" s="1"/>
      <c r="M11" s="101" t="str">
        <f>IF(ISNUMBER(SEARCH("Unit",$C$19)),"8"," ")</f>
        <v xml:space="preserve"> </v>
      </c>
      <c r="N11" s="101" t="str">
        <f>IF(ISNUMBER(SEARCH("Unit",$C$19)),"8"," ")</f>
        <v xml:space="preserve"> </v>
      </c>
      <c r="P11">
        <v>8</v>
      </c>
      <c r="Q11">
        <f t="shared" si="0"/>
        <v>2008</v>
      </c>
      <c r="R11">
        <v>1993</v>
      </c>
      <c r="T11" t="s">
        <v>21</v>
      </c>
      <c r="U11" s="9" t="s">
        <v>16</v>
      </c>
      <c r="V11" s="14">
        <f>1190*1.1</f>
        <v>1309</v>
      </c>
      <c r="W11" s="6">
        <f>2110*1.1</f>
        <v>2321</v>
      </c>
      <c r="X11" s="6">
        <f>1705*1.1</f>
        <v>1875.5000000000002</v>
      </c>
      <c r="Y11" s="13">
        <f t="shared" si="1"/>
        <v>1505.35</v>
      </c>
      <c r="Z11" s="6">
        <f>1680*1.1</f>
        <v>1848.0000000000002</v>
      </c>
      <c r="AA11" s="6">
        <f>2280*1.1</f>
        <v>2508</v>
      </c>
      <c r="AB11" s="6">
        <f>1835*1.1</f>
        <v>2018.5000000000002</v>
      </c>
      <c r="AC11" s="13">
        <f t="shared" si="2"/>
        <v>2125.2000000000003</v>
      </c>
      <c r="AD11" s="6">
        <f>2140*1.1</f>
        <v>2354</v>
      </c>
      <c r="AE11" s="6">
        <f>2845*1.1</f>
        <v>3129.5000000000005</v>
      </c>
      <c r="AF11" s="6">
        <f>2080*1.1</f>
        <v>2288</v>
      </c>
      <c r="AG11" s="13">
        <f t="shared" si="3"/>
        <v>2707.1</v>
      </c>
    </row>
    <row r="12" spans="1:33" ht="16.5" thickTop="1" thickBot="1">
      <c r="A12" s="1"/>
      <c r="B12" s="1"/>
      <c r="C12" s="1"/>
      <c r="D12" s="1"/>
      <c r="E12" s="1"/>
      <c r="F12" s="1"/>
      <c r="M12" s="101" t="str">
        <f>IF(ISNUMBER(SEARCH("Unit",$C$19)),"9"," ")</f>
        <v xml:space="preserve"> </v>
      </c>
      <c r="N12" s="101" t="str">
        <f>IF(ISNUMBER(SEARCH("Unit",$C$19)),"9"," ")</f>
        <v xml:space="preserve"> </v>
      </c>
      <c r="P12">
        <v>9</v>
      </c>
      <c r="Q12">
        <f t="shared" si="0"/>
        <v>2009</v>
      </c>
      <c r="R12">
        <v>1994</v>
      </c>
      <c r="U12" s="9" t="s">
        <v>20</v>
      </c>
      <c r="V12" s="14">
        <f>1005*1.1</f>
        <v>1105.5</v>
      </c>
      <c r="W12" s="6">
        <f>2335*1.1</f>
        <v>2568.5</v>
      </c>
      <c r="X12" s="6">
        <f>1710*1.1</f>
        <v>1881.0000000000002</v>
      </c>
      <c r="Y12" s="13">
        <f t="shared" si="1"/>
        <v>1271.3249999999998</v>
      </c>
      <c r="Z12" s="6">
        <f>1600*1.1</f>
        <v>1760.0000000000002</v>
      </c>
      <c r="AA12" s="6">
        <f>2495*1.1</f>
        <v>2744.5</v>
      </c>
      <c r="AB12" s="6">
        <f>1840*1.1</f>
        <v>2024.0000000000002</v>
      </c>
      <c r="AC12" s="13">
        <f t="shared" si="2"/>
        <v>2024</v>
      </c>
      <c r="AD12" s="6">
        <f>2425*1.1</f>
        <v>2667.5</v>
      </c>
      <c r="AE12" s="6">
        <f>3170*1.1</f>
        <v>3487.0000000000005</v>
      </c>
      <c r="AF12" s="6">
        <f>2075*1.1</f>
        <v>2282.5</v>
      </c>
      <c r="AG12" s="13">
        <f t="shared" si="3"/>
        <v>3067.6249999999995</v>
      </c>
    </row>
    <row r="13" spans="1:33" ht="16.5" thickTop="1" thickBot="1">
      <c r="A13" s="1"/>
      <c r="B13" s="1"/>
      <c r="C13" s="1"/>
      <c r="D13" s="1"/>
      <c r="E13" s="1"/>
      <c r="F13" s="1"/>
      <c r="M13" s="101" t="str">
        <f>IF(ISNUMBER(SEARCH("Unit",$C$19)),"10"," ")</f>
        <v xml:space="preserve"> </v>
      </c>
      <c r="N13" s="101" t="str">
        <f>IF(ISNUMBER(SEARCH("Unit",$C$19)),"10"," ")</f>
        <v xml:space="preserve"> </v>
      </c>
      <c r="P13">
        <v>10</v>
      </c>
      <c r="Q13">
        <f t="shared" si="0"/>
        <v>2010</v>
      </c>
      <c r="R13">
        <v>1995</v>
      </c>
      <c r="U13" s="9" t="s">
        <v>14</v>
      </c>
      <c r="V13" s="14">
        <f>1255*1.1</f>
        <v>1380.5</v>
      </c>
      <c r="W13" s="6">
        <f>2150*1.1</f>
        <v>2365</v>
      </c>
      <c r="X13" s="6">
        <f>1760*1.1</f>
        <v>1936.0000000000002</v>
      </c>
      <c r="Y13" s="13">
        <f t="shared" si="1"/>
        <v>1587.5749999999998</v>
      </c>
      <c r="Z13" s="6">
        <f>1885*1.1</f>
        <v>2073.5</v>
      </c>
      <c r="AA13" s="6">
        <f>2305*1.1</f>
        <v>2535.5</v>
      </c>
      <c r="AB13" s="6">
        <f>1940*1.1</f>
        <v>2134</v>
      </c>
      <c r="AC13" s="13">
        <f t="shared" si="2"/>
        <v>2384.5249999999996</v>
      </c>
      <c r="AD13" s="6">
        <f>2585*1.1</f>
        <v>2843.5000000000005</v>
      </c>
      <c r="AE13" s="6">
        <f>2865*1.1</f>
        <v>3151.5000000000005</v>
      </c>
      <c r="AF13" s="6">
        <f>2195*1.1</f>
        <v>2414.5</v>
      </c>
      <c r="AG13" s="13">
        <f t="shared" si="3"/>
        <v>3270.0250000000001</v>
      </c>
    </row>
    <row r="14" spans="1:33" ht="16.5" thickTop="1" thickBot="1">
      <c r="A14" s="1"/>
      <c r="B14" s="1"/>
      <c r="C14" s="1"/>
      <c r="D14" s="1"/>
      <c r="E14" s="1"/>
      <c r="F14" s="1"/>
      <c r="M14" s="101" t="str">
        <f>IF(ISNUMBER(SEARCH("Unit",$C$19)),"11"," ")</f>
        <v xml:space="preserve"> </v>
      </c>
      <c r="N14" s="101" t="str">
        <f>IF(ISNUMBER(SEARCH("Unit",$C$19)),"11"," ")</f>
        <v xml:space="preserve"> </v>
      </c>
      <c r="P14">
        <v>11</v>
      </c>
      <c r="Q14">
        <f t="shared" si="0"/>
        <v>2011</v>
      </c>
      <c r="R14">
        <v>1996</v>
      </c>
      <c r="U14" s="11" t="s">
        <v>18</v>
      </c>
      <c r="V14" s="15">
        <f>V9*1.15</f>
        <v>1454.75</v>
      </c>
      <c r="W14" s="15">
        <f t="shared" ref="W14:AG14" si="4">W9*1.15</f>
        <v>2567.9499999999998</v>
      </c>
      <c r="X14" s="15">
        <f t="shared" si="4"/>
        <v>1707.7500000000002</v>
      </c>
      <c r="Y14" s="15">
        <f t="shared" si="4"/>
        <v>1672.9624999999999</v>
      </c>
      <c r="Z14" s="15">
        <f t="shared" si="4"/>
        <v>1752.0250000000001</v>
      </c>
      <c r="AA14" s="15">
        <f t="shared" si="4"/>
        <v>2801.9749999999999</v>
      </c>
      <c r="AB14" s="15">
        <f t="shared" si="4"/>
        <v>1859.5500000000002</v>
      </c>
      <c r="AC14" s="15">
        <f t="shared" si="4"/>
        <v>2014.8287499999999</v>
      </c>
      <c r="AD14" s="15">
        <f t="shared" si="4"/>
        <v>2277</v>
      </c>
      <c r="AE14" s="15">
        <f t="shared" si="4"/>
        <v>3497.7250000000004</v>
      </c>
      <c r="AF14" s="15">
        <f t="shared" si="4"/>
        <v>2080.9250000000002</v>
      </c>
      <c r="AG14" s="15">
        <f t="shared" si="4"/>
        <v>2618.5499999999997</v>
      </c>
    </row>
    <row r="15" spans="1:33" ht="16.5" thickTop="1" thickBot="1">
      <c r="A15" s="1"/>
      <c r="B15" s="1"/>
      <c r="C15" s="1"/>
      <c r="D15" s="1"/>
      <c r="E15" s="1"/>
      <c r="F15" s="1"/>
      <c r="M15" s="101" t="str">
        <f>IF(ISNUMBER(SEARCH("Unit",$C$19)),"12"," ")</f>
        <v xml:space="preserve"> </v>
      </c>
      <c r="N15" s="101" t="str">
        <f>IF(ISNUMBER(SEARCH("Unit",$C$19)),"12"," ")</f>
        <v xml:space="preserve"> </v>
      </c>
      <c r="P15">
        <v>12</v>
      </c>
      <c r="Q15">
        <f t="shared" si="0"/>
        <v>2012</v>
      </c>
      <c r="R15">
        <v>1997</v>
      </c>
      <c r="U15" s="11" t="s">
        <v>19</v>
      </c>
      <c r="V15" s="15">
        <v>1335</v>
      </c>
      <c r="W15" s="16">
        <v>2419</v>
      </c>
      <c r="X15" s="16">
        <v>1819</v>
      </c>
      <c r="Y15" s="16">
        <v>1536</v>
      </c>
      <c r="Z15" s="16">
        <v>1857</v>
      </c>
      <c r="AA15" s="16">
        <v>2610</v>
      </c>
      <c r="AB15" s="16">
        <v>1983</v>
      </c>
      <c r="AC15" s="16">
        <v>2136</v>
      </c>
      <c r="AD15" s="16">
        <v>2467</v>
      </c>
      <c r="AE15" s="16">
        <v>3258</v>
      </c>
      <c r="AF15" s="16">
        <v>2226</v>
      </c>
      <c r="AG15" s="16">
        <v>2837</v>
      </c>
    </row>
    <row r="16" spans="1:33" ht="16.5" thickTop="1" thickBot="1">
      <c r="A16" s="1"/>
      <c r="B16" s="1"/>
      <c r="C16" s="1"/>
      <c r="D16" s="1"/>
      <c r="E16" s="1"/>
      <c r="F16" s="1"/>
      <c r="M16" s="101" t="str">
        <f>IF(ISNUMBER(SEARCH("Unit",$C$19)),"13"," ")</f>
        <v xml:space="preserve"> </v>
      </c>
      <c r="N16" s="101" t="str">
        <f>IF(ISNUMBER(SEARCH("Unit",$C$19)),"13"," ")</f>
        <v xml:space="preserve"> </v>
      </c>
      <c r="P16">
        <v>13</v>
      </c>
      <c r="Q16">
        <f t="shared" si="0"/>
        <v>2013</v>
      </c>
      <c r="R16">
        <v>1998</v>
      </c>
      <c r="U16" s="11" t="s">
        <v>21</v>
      </c>
      <c r="V16" s="15">
        <f>V13*1.08</f>
        <v>1490.94</v>
      </c>
      <c r="W16" s="15">
        <f t="shared" ref="W16:AG16" si="5">W13*1.08</f>
        <v>2554.2000000000003</v>
      </c>
      <c r="X16" s="15">
        <f t="shared" si="5"/>
        <v>2090.8800000000006</v>
      </c>
      <c r="Y16" s="15">
        <f t="shared" si="5"/>
        <v>1714.5809999999999</v>
      </c>
      <c r="Z16" s="15">
        <f t="shared" si="5"/>
        <v>2239.38</v>
      </c>
      <c r="AA16" s="15">
        <f t="shared" si="5"/>
        <v>2738.34</v>
      </c>
      <c r="AB16" s="15">
        <f t="shared" si="5"/>
        <v>2304.7200000000003</v>
      </c>
      <c r="AC16" s="15">
        <f t="shared" si="5"/>
        <v>2575.2869999999998</v>
      </c>
      <c r="AD16" s="15">
        <f t="shared" si="5"/>
        <v>3070.9800000000005</v>
      </c>
      <c r="AE16" s="15">
        <f t="shared" si="5"/>
        <v>3403.6200000000008</v>
      </c>
      <c r="AF16" s="15">
        <f t="shared" si="5"/>
        <v>2607.6600000000003</v>
      </c>
      <c r="AG16" s="15">
        <f t="shared" si="5"/>
        <v>3531.6270000000004</v>
      </c>
    </row>
    <row r="17" spans="1:35" ht="15.75" thickTop="1">
      <c r="A17" s="1"/>
      <c r="B17" s="18" t="s">
        <v>31</v>
      </c>
      <c r="C17" s="19"/>
      <c r="D17" s="19"/>
      <c r="E17" s="1"/>
      <c r="F17" s="1"/>
      <c r="M17" s="101" t="str">
        <f>IF(ISNUMBER(SEARCH("Unit",$C$19)),"14"," ")</f>
        <v xml:space="preserve"> </v>
      </c>
      <c r="N17" s="101" t="str">
        <f>IF(ISNUMBER(SEARCH("Unit",$C$19)),"14"," ")</f>
        <v xml:space="preserve"> </v>
      </c>
      <c r="P17">
        <v>14</v>
      </c>
      <c r="Q17">
        <f t="shared" si="0"/>
        <v>2014</v>
      </c>
      <c r="R17">
        <v>1999</v>
      </c>
    </row>
    <row r="18" spans="1:35" ht="15.75" thickBot="1">
      <c r="A18" s="1"/>
      <c r="B18" s="19"/>
      <c r="C18" s="19"/>
      <c r="D18" s="19"/>
      <c r="E18" s="1"/>
      <c r="F18" s="1"/>
      <c r="M18" s="101" t="str">
        <f>IF(ISNUMBER(SEARCH("Unit",$C$19)),"15"," ")</f>
        <v xml:space="preserve"> </v>
      </c>
      <c r="N18" s="101" t="str">
        <f>IF(ISNUMBER(SEARCH("Unit",$C$19)),"15"," ")</f>
        <v xml:space="preserve"> </v>
      </c>
      <c r="P18">
        <v>15</v>
      </c>
      <c r="Q18">
        <f t="shared" si="0"/>
        <v>2015</v>
      </c>
      <c r="R18">
        <v>2000</v>
      </c>
      <c r="V18" t="s">
        <v>49</v>
      </c>
      <c r="W18" t="s">
        <v>34</v>
      </c>
      <c r="X18" t="s">
        <v>50</v>
      </c>
    </row>
    <row r="19" spans="1:35" ht="15.75" thickBot="1">
      <c r="A19" s="1"/>
      <c r="B19" s="19" t="s">
        <v>35</v>
      </c>
      <c r="C19" s="20" t="s">
        <v>47</v>
      </c>
      <c r="D19" s="19"/>
      <c r="E19" s="1"/>
      <c r="F19" s="1"/>
      <c r="M19" s="101" t="str">
        <f>IF(ISNUMBER(SEARCH("Unit",$C$19)),"16"," ")</f>
        <v xml:space="preserve"> </v>
      </c>
      <c r="N19" s="101" t="str">
        <f>IF(ISNUMBER(SEARCH("Unit",$C$19)),"16"," ")</f>
        <v xml:space="preserve"> </v>
      </c>
      <c r="P19">
        <v>16</v>
      </c>
      <c r="Q19">
        <f t="shared" si="0"/>
        <v>2016</v>
      </c>
      <c r="R19">
        <v>2001</v>
      </c>
      <c r="V19" t="s">
        <v>15</v>
      </c>
      <c r="W19" t="s">
        <v>36</v>
      </c>
      <c r="X19">
        <v>1265</v>
      </c>
      <c r="Z19" s="101"/>
    </row>
    <row r="20" spans="1:35" ht="15.75" thickBot="1">
      <c r="A20" s="1"/>
      <c r="B20" s="19" t="s">
        <v>7</v>
      </c>
      <c r="C20" s="20" t="s">
        <v>20</v>
      </c>
      <c r="D20" s="19"/>
      <c r="E20" s="1"/>
      <c r="F20" s="1"/>
      <c r="K20" t="s">
        <v>36</v>
      </c>
      <c r="M20" s="101" t="str">
        <f>IF(ISNUMBER(SEARCH("Unit",$C$19)),"17"," ")</f>
        <v xml:space="preserve"> </v>
      </c>
      <c r="N20" s="101" t="str">
        <f>IF(ISNUMBER(SEARCH("Unit",$C$19)),"17"," ")</f>
        <v xml:space="preserve"> </v>
      </c>
      <c r="P20">
        <v>17</v>
      </c>
      <c r="Q20">
        <f t="shared" si="0"/>
        <v>2017</v>
      </c>
      <c r="R20">
        <v>2002</v>
      </c>
      <c r="V20" t="s">
        <v>15</v>
      </c>
      <c r="W20" t="s">
        <v>46</v>
      </c>
      <c r="X20">
        <v>2233</v>
      </c>
    </row>
    <row r="21" spans="1:35" ht="15.75" thickBot="1">
      <c r="A21" s="1"/>
      <c r="B21" s="19" t="s">
        <v>51</v>
      </c>
      <c r="C21" s="20">
        <v>140</v>
      </c>
      <c r="D21" s="19"/>
      <c r="E21" s="1"/>
      <c r="F21" s="1"/>
      <c r="K21" t="s">
        <v>46</v>
      </c>
      <c r="M21" s="101" t="str">
        <f>IF(ISNUMBER(SEARCH("Unit",$C$19)),"18"," ")</f>
        <v xml:space="preserve"> </v>
      </c>
      <c r="N21" s="101" t="str">
        <f>IF(ISNUMBER(SEARCH("Unit",$C$19)),"18"," ")</f>
        <v xml:space="preserve"> </v>
      </c>
      <c r="P21">
        <v>18</v>
      </c>
      <c r="Q21">
        <f t="shared" si="0"/>
        <v>2018</v>
      </c>
      <c r="R21">
        <v>2003</v>
      </c>
      <c r="V21" t="s">
        <v>15</v>
      </c>
      <c r="W21" t="s">
        <v>47</v>
      </c>
      <c r="X21">
        <v>1485</v>
      </c>
    </row>
    <row r="22" spans="1:35" ht="15.75" thickBot="1">
      <c r="A22" s="1"/>
      <c r="B22" s="19" t="s">
        <v>2</v>
      </c>
      <c r="C22" s="20">
        <v>2001</v>
      </c>
      <c r="D22" s="19"/>
      <c r="E22" s="1"/>
      <c r="F22" s="1"/>
      <c r="K22" t="s">
        <v>47</v>
      </c>
      <c r="M22" s="101" t="str">
        <f>IF(ISNUMBER(SEARCH("Unit",$C$19)),"19"," ")</f>
        <v xml:space="preserve"> </v>
      </c>
      <c r="N22" s="101" t="str">
        <f>IF(ISNUMBER(SEARCH("Unit",$C$19)),"19"," ")</f>
        <v xml:space="preserve"> </v>
      </c>
      <c r="P22">
        <v>19</v>
      </c>
      <c r="Q22">
        <f t="shared" si="0"/>
        <v>2019</v>
      </c>
      <c r="R22">
        <v>2004</v>
      </c>
      <c r="V22" t="s">
        <v>15</v>
      </c>
      <c r="W22" t="s">
        <v>37</v>
      </c>
      <c r="X22">
        <v>1455</v>
      </c>
    </row>
    <row r="23" spans="1:35">
      <c r="A23" s="1"/>
      <c r="B23" s="19"/>
      <c r="C23" s="19"/>
      <c r="D23" s="19"/>
      <c r="E23" s="1"/>
      <c r="F23" s="1"/>
      <c r="K23" t="s">
        <v>37</v>
      </c>
      <c r="M23" s="106" t="str">
        <f>IF(ISNUMBER(SEARCH("Unit",$C$19)),"20"," ")</f>
        <v xml:space="preserve"> </v>
      </c>
      <c r="N23" s="106" t="str">
        <f>IF(ISNUMBER(SEARCH("Unit",$C$19)),"20"," ")</f>
        <v xml:space="preserve"> </v>
      </c>
      <c r="P23">
        <v>20</v>
      </c>
      <c r="Q23">
        <f t="shared" si="0"/>
        <v>2020</v>
      </c>
      <c r="R23">
        <v>2005</v>
      </c>
      <c r="V23" t="s">
        <v>17</v>
      </c>
      <c r="W23" t="s">
        <v>36</v>
      </c>
      <c r="X23">
        <v>1342</v>
      </c>
    </row>
    <row r="24" spans="1:35" ht="15.75" thickBot="1">
      <c r="A24" s="1"/>
      <c r="B24" s="19"/>
      <c r="C24" s="19"/>
      <c r="D24" s="19"/>
      <c r="E24" s="1"/>
      <c r="F24" s="1"/>
      <c r="K24" t="s">
        <v>38</v>
      </c>
      <c r="M24" s="106" t="str">
        <f>IF(ISNUMBER(SEARCH("Unit",$C$19)),"21"," ")</f>
        <v xml:space="preserve"> </v>
      </c>
      <c r="N24" s="106" t="str">
        <f>IF(ISNUMBER(SEARCH("Unit",$C$19)),"21"," ")</f>
        <v xml:space="preserve"> </v>
      </c>
      <c r="P24">
        <v>21</v>
      </c>
      <c r="Q24">
        <f t="shared" si="0"/>
        <v>2021</v>
      </c>
      <c r="R24">
        <v>2006</v>
      </c>
      <c r="V24" t="s">
        <v>17</v>
      </c>
      <c r="W24" t="s">
        <v>46</v>
      </c>
      <c r="X24">
        <v>2327</v>
      </c>
    </row>
    <row r="25" spans="1:35" ht="15.75" thickBot="1">
      <c r="A25" s="1"/>
      <c r="B25" s="19" t="s">
        <v>32</v>
      </c>
      <c r="C25" s="20" cm="1">
        <f t="array" ref="C25">SUMPRODUCT((V19:V114=C20)*(W19:W114=C19)*(X19:X114))</f>
        <v>1881</v>
      </c>
      <c r="D25" s="19"/>
      <c r="E25" s="1"/>
      <c r="F25" s="1"/>
      <c r="K25" t="s">
        <v>39</v>
      </c>
      <c r="M25" s="106" t="str">
        <f>IF(ISNUMBER(SEARCH("Unit",$C$19)),"22"," ")</f>
        <v xml:space="preserve"> </v>
      </c>
      <c r="N25" s="106" t="str">
        <f>IF(ISNUMBER(SEARCH("Unit",$C$19)),"22"," ")</f>
        <v xml:space="preserve"> </v>
      </c>
      <c r="P25">
        <v>22</v>
      </c>
      <c r="Q25">
        <f t="shared" si="0"/>
        <v>2022</v>
      </c>
      <c r="R25">
        <v>2007</v>
      </c>
      <c r="V25" t="s">
        <v>17</v>
      </c>
      <c r="W25" t="s">
        <v>47</v>
      </c>
      <c r="X25">
        <v>1760</v>
      </c>
    </row>
    <row r="26" spans="1:35" ht="15.75" thickBot="1">
      <c r="A26" s="1"/>
      <c r="B26" s="19" t="s">
        <v>33</v>
      </c>
      <c r="C26" s="21">
        <f ca="1">((C21*C25)*J7)</f>
        <v>145405.94444444444</v>
      </c>
      <c r="D26" s="19"/>
      <c r="E26" s="1"/>
      <c r="F26" s="1"/>
      <c r="K26" t="s">
        <v>40</v>
      </c>
      <c r="M26" s="106" t="str">
        <f>IF(ISNUMBER(SEARCH("Unit",$C$19)),"23"," ")</f>
        <v xml:space="preserve"> </v>
      </c>
      <c r="N26" s="106" t="str">
        <f>IF(ISNUMBER(SEARCH("Unit",$C$19)),"23"," ")</f>
        <v xml:space="preserve"> </v>
      </c>
      <c r="P26">
        <v>23</v>
      </c>
      <c r="Q26">
        <f t="shared" si="0"/>
        <v>2023</v>
      </c>
      <c r="R26">
        <v>2008</v>
      </c>
      <c r="V26" t="s">
        <v>17</v>
      </c>
      <c r="W26" t="s">
        <v>37</v>
      </c>
      <c r="X26">
        <v>1543</v>
      </c>
    </row>
    <row r="27" spans="1:35">
      <c r="A27" s="1"/>
      <c r="B27" s="19"/>
      <c r="C27" s="19" t="s">
        <v>52</v>
      </c>
      <c r="D27" s="19" t="s">
        <v>53</v>
      </c>
      <c r="E27" s="1"/>
      <c r="F27" s="1"/>
      <c r="K27" t="s">
        <v>41</v>
      </c>
      <c r="M27" s="106" t="str">
        <f>IF(ISNUMBER(SEARCH("Unit",$C$19)),"24"," ")</f>
        <v xml:space="preserve"> </v>
      </c>
      <c r="N27" s="106" t="str">
        <f>IF(ISNUMBER(SEARCH("Unit",$C$19)),"24"," ")</f>
        <v xml:space="preserve"> </v>
      </c>
      <c r="P27">
        <v>24</v>
      </c>
      <c r="Q27">
        <f t="shared" si="0"/>
        <v>2024</v>
      </c>
      <c r="R27">
        <v>2009</v>
      </c>
      <c r="V27" t="s">
        <v>16</v>
      </c>
      <c r="W27" t="s">
        <v>36</v>
      </c>
      <c r="X27">
        <v>1309</v>
      </c>
    </row>
    <row r="28" spans="1:35">
      <c r="A28" s="1"/>
      <c r="B28" s="19"/>
      <c r="C28" s="22">
        <f ca="1">IF(C35="Yes",C26*0.85,C26*0.8)</f>
        <v>116324.75555555556</v>
      </c>
      <c r="D28" s="22">
        <f ca="1">IF(C35="Yes",C26*1.16,C26*1.12)</f>
        <v>162854.65777777779</v>
      </c>
      <c r="E28" s="1"/>
      <c r="F28" s="1"/>
      <c r="K28" t="s">
        <v>42</v>
      </c>
      <c r="M28" s="106" t="str">
        <f>IF(ISNUMBER(SEARCH("Unit",$C$19)),"25"," ")</f>
        <v xml:space="preserve"> </v>
      </c>
      <c r="N28" s="106" t="str">
        <f>IF(ISNUMBER(SEARCH("Unit",$C$19)),"25"," ")</f>
        <v xml:space="preserve"> </v>
      </c>
      <c r="P28">
        <v>25</v>
      </c>
      <c r="Q28">
        <f t="shared" si="0"/>
        <v>2025</v>
      </c>
      <c r="R28">
        <v>2010</v>
      </c>
      <c r="V28" t="s">
        <v>16</v>
      </c>
      <c r="W28" t="s">
        <v>46</v>
      </c>
      <c r="X28">
        <v>2321</v>
      </c>
    </row>
    <row r="29" spans="1:35">
      <c r="A29" s="1"/>
      <c r="B29" s="1"/>
      <c r="C29" s="1"/>
      <c r="D29" s="1"/>
      <c r="E29" s="1"/>
      <c r="F29" s="1"/>
      <c r="K29" t="s">
        <v>43</v>
      </c>
      <c r="M29" s="106" t="str">
        <f>IF(ISNUMBER(SEARCH("Unit",$C$19)),"26"," ")</f>
        <v xml:space="preserve"> </v>
      </c>
      <c r="N29" s="106" t="str">
        <f>IF(ISNUMBER(SEARCH("Unit",$C$19)),"26"," ")</f>
        <v xml:space="preserve"> </v>
      </c>
      <c r="P29">
        <v>26</v>
      </c>
      <c r="Q29">
        <f t="shared" si="0"/>
        <v>2026</v>
      </c>
      <c r="R29">
        <v>2011</v>
      </c>
      <c r="V29" t="s">
        <v>16</v>
      </c>
      <c r="W29" t="s">
        <v>47</v>
      </c>
      <c r="X29">
        <v>1876</v>
      </c>
    </row>
    <row r="30" spans="1:35">
      <c r="A30" s="1"/>
      <c r="B30" s="93" t="s">
        <v>58</v>
      </c>
      <c r="C30" s="19"/>
      <c r="D30" s="1"/>
      <c r="E30" s="1"/>
      <c r="F30" s="1"/>
      <c r="K30" t="s">
        <v>44</v>
      </c>
      <c r="M30" s="106" t="str">
        <f>IF(ISNUMBER(SEARCH("Unit",$C$19)),"27"," ")</f>
        <v xml:space="preserve"> </v>
      </c>
      <c r="N30" s="106" t="str">
        <f>IF(ISNUMBER(SEARCH("Unit",$C$19)),"27"," ")</f>
        <v xml:space="preserve"> </v>
      </c>
      <c r="P30">
        <v>27</v>
      </c>
      <c r="Q30">
        <f t="shared" si="0"/>
        <v>2027</v>
      </c>
      <c r="R30">
        <v>2012</v>
      </c>
      <c r="V30" t="s">
        <v>16</v>
      </c>
      <c r="W30" t="s">
        <v>37</v>
      </c>
      <c r="X30">
        <v>1505</v>
      </c>
      <c r="AH30" t="s">
        <v>132</v>
      </c>
      <c r="AI30" t="str">
        <f>IF(C34&gt;2016,"Yes","No")</f>
        <v>No</v>
      </c>
    </row>
    <row r="31" spans="1:35" ht="15.75" thickBot="1">
      <c r="A31" s="1"/>
      <c r="B31" s="93" t="s">
        <v>59</v>
      </c>
      <c r="C31" s="19"/>
      <c r="D31" s="1"/>
      <c r="E31" s="1"/>
      <c r="F31" s="1"/>
      <c r="K31" t="s">
        <v>45</v>
      </c>
      <c r="M31" s="106" t="str">
        <f>IF(ISNUMBER(SEARCH("Unit",$C$19)),"28"," ")</f>
        <v xml:space="preserve"> </v>
      </c>
      <c r="N31" s="106" t="str">
        <f>IF(ISNUMBER(SEARCH("Unit",$C$19)),"28"," ")</f>
        <v xml:space="preserve"> </v>
      </c>
      <c r="P31">
        <v>28</v>
      </c>
      <c r="Q31">
        <f t="shared" si="0"/>
        <v>2028</v>
      </c>
      <c r="R31">
        <v>2013</v>
      </c>
      <c r="V31" t="s">
        <v>20</v>
      </c>
      <c r="W31" t="s">
        <v>36</v>
      </c>
      <c r="X31">
        <v>1106</v>
      </c>
      <c r="AH31" t="s">
        <v>133</v>
      </c>
      <c r="AI31" t="str">
        <f>C35</f>
        <v>No</v>
      </c>
    </row>
    <row r="32" spans="1:35" ht="15.75" thickBot="1">
      <c r="A32" s="1"/>
      <c r="B32" s="19" t="s">
        <v>54</v>
      </c>
      <c r="C32" s="96">
        <v>20</v>
      </c>
      <c r="D32" s="1"/>
      <c r="E32" s="1"/>
      <c r="F32" s="1"/>
      <c r="M32" s="106" t="str">
        <f>IF(ISNUMBER(SEARCH("Unit",$C$19)),"29"," ")</f>
        <v xml:space="preserve"> </v>
      </c>
      <c r="N32" s="106" t="str">
        <f>IF(ISNUMBER(SEARCH("Unit",$C$19)),"29"," ")</f>
        <v xml:space="preserve"> </v>
      </c>
      <c r="P32">
        <v>29</v>
      </c>
      <c r="Q32">
        <f t="shared" si="0"/>
        <v>2029</v>
      </c>
      <c r="R32">
        <v>2014</v>
      </c>
      <c r="V32" t="s">
        <v>20</v>
      </c>
      <c r="W32" t="s">
        <v>46</v>
      </c>
      <c r="X32">
        <v>2569</v>
      </c>
    </row>
    <row r="33" spans="1:24" ht="15.75" thickBot="1">
      <c r="A33" s="1"/>
      <c r="B33" s="19" t="s">
        <v>55</v>
      </c>
      <c r="C33" s="97">
        <v>10</v>
      </c>
      <c r="D33" s="1"/>
      <c r="E33" s="1"/>
      <c r="F33" s="1"/>
      <c r="M33" s="106" t="str">
        <f>IF(ISNUMBER(SEARCH("Unit",$C$19)),"30"," ")</f>
        <v xml:space="preserve"> </v>
      </c>
      <c r="N33" s="106" t="str">
        <f>IF(ISNUMBER(SEARCH("Unit",$C$19)),"30"," ")</f>
        <v xml:space="preserve"> </v>
      </c>
      <c r="P33">
        <v>30</v>
      </c>
      <c r="Q33">
        <f t="shared" si="0"/>
        <v>2030</v>
      </c>
      <c r="R33">
        <v>2015</v>
      </c>
      <c r="V33" t="s">
        <v>20</v>
      </c>
      <c r="W33" t="s">
        <v>47</v>
      </c>
      <c r="X33">
        <v>1881</v>
      </c>
    </row>
    <row r="34" spans="1:24" ht="15.75" thickBot="1">
      <c r="A34" s="1"/>
      <c r="B34" s="19" t="s">
        <v>56</v>
      </c>
      <c r="C34" s="97">
        <v>2016</v>
      </c>
      <c r="D34" s="95" t="s">
        <v>64</v>
      </c>
      <c r="E34" s="7">
        <f>DATE(C34, 7, 1)</f>
        <v>42552</v>
      </c>
      <c r="F34" s="1"/>
      <c r="M34" s="106" t="str">
        <f>IF(ISNUMBER(SEARCH("Unit",$C$19)),"31"," ")</f>
        <v xml:space="preserve"> </v>
      </c>
      <c r="N34" s="106" t="str">
        <f>IF(ISNUMBER(SEARCH("Unit",$C$19)),"31"," ")</f>
        <v xml:space="preserve"> </v>
      </c>
      <c r="P34">
        <v>31</v>
      </c>
      <c r="Q34">
        <f t="shared" si="0"/>
        <v>2031</v>
      </c>
      <c r="R34">
        <v>2016</v>
      </c>
      <c r="V34" t="s">
        <v>20</v>
      </c>
      <c r="W34" t="s">
        <v>37</v>
      </c>
      <c r="X34">
        <v>1271</v>
      </c>
    </row>
    <row r="35" spans="1:24" ht="15.75" thickBot="1">
      <c r="A35" s="1"/>
      <c r="B35" s="19" t="s">
        <v>57</v>
      </c>
      <c r="C35" s="97" t="s">
        <v>13</v>
      </c>
      <c r="D35" s="1"/>
      <c r="E35" s="1"/>
      <c r="F35" s="1"/>
      <c r="M35" s="106" t="str">
        <f>IF(ISNUMBER(SEARCH("Unit",$C$19)),"32"," ")</f>
        <v xml:space="preserve"> </v>
      </c>
      <c r="N35" s="106" t="str">
        <f>IF(ISNUMBER(SEARCH("Unit",$C$19)),"32"," ")</f>
        <v xml:space="preserve"> </v>
      </c>
      <c r="P35">
        <v>32</v>
      </c>
      <c r="Q35">
        <f t="shared" si="0"/>
        <v>2032</v>
      </c>
      <c r="R35">
        <v>2017</v>
      </c>
      <c r="V35" t="s">
        <v>14</v>
      </c>
      <c r="W35" t="s">
        <v>36</v>
      </c>
      <c r="X35">
        <v>1381</v>
      </c>
    </row>
    <row r="36" spans="1:24">
      <c r="A36" s="1"/>
      <c r="B36" s="1"/>
      <c r="C36" s="1"/>
      <c r="D36" s="1"/>
      <c r="E36" s="1"/>
      <c r="F36" s="1"/>
      <c r="M36" s="106" t="str">
        <f>IF(ISNUMBER(SEARCH("Unit",$C$19)),"33"," ")</f>
        <v xml:space="preserve"> </v>
      </c>
      <c r="N36" s="106" t="str">
        <f>IF(ISNUMBER(SEARCH("Unit",$C$19)),"33"," ")</f>
        <v xml:space="preserve"> </v>
      </c>
      <c r="P36">
        <v>33</v>
      </c>
      <c r="Q36">
        <f t="shared" si="0"/>
        <v>2033</v>
      </c>
      <c r="R36">
        <v>2018</v>
      </c>
      <c r="V36" t="s">
        <v>14</v>
      </c>
      <c r="W36" t="s">
        <v>46</v>
      </c>
      <c r="X36">
        <v>2365</v>
      </c>
    </row>
    <row r="37" spans="1:24">
      <c r="A37" s="1"/>
      <c r="B37" s="98"/>
      <c r="C37" s="94" t="s">
        <v>123</v>
      </c>
      <c r="D37" s="94"/>
      <c r="E37" s="94"/>
      <c r="F37" s="94"/>
      <c r="M37" s="106" t="str">
        <f>IF(ISNUMBER(SEARCH("Unit",$C$19)),"34"," ")</f>
        <v xml:space="preserve"> </v>
      </c>
      <c r="N37" s="106" t="str">
        <f>IF(ISNUMBER(SEARCH("Unit",$C$19)),"34"," ")</f>
        <v xml:space="preserve"> </v>
      </c>
      <c r="P37">
        <v>34</v>
      </c>
      <c r="Q37">
        <f t="shared" si="0"/>
        <v>2034</v>
      </c>
      <c r="R37">
        <v>2019</v>
      </c>
      <c r="V37" t="s">
        <v>14</v>
      </c>
      <c r="W37" t="s">
        <v>47</v>
      </c>
      <c r="X37">
        <v>1936</v>
      </c>
    </row>
    <row r="38" spans="1:24">
      <c r="A38" s="1"/>
      <c r="B38" s="98"/>
      <c r="C38" s="94" t="s">
        <v>126</v>
      </c>
      <c r="D38" s="94" t="s">
        <v>124</v>
      </c>
      <c r="E38" s="94" t="s">
        <v>127</v>
      </c>
      <c r="F38" s="94" t="s">
        <v>128</v>
      </c>
      <c r="M38" s="106" t="str">
        <f>IF(ISNUMBER(SEARCH("Unit",$C$19)),"35"," ")</f>
        <v xml:space="preserve"> </v>
      </c>
      <c r="N38" s="106" t="str">
        <f>IF(ISNUMBER(SEARCH("Unit",$C$19)),"35"," ")</f>
        <v xml:space="preserve"> </v>
      </c>
      <c r="P38">
        <v>35</v>
      </c>
      <c r="Q38">
        <f t="shared" si="0"/>
        <v>2035</v>
      </c>
      <c r="R38">
        <v>2020</v>
      </c>
      <c r="V38" t="s">
        <v>14</v>
      </c>
      <c r="W38" t="s">
        <v>37</v>
      </c>
      <c r="X38">
        <v>1588</v>
      </c>
    </row>
    <row r="39" spans="1:24">
      <c r="A39" s="1"/>
      <c r="B39" s="99">
        <v>1</v>
      </c>
      <c r="C39" s="98" t="s">
        <v>134</v>
      </c>
      <c r="D39" s="102">
        <f ca="1">IF('P&amp;E'!W41&gt;0,'P&amp;E'!W41,0)</f>
        <v>1747.5100000000002</v>
      </c>
      <c r="E39" s="102">
        <f ca="1">$C$28/40</f>
        <v>2908.1188888888892</v>
      </c>
      <c r="F39" s="103">
        <f ca="1">(D39+E39)*0.9</f>
        <v>4190.0660000000007</v>
      </c>
      <c r="M39" s="106" t="str">
        <f>IF(ISNUMBER(SEARCH("Unit",$C$19)),"36"," ")</f>
        <v xml:space="preserve"> </v>
      </c>
      <c r="N39" s="106" t="str">
        <f>IF(ISNUMBER(SEARCH("Unit",$C$19)),"36"," ")</f>
        <v xml:space="preserve"> </v>
      </c>
      <c r="P39">
        <v>36</v>
      </c>
      <c r="V39" t="s">
        <v>18</v>
      </c>
      <c r="W39" t="s">
        <v>36</v>
      </c>
      <c r="X39">
        <v>1455</v>
      </c>
    </row>
    <row r="40" spans="1:24">
      <c r="A40" s="1"/>
      <c r="B40" s="99">
        <v>2</v>
      </c>
      <c r="C40" s="98" t="s">
        <v>135</v>
      </c>
      <c r="D40" s="102">
        <f ca="1">IF('P&amp;E'!X41&gt;0,'P&amp;E'!X41,0)</f>
        <v>257.14999999999998</v>
      </c>
      <c r="E40" s="102">
        <f t="shared" ref="E40:E43" ca="1" si="6">$C$28/40</f>
        <v>2908.1188888888892</v>
      </c>
      <c r="F40" s="103">
        <f ca="1">(D40+E40)*0.9</f>
        <v>2848.7420000000002</v>
      </c>
      <c r="M40" s="106" t="str">
        <f>IF(ISNUMBER(SEARCH("Unit",$C$19)),"37"," ")</f>
        <v xml:space="preserve"> </v>
      </c>
      <c r="N40" s="106" t="str">
        <f>IF(ISNUMBER(SEARCH("Unit",$C$19)),"37"," ")</f>
        <v xml:space="preserve"> </v>
      </c>
      <c r="P40">
        <v>37</v>
      </c>
      <c r="V40" t="s">
        <v>18</v>
      </c>
      <c r="W40" t="s">
        <v>46</v>
      </c>
      <c r="X40">
        <v>2568</v>
      </c>
    </row>
    <row r="41" spans="1:24">
      <c r="A41" s="1"/>
      <c r="B41" s="99">
        <v>3</v>
      </c>
      <c r="C41" s="98" t="s">
        <v>136</v>
      </c>
      <c r="D41" s="102">
        <f ca="1">IF('P&amp;E'!Y41&gt;0,'P&amp;E'!Y41,0)</f>
        <v>214.95</v>
      </c>
      <c r="E41" s="102">
        <f t="shared" ca="1" si="6"/>
        <v>2908.1188888888892</v>
      </c>
      <c r="F41" s="103">
        <f ca="1">(D41+E41)*0.9</f>
        <v>2810.7620000000002</v>
      </c>
      <c r="M41" s="106" t="str">
        <f>IF(ISNUMBER(SEARCH("Unit",$C$19)),"38"," ")</f>
        <v xml:space="preserve"> </v>
      </c>
      <c r="N41" s="106" t="str">
        <f>IF(ISNUMBER(SEARCH("Unit",$C$19)),"38"," ")</f>
        <v xml:space="preserve"> </v>
      </c>
      <c r="P41">
        <v>38</v>
      </c>
      <c r="V41" t="s">
        <v>18</v>
      </c>
      <c r="W41" t="s">
        <v>47</v>
      </c>
      <c r="X41">
        <v>1708</v>
      </c>
    </row>
    <row r="42" spans="1:24">
      <c r="A42" s="1"/>
      <c r="B42" s="99">
        <v>4</v>
      </c>
      <c r="C42" s="98" t="s">
        <v>137</v>
      </c>
      <c r="D42" s="102">
        <f ca="1">IF('P&amp;E'!Z41&gt;0,'P&amp;E'!Z41,0)</f>
        <v>214.95</v>
      </c>
      <c r="E42" s="102">
        <f t="shared" ca="1" si="6"/>
        <v>2908.1188888888892</v>
      </c>
      <c r="F42" s="103">
        <f ca="1">(D42+E42)*0.9</f>
        <v>2810.7620000000002</v>
      </c>
      <c r="M42" s="106" t="str">
        <f>IF(ISNUMBER(SEARCH("Unit",$C$19)),"39"," ")</f>
        <v xml:space="preserve"> </v>
      </c>
      <c r="N42" s="106" t="str">
        <f>IF(ISNUMBER(SEARCH("Unit",$C$19)),"39"," ")</f>
        <v xml:space="preserve"> </v>
      </c>
      <c r="P42">
        <v>39</v>
      </c>
      <c r="Q42">
        <f>IF(Q4&lt;2021,Q4," ")</f>
        <v>2001</v>
      </c>
      <c r="V42" t="s">
        <v>18</v>
      </c>
      <c r="W42" t="s">
        <v>37</v>
      </c>
      <c r="X42">
        <v>1673</v>
      </c>
    </row>
    <row r="43" spans="1:24">
      <c r="A43" s="1"/>
      <c r="B43" s="99">
        <v>5</v>
      </c>
      <c r="C43" s="98" t="s">
        <v>138</v>
      </c>
      <c r="D43" s="102">
        <f ca="1">IF('P&amp;E'!AA41&gt;0,'P&amp;E'!AA41,0)</f>
        <v>150.91</v>
      </c>
      <c r="E43" s="102">
        <f t="shared" ca="1" si="6"/>
        <v>2908.1188888888892</v>
      </c>
      <c r="F43" s="103">
        <f ca="1">(D43+E43)*0.9</f>
        <v>2753.1260000000002</v>
      </c>
      <c r="M43" s="106" t="str">
        <f>IF(ISNUMBER(SEARCH("Unit",$C$19)),"40"," ")</f>
        <v xml:space="preserve"> </v>
      </c>
      <c r="N43" s="106" t="str">
        <f>IF(ISNUMBER(SEARCH("Unit",$C$19)),"40"," ")</f>
        <v xml:space="preserve"> </v>
      </c>
      <c r="P43">
        <v>40</v>
      </c>
      <c r="Q43">
        <f>IF(Q5&lt;2021,Q5," ")</f>
        <v>2002</v>
      </c>
      <c r="V43" t="s">
        <v>19</v>
      </c>
      <c r="W43" t="s">
        <v>36</v>
      </c>
      <c r="X43">
        <v>1335</v>
      </c>
    </row>
    <row r="44" spans="1:24">
      <c r="A44" s="1"/>
      <c r="B44" s="99"/>
      <c r="C44" s="94" t="s">
        <v>125</v>
      </c>
      <c r="D44" s="104"/>
      <c r="E44" s="104"/>
      <c r="F44" s="104"/>
      <c r="M44" s="106" t="str">
        <f>IF(ISNUMBER(SEARCH("Unit",$C$19)),"41"," ")</f>
        <v xml:space="preserve"> </v>
      </c>
      <c r="N44" s="106" t="str">
        <f>IF(ISNUMBER(SEARCH("Unit",$C$19)),"41"," ")</f>
        <v xml:space="preserve"> </v>
      </c>
      <c r="P44">
        <v>41</v>
      </c>
      <c r="Q44">
        <f t="shared" ref="Q44:Q75" si="7">IF(Q6&lt;2021,Q6," ")</f>
        <v>2003</v>
      </c>
      <c r="V44" t="s">
        <v>19</v>
      </c>
      <c r="W44" t="s">
        <v>46</v>
      </c>
      <c r="X44">
        <v>2419</v>
      </c>
    </row>
    <row r="45" spans="1:24">
      <c r="A45" s="1"/>
      <c r="B45" s="99"/>
      <c r="C45" s="94" t="s">
        <v>126</v>
      </c>
      <c r="D45" s="104" t="s">
        <v>124</v>
      </c>
      <c r="E45" s="104" t="s">
        <v>127</v>
      </c>
      <c r="F45" s="104" t="s">
        <v>128</v>
      </c>
      <c r="M45" s="106" t="str">
        <f>IF(ISNUMBER(SEARCH("Unit",$C$19)),"42"," ")</f>
        <v xml:space="preserve"> </v>
      </c>
      <c r="N45" s="106" t="str">
        <f>IF(ISNUMBER(SEARCH("Unit",$C$19)),"42"," ")</f>
        <v xml:space="preserve"> </v>
      </c>
      <c r="P45">
        <v>42</v>
      </c>
      <c r="Q45">
        <f t="shared" si="7"/>
        <v>2004</v>
      </c>
      <c r="V45" t="s">
        <v>19</v>
      </c>
      <c r="W45" t="s">
        <v>47</v>
      </c>
      <c r="X45">
        <v>1819</v>
      </c>
    </row>
    <row r="46" spans="1:24">
      <c r="A46" s="1"/>
      <c r="B46" s="99">
        <v>1</v>
      </c>
      <c r="C46" s="98" t="s">
        <v>134</v>
      </c>
      <c r="D46" s="102">
        <f ca="1">D39*1.1</f>
        <v>1922.2610000000004</v>
      </c>
      <c r="E46" s="102">
        <f ca="1">$D$28/40</f>
        <v>4071.3664444444448</v>
      </c>
      <c r="F46" s="103">
        <f ca="1">D46+E46</f>
        <v>5993.6274444444452</v>
      </c>
      <c r="M46" s="106" t="str">
        <f>IF(ISNUMBER(SEARCH("Unit",$C$19)),"43"," ")</f>
        <v xml:space="preserve"> </v>
      </c>
      <c r="N46" s="106" t="str">
        <f>IF(ISNUMBER(SEARCH("Unit",$C$19)),"43"," ")</f>
        <v xml:space="preserve"> </v>
      </c>
      <c r="P46">
        <v>43</v>
      </c>
      <c r="Q46">
        <f t="shared" si="7"/>
        <v>2005</v>
      </c>
      <c r="V46" t="s">
        <v>19</v>
      </c>
      <c r="W46" t="s">
        <v>37</v>
      </c>
      <c r="X46">
        <v>1536</v>
      </c>
    </row>
    <row r="47" spans="1:24">
      <c r="A47" s="1"/>
      <c r="B47" s="99">
        <v>2</v>
      </c>
      <c r="C47" s="98" t="s">
        <v>135</v>
      </c>
      <c r="D47" s="102">
        <f t="shared" ref="D47:D50" ca="1" si="8">D40*1.1</f>
        <v>282.86500000000001</v>
      </c>
      <c r="E47" s="102">
        <f t="shared" ref="E47:E50" ca="1" si="9">$D$28/40</f>
        <v>4071.3664444444448</v>
      </c>
      <c r="F47" s="103">
        <f t="shared" ref="F47:F50" ca="1" si="10">D47+E47</f>
        <v>4354.2314444444446</v>
      </c>
      <c r="M47" s="106" t="str">
        <f>IF(ISNUMBER(SEARCH("Unit",$C$19)),"44"," ")</f>
        <v xml:space="preserve"> </v>
      </c>
      <c r="N47" s="106" t="str">
        <f>IF(ISNUMBER(SEARCH("Unit",$C$19)),"44"," ")</f>
        <v xml:space="preserve"> </v>
      </c>
      <c r="P47">
        <v>44</v>
      </c>
      <c r="Q47">
        <f t="shared" si="7"/>
        <v>2006</v>
      </c>
      <c r="V47" t="s">
        <v>21</v>
      </c>
      <c r="W47" t="s">
        <v>36</v>
      </c>
      <c r="X47">
        <v>1491</v>
      </c>
    </row>
    <row r="48" spans="1:24">
      <c r="A48" s="1"/>
      <c r="B48" s="99">
        <v>3</v>
      </c>
      <c r="C48" s="98" t="s">
        <v>136</v>
      </c>
      <c r="D48" s="102">
        <f t="shared" ca="1" si="8"/>
        <v>236.44499999999999</v>
      </c>
      <c r="E48" s="102">
        <f t="shared" ca="1" si="9"/>
        <v>4071.3664444444448</v>
      </c>
      <c r="F48" s="103">
        <f t="shared" ca="1" si="10"/>
        <v>4307.8114444444445</v>
      </c>
      <c r="M48" s="106" t="str">
        <f>IF(ISNUMBER(SEARCH("Unit",$C$19)),"45"," ")</f>
        <v xml:space="preserve"> </v>
      </c>
      <c r="N48" s="106" t="str">
        <f>IF(ISNUMBER(SEARCH("Unit",$C$19)),"45"," ")</f>
        <v xml:space="preserve"> </v>
      </c>
      <c r="P48">
        <v>45</v>
      </c>
      <c r="Q48">
        <f t="shared" si="7"/>
        <v>2007</v>
      </c>
      <c r="V48" t="s">
        <v>21</v>
      </c>
      <c r="W48" t="s">
        <v>46</v>
      </c>
      <c r="X48">
        <v>2554</v>
      </c>
    </row>
    <row r="49" spans="1:24">
      <c r="A49" s="1"/>
      <c r="B49" s="99">
        <v>4</v>
      </c>
      <c r="C49" s="98" t="s">
        <v>137</v>
      </c>
      <c r="D49" s="102">
        <f t="shared" ca="1" si="8"/>
        <v>236.44499999999999</v>
      </c>
      <c r="E49" s="102">
        <f t="shared" ca="1" si="9"/>
        <v>4071.3664444444448</v>
      </c>
      <c r="F49" s="103">
        <f t="shared" ca="1" si="10"/>
        <v>4307.8114444444445</v>
      </c>
      <c r="M49" s="106" t="str">
        <f>IF(ISNUMBER(SEARCH("Unit",$C$19)),"46"," ")</f>
        <v xml:space="preserve"> </v>
      </c>
      <c r="N49" s="106" t="str">
        <f>IF(ISNUMBER(SEARCH("Unit",$C$19)),"46"," ")</f>
        <v xml:space="preserve"> </v>
      </c>
      <c r="P49">
        <v>46</v>
      </c>
      <c r="Q49">
        <f t="shared" si="7"/>
        <v>2008</v>
      </c>
      <c r="V49" t="s">
        <v>21</v>
      </c>
      <c r="W49" t="s">
        <v>47</v>
      </c>
      <c r="X49">
        <v>2091</v>
      </c>
    </row>
    <row r="50" spans="1:24">
      <c r="A50" s="1"/>
      <c r="B50" s="99">
        <v>5</v>
      </c>
      <c r="C50" s="98" t="s">
        <v>138</v>
      </c>
      <c r="D50" s="102">
        <f t="shared" ca="1" si="8"/>
        <v>166.001</v>
      </c>
      <c r="E50" s="102">
        <f t="shared" ca="1" si="9"/>
        <v>4071.3664444444448</v>
      </c>
      <c r="F50" s="103">
        <f t="shared" ca="1" si="10"/>
        <v>4237.367444444445</v>
      </c>
      <c r="M50" s="106" t="str">
        <f>IF(ISNUMBER(SEARCH("Unit",$C$19)),"47"," ")</f>
        <v xml:space="preserve"> </v>
      </c>
      <c r="N50" s="106" t="str">
        <f>IF(ISNUMBER(SEARCH("Unit",$C$19)),"47"," ")</f>
        <v xml:space="preserve"> </v>
      </c>
      <c r="P50">
        <v>47</v>
      </c>
      <c r="Q50">
        <f t="shared" si="7"/>
        <v>2009</v>
      </c>
      <c r="V50" s="17" t="s">
        <v>21</v>
      </c>
      <c r="W50" s="17" t="s">
        <v>37</v>
      </c>
      <c r="X50">
        <v>1715</v>
      </c>
    </row>
    <row r="51" spans="1:24">
      <c r="A51" s="1"/>
      <c r="B51" s="1"/>
      <c r="C51" s="1"/>
      <c r="D51" s="1"/>
      <c r="E51" s="1"/>
      <c r="F51" s="1"/>
      <c r="M51" s="106" t="str">
        <f>IF(ISNUMBER(SEARCH("Unit",$C$19)),"48"," ")</f>
        <v xml:space="preserve"> </v>
      </c>
      <c r="N51" s="106" t="str">
        <f>IF(ISNUMBER(SEARCH("Unit",$C$19)),"48"," ")</f>
        <v xml:space="preserve"> </v>
      </c>
      <c r="P51">
        <v>48</v>
      </c>
      <c r="Q51">
        <f t="shared" si="7"/>
        <v>2010</v>
      </c>
      <c r="V51" t="s">
        <v>15</v>
      </c>
      <c r="W51" t="s">
        <v>38</v>
      </c>
      <c r="X51">
        <v>1524</v>
      </c>
    </row>
    <row r="52" spans="1:24">
      <c r="D52" t="s">
        <v>124</v>
      </c>
      <c r="E52" t="s">
        <v>127</v>
      </c>
      <c r="F52" t="s">
        <v>128</v>
      </c>
      <c r="M52" s="106" t="str">
        <f>IF(ISNUMBER(SEARCH("Unit",$C$19)),"49"," ")</f>
        <v xml:space="preserve"> </v>
      </c>
      <c r="N52" s="106" t="str">
        <f>IF(ISNUMBER(SEARCH("Unit",$C$19)),"49"," ")</f>
        <v xml:space="preserve"> </v>
      </c>
      <c r="P52">
        <v>49</v>
      </c>
      <c r="Q52">
        <f t="shared" si="7"/>
        <v>2011</v>
      </c>
      <c r="V52" t="s">
        <v>15</v>
      </c>
      <c r="W52" t="s">
        <v>39</v>
      </c>
      <c r="X52">
        <v>2437</v>
      </c>
    </row>
    <row r="53" spans="1:24" ht="21">
      <c r="C53" s="98" t="s">
        <v>134</v>
      </c>
      <c r="D53" s="107" t="str">
        <f ca="1">CONCATENATE("MIN "," $",ROUND(D39,0)," - ","MAX "," $",ROUND(D46,0))</f>
        <v>MIN  $1748 - MAX  $1922</v>
      </c>
      <c r="E53" s="107" t="str">
        <f t="shared" ref="E53:F53" ca="1" si="11">CONCATENATE("MIN "," $",ROUND(E39,0)," - ","MAX "," $",ROUND(E46,0))</f>
        <v>MIN  $2908 - MAX  $4071</v>
      </c>
      <c r="F53" s="107" t="str">
        <f t="shared" ca="1" si="11"/>
        <v>MIN  $4190 - MAX  $5994</v>
      </c>
      <c r="M53" s="106" t="str">
        <f>IF(ISNUMBER(SEARCH("Unit",$C$19)),"50"," ")</f>
        <v xml:space="preserve"> </v>
      </c>
      <c r="N53" s="106" t="str">
        <f>IF(ISNUMBER(SEARCH("Unit",$C$19)),"50"," ")</f>
        <v xml:space="preserve"> </v>
      </c>
      <c r="P53">
        <v>50</v>
      </c>
      <c r="Q53">
        <f t="shared" si="7"/>
        <v>2012</v>
      </c>
      <c r="V53" t="s">
        <v>15</v>
      </c>
      <c r="W53" t="s">
        <v>40</v>
      </c>
      <c r="X53">
        <v>1617</v>
      </c>
    </row>
    <row r="54" spans="1:24" ht="21">
      <c r="C54" s="98" t="s">
        <v>135</v>
      </c>
      <c r="D54" s="107" t="str">
        <f t="shared" ref="D54:F57" ca="1" si="12">CONCATENATE("MIN "," $",ROUND(D40,0)," - ","MAX "," $",ROUND(D47,0))</f>
        <v>MIN  $257 - MAX  $283</v>
      </c>
      <c r="E54" s="107" t="str">
        <f t="shared" ca="1" si="12"/>
        <v>MIN  $2908 - MAX  $4071</v>
      </c>
      <c r="F54" s="107" t="str">
        <f t="shared" ca="1" si="12"/>
        <v>MIN  $2849 - MAX  $4354</v>
      </c>
      <c r="M54" s="106" t="str">
        <f>IF(ISNUMBER(SEARCH("Unit",$C$19)),"51"," ")</f>
        <v xml:space="preserve"> </v>
      </c>
      <c r="N54" s="106" t="str">
        <f>IF(ISNUMBER(SEARCH("Unit",$C$19)),"51"," ")</f>
        <v xml:space="preserve"> </v>
      </c>
      <c r="P54">
        <v>51</v>
      </c>
      <c r="Q54">
        <f t="shared" si="7"/>
        <v>2013</v>
      </c>
      <c r="V54" t="s">
        <v>15</v>
      </c>
      <c r="W54" t="s">
        <v>41</v>
      </c>
      <c r="X54">
        <v>1752</v>
      </c>
    </row>
    <row r="55" spans="1:24" ht="21">
      <c r="C55" s="98" t="s">
        <v>136</v>
      </c>
      <c r="D55" s="107" t="str">
        <f t="shared" ca="1" si="12"/>
        <v>MIN  $215 - MAX  $236</v>
      </c>
      <c r="E55" s="107" t="str">
        <f t="shared" ca="1" si="12"/>
        <v>MIN  $2908 - MAX  $4071</v>
      </c>
      <c r="F55" s="107" t="str">
        <f t="shared" ca="1" si="12"/>
        <v>MIN  $2811 - MAX  $4308</v>
      </c>
      <c r="M55" s="106" t="str">
        <f>IF(ISNUMBER(SEARCH("Unit",$C$19)),"52"," ")</f>
        <v xml:space="preserve"> </v>
      </c>
      <c r="N55" s="106" t="str">
        <f>IF(ISNUMBER(SEARCH("Unit",$C$19)),"52"," ")</f>
        <v xml:space="preserve"> </v>
      </c>
      <c r="P55">
        <v>52</v>
      </c>
      <c r="Q55">
        <f t="shared" si="7"/>
        <v>2014</v>
      </c>
      <c r="V55" t="s">
        <v>17</v>
      </c>
      <c r="W55" t="s">
        <v>38</v>
      </c>
      <c r="X55">
        <v>1804</v>
      </c>
    </row>
    <row r="56" spans="1:24" ht="21">
      <c r="C56" s="98" t="s">
        <v>137</v>
      </c>
      <c r="D56" s="107" t="str">
        <f t="shared" ca="1" si="12"/>
        <v>MIN  $215 - MAX  $236</v>
      </c>
      <c r="E56" s="107" t="str">
        <f t="shared" ca="1" si="12"/>
        <v>MIN  $2908 - MAX  $4071</v>
      </c>
      <c r="F56" s="107" t="str">
        <f t="shared" ca="1" si="12"/>
        <v>MIN  $2811 - MAX  $4308</v>
      </c>
      <c r="M56" s="106" t="str">
        <f>IF(ISNUMBER(SEARCH("Unit",$C$19)),"53"," ")</f>
        <v xml:space="preserve"> </v>
      </c>
      <c r="N56" s="106" t="str">
        <f>IF(ISNUMBER(SEARCH("Unit",$C$19)),"53"," ")</f>
        <v xml:space="preserve"> </v>
      </c>
      <c r="P56">
        <v>53</v>
      </c>
      <c r="Q56">
        <f t="shared" si="7"/>
        <v>2015</v>
      </c>
      <c r="V56" t="s">
        <v>17</v>
      </c>
      <c r="W56" t="s">
        <v>39</v>
      </c>
      <c r="X56">
        <v>2503</v>
      </c>
    </row>
    <row r="57" spans="1:24" ht="21">
      <c r="C57" s="98" t="s">
        <v>138</v>
      </c>
      <c r="D57" s="107" t="str">
        <f t="shared" ca="1" si="12"/>
        <v>MIN  $151 - MAX  $166</v>
      </c>
      <c r="E57" s="107" t="str">
        <f t="shared" ca="1" si="12"/>
        <v>MIN  $2908 - MAX  $4071</v>
      </c>
      <c r="F57" s="107" t="str">
        <f t="shared" ca="1" si="12"/>
        <v>MIN  $2753 - MAX  $4237</v>
      </c>
      <c r="M57" s="106" t="str">
        <f>IF(ISNUMBER(SEARCH("Unit",$C$19)),"54"," ")</f>
        <v xml:space="preserve"> </v>
      </c>
      <c r="N57" s="106" t="str">
        <f>IF(ISNUMBER(SEARCH("Unit",$C$19)),"54"," ")</f>
        <v xml:space="preserve"> </v>
      </c>
      <c r="P57">
        <v>54</v>
      </c>
      <c r="Q57">
        <f t="shared" si="7"/>
        <v>2016</v>
      </c>
      <c r="V57" t="s">
        <v>17</v>
      </c>
      <c r="W57" t="s">
        <v>40</v>
      </c>
      <c r="X57">
        <v>1925</v>
      </c>
    </row>
    <row r="58" spans="1:24">
      <c r="M58" s="106" t="str">
        <f>IF(ISNUMBER(SEARCH("Unit",$C$19)),"55"," ")</f>
        <v xml:space="preserve"> </v>
      </c>
      <c r="N58" s="106" t="str">
        <f>IF(ISNUMBER(SEARCH("Unit",$C$19)),"55"," ")</f>
        <v xml:space="preserve"> </v>
      </c>
      <c r="P58">
        <v>55</v>
      </c>
      <c r="Q58">
        <f>IF(Q20&lt;2021,Q20," ")</f>
        <v>2017</v>
      </c>
      <c r="V58" t="s">
        <v>17</v>
      </c>
      <c r="W58" t="s">
        <v>41</v>
      </c>
      <c r="X58">
        <v>2075</v>
      </c>
    </row>
    <row r="59" spans="1:24">
      <c r="M59" s="106" t="str">
        <f>IF(ISNUMBER(SEARCH("Unit",$C$19)),"56"," ")</f>
        <v xml:space="preserve"> </v>
      </c>
      <c r="N59" s="106" t="str">
        <f>IF(ISNUMBER(SEARCH("Unit",$C$19)),"56"," ")</f>
        <v xml:space="preserve"> </v>
      </c>
      <c r="P59">
        <v>56</v>
      </c>
      <c r="Q59">
        <f t="shared" si="7"/>
        <v>2018</v>
      </c>
      <c r="V59" t="s">
        <v>16</v>
      </c>
      <c r="W59" t="s">
        <v>38</v>
      </c>
      <c r="X59">
        <v>1848</v>
      </c>
    </row>
    <row r="60" spans="1:24">
      <c r="M60" s="106" t="str">
        <f>IF(ISNUMBER(SEARCH("Unit",$C$19)),"57"," ")</f>
        <v xml:space="preserve"> </v>
      </c>
      <c r="N60" s="106" t="str">
        <f>IF(ISNUMBER(SEARCH("Unit",$C$19)),"57"," ")</f>
        <v xml:space="preserve"> </v>
      </c>
      <c r="P60">
        <v>57</v>
      </c>
      <c r="Q60">
        <f t="shared" si="7"/>
        <v>2019</v>
      </c>
      <c r="V60" t="s">
        <v>16</v>
      </c>
      <c r="W60" t="s">
        <v>39</v>
      </c>
      <c r="X60">
        <v>2508</v>
      </c>
    </row>
    <row r="61" spans="1:24">
      <c r="M61" s="106" t="str">
        <f>IF(ISNUMBER(SEARCH("Unit",$C$19)),"58"," ")</f>
        <v xml:space="preserve"> </v>
      </c>
      <c r="N61" s="106" t="str">
        <f>IF(ISNUMBER(SEARCH("Unit",$C$19)),"58"," ")</f>
        <v xml:space="preserve"> </v>
      </c>
      <c r="P61">
        <v>58</v>
      </c>
      <c r="Q61">
        <f t="shared" si="7"/>
        <v>2020</v>
      </c>
      <c r="V61" t="s">
        <v>16</v>
      </c>
      <c r="W61" t="s">
        <v>40</v>
      </c>
      <c r="X61">
        <v>2019</v>
      </c>
    </row>
    <row r="62" spans="1:24">
      <c r="M62" s="106" t="str">
        <f>IF(ISNUMBER(SEARCH("Unit",$C$19)),"59"," ")</f>
        <v xml:space="preserve"> </v>
      </c>
      <c r="N62" s="106" t="str">
        <f>IF(ISNUMBER(SEARCH("Unit",$C$19)),"59"," ")</f>
        <v xml:space="preserve"> </v>
      </c>
      <c r="P62">
        <v>59</v>
      </c>
      <c r="Q62" t="str">
        <f t="shared" si="7"/>
        <v xml:space="preserve"> </v>
      </c>
      <c r="V62" t="s">
        <v>16</v>
      </c>
      <c r="W62" t="s">
        <v>41</v>
      </c>
      <c r="X62">
        <v>2125</v>
      </c>
    </row>
    <row r="63" spans="1:24">
      <c r="M63" s="106" t="str">
        <f>IF(ISNUMBER(SEARCH("Unit",$C$19)),"60"," ")</f>
        <v xml:space="preserve"> </v>
      </c>
      <c r="N63" s="106" t="str">
        <f>IF(ISNUMBER(SEARCH("Unit",$C$19)),"60"," ")</f>
        <v xml:space="preserve"> </v>
      </c>
      <c r="P63">
        <v>60</v>
      </c>
      <c r="Q63" t="str">
        <f t="shared" si="7"/>
        <v xml:space="preserve"> </v>
      </c>
      <c r="V63" t="s">
        <v>20</v>
      </c>
      <c r="W63" t="s">
        <v>38</v>
      </c>
      <c r="X63">
        <v>1760</v>
      </c>
    </row>
    <row r="64" spans="1:24">
      <c r="M64" s="106" t="str">
        <f>IF(ISNUMBER(SEARCH("Unit",$C$19)),"61"," ")</f>
        <v xml:space="preserve"> </v>
      </c>
      <c r="N64" s="106" t="str">
        <f>IF(ISNUMBER(SEARCH("Unit",$C$19)),"61"," ")</f>
        <v xml:space="preserve"> </v>
      </c>
      <c r="P64">
        <v>61</v>
      </c>
      <c r="Q64" t="str">
        <f t="shared" si="7"/>
        <v xml:space="preserve"> </v>
      </c>
      <c r="V64" t="s">
        <v>20</v>
      </c>
      <c r="W64" t="s">
        <v>39</v>
      </c>
      <c r="X64">
        <v>2745</v>
      </c>
    </row>
    <row r="65" spans="13:24">
      <c r="M65" s="106" t="str">
        <f>IF(ISNUMBER(SEARCH("Unit",$C$19)),"62"," ")</f>
        <v xml:space="preserve"> </v>
      </c>
      <c r="N65" s="106" t="str">
        <f>IF(ISNUMBER(SEARCH("Unit",$C$19)),"62"," ")</f>
        <v xml:space="preserve"> </v>
      </c>
      <c r="P65">
        <v>62</v>
      </c>
      <c r="Q65" t="str">
        <f t="shared" si="7"/>
        <v xml:space="preserve"> </v>
      </c>
      <c r="V65" t="s">
        <v>20</v>
      </c>
      <c r="W65" t="s">
        <v>40</v>
      </c>
      <c r="X65">
        <v>2024</v>
      </c>
    </row>
    <row r="66" spans="13:24">
      <c r="M66" s="106" t="str">
        <f>IF(ISNUMBER(SEARCH("Unit",$C$19)),"63"," ")</f>
        <v xml:space="preserve"> </v>
      </c>
      <c r="N66" s="106" t="str">
        <f>IF(ISNUMBER(SEARCH("Unit",$C$19)),"63"," ")</f>
        <v xml:space="preserve"> </v>
      </c>
      <c r="P66">
        <v>63</v>
      </c>
      <c r="Q66" t="str">
        <f t="shared" si="7"/>
        <v xml:space="preserve"> </v>
      </c>
      <c r="V66" t="s">
        <v>20</v>
      </c>
      <c r="W66" t="s">
        <v>41</v>
      </c>
      <c r="X66">
        <v>2024</v>
      </c>
    </row>
    <row r="67" spans="13:24">
      <c r="M67" s="106" t="str">
        <f>IF(ISNUMBER(SEARCH("Unit",$C$19)),"64"," ")</f>
        <v xml:space="preserve"> </v>
      </c>
      <c r="N67" s="106" t="str">
        <f>IF(ISNUMBER(SEARCH("Unit",$C$19)),"64"," ")</f>
        <v xml:space="preserve"> </v>
      </c>
      <c r="P67">
        <v>64</v>
      </c>
      <c r="Q67" t="str">
        <f t="shared" si="7"/>
        <v xml:space="preserve"> </v>
      </c>
      <c r="V67" t="s">
        <v>14</v>
      </c>
      <c r="W67" t="s">
        <v>38</v>
      </c>
      <c r="X67">
        <v>2074</v>
      </c>
    </row>
    <row r="68" spans="13:24">
      <c r="M68" s="106" t="str">
        <f>IF(ISNUMBER(SEARCH("Unit",$C$19)),"65"," ")</f>
        <v xml:space="preserve"> </v>
      </c>
      <c r="N68" s="106" t="str">
        <f>IF(ISNUMBER(SEARCH("Unit",$C$19)),"65"," ")</f>
        <v xml:space="preserve"> </v>
      </c>
      <c r="P68">
        <v>65</v>
      </c>
      <c r="Q68" t="str">
        <f t="shared" si="7"/>
        <v xml:space="preserve"> </v>
      </c>
      <c r="V68" t="s">
        <v>14</v>
      </c>
      <c r="W68" t="s">
        <v>39</v>
      </c>
      <c r="X68">
        <v>2536</v>
      </c>
    </row>
    <row r="69" spans="13:24">
      <c r="M69" s="106" t="str">
        <f>IF(ISNUMBER(SEARCH("Unit",$C$19)),"66"," ")</f>
        <v xml:space="preserve"> </v>
      </c>
      <c r="N69" s="106" t="str">
        <f>IF(ISNUMBER(SEARCH("Unit",$C$19)),"66"," ")</f>
        <v xml:space="preserve"> </v>
      </c>
      <c r="P69">
        <v>66</v>
      </c>
      <c r="Q69" t="str">
        <f t="shared" si="7"/>
        <v xml:space="preserve"> </v>
      </c>
      <c r="V69" t="s">
        <v>14</v>
      </c>
      <c r="W69" t="s">
        <v>40</v>
      </c>
      <c r="X69">
        <v>2134</v>
      </c>
    </row>
    <row r="70" spans="13:24">
      <c r="M70" s="106" t="str">
        <f>IF(ISNUMBER(SEARCH("Unit",$C$19)),"67"," ")</f>
        <v xml:space="preserve"> </v>
      </c>
      <c r="N70" s="106" t="str">
        <f>IF(ISNUMBER(SEARCH("Unit",$C$19)),"67"," ")</f>
        <v xml:space="preserve"> </v>
      </c>
      <c r="P70">
        <v>67</v>
      </c>
      <c r="Q70" t="str">
        <f t="shared" si="7"/>
        <v xml:space="preserve"> </v>
      </c>
      <c r="V70" t="s">
        <v>14</v>
      </c>
      <c r="W70" t="s">
        <v>41</v>
      </c>
      <c r="X70">
        <v>2385</v>
      </c>
    </row>
    <row r="71" spans="13:24">
      <c r="M71" s="106" t="str">
        <f>IF(ISNUMBER(SEARCH("Unit",$C$19)),"68"," ")</f>
        <v xml:space="preserve"> </v>
      </c>
      <c r="N71" s="106" t="str">
        <f>IF(ISNUMBER(SEARCH("Unit",$C$19)),"68"," ")</f>
        <v xml:space="preserve"> </v>
      </c>
      <c r="P71">
        <v>68</v>
      </c>
      <c r="Q71" t="str">
        <f t="shared" si="7"/>
        <v xml:space="preserve"> </v>
      </c>
      <c r="V71" t="s">
        <v>18</v>
      </c>
      <c r="W71" t="s">
        <v>38</v>
      </c>
      <c r="X71">
        <v>1752</v>
      </c>
    </row>
    <row r="72" spans="13:24">
      <c r="M72" s="106" t="str">
        <f>IF(ISNUMBER(SEARCH("Unit",$C$19)),"69"," ")</f>
        <v xml:space="preserve"> </v>
      </c>
      <c r="N72" s="106" t="str">
        <f>IF(ISNUMBER(SEARCH("Unit",$C$19)),"69"," ")</f>
        <v xml:space="preserve"> </v>
      </c>
      <c r="P72">
        <v>69</v>
      </c>
      <c r="Q72" t="str">
        <f t="shared" si="7"/>
        <v xml:space="preserve"> </v>
      </c>
      <c r="V72" t="s">
        <v>18</v>
      </c>
      <c r="W72" t="s">
        <v>39</v>
      </c>
      <c r="X72">
        <v>2802</v>
      </c>
    </row>
    <row r="73" spans="13:24">
      <c r="M73" s="106" t="str">
        <f>IF(ISNUMBER(SEARCH("Unit",$C$19)),"70"," ")</f>
        <v xml:space="preserve"> </v>
      </c>
      <c r="N73" s="106" t="str">
        <f>IF(ISNUMBER(SEARCH("Unit",$C$19)),"70"," ")</f>
        <v xml:space="preserve"> </v>
      </c>
      <c r="P73">
        <v>70</v>
      </c>
      <c r="Q73" t="str">
        <f t="shared" si="7"/>
        <v xml:space="preserve"> </v>
      </c>
      <c r="V73" t="s">
        <v>18</v>
      </c>
      <c r="W73" t="s">
        <v>40</v>
      </c>
      <c r="X73">
        <v>1860</v>
      </c>
    </row>
    <row r="74" spans="13:24">
      <c r="M74" s="106" t="str">
        <f>IF(ISNUMBER(SEARCH("Unit",$C$19)),"71"," ")</f>
        <v xml:space="preserve"> </v>
      </c>
      <c r="N74" s="106" t="str">
        <f>IF(ISNUMBER(SEARCH("Unit",$C$19)),"71"," ")</f>
        <v xml:space="preserve"> </v>
      </c>
      <c r="P74">
        <v>71</v>
      </c>
      <c r="Q74" t="str">
        <f t="shared" si="7"/>
        <v xml:space="preserve"> </v>
      </c>
      <c r="V74" t="s">
        <v>18</v>
      </c>
      <c r="W74" t="s">
        <v>41</v>
      </c>
      <c r="X74">
        <v>2015</v>
      </c>
    </row>
    <row r="75" spans="13:24">
      <c r="M75" s="106" t="str">
        <f>IF(ISNUMBER(SEARCH("Unit",$C$19)),"72"," ")</f>
        <v xml:space="preserve"> </v>
      </c>
      <c r="N75" s="106" t="str">
        <f>IF(ISNUMBER(SEARCH("Unit",$C$19)),"72"," ")</f>
        <v xml:space="preserve"> </v>
      </c>
      <c r="P75">
        <v>72</v>
      </c>
      <c r="Q75" t="str">
        <f t="shared" si="7"/>
        <v xml:space="preserve"> </v>
      </c>
      <c r="V75" t="s">
        <v>19</v>
      </c>
      <c r="W75" t="s">
        <v>38</v>
      </c>
      <c r="X75">
        <v>1857</v>
      </c>
    </row>
    <row r="76" spans="13:24">
      <c r="M76" s="106" t="str">
        <f>IF(ISNUMBER(SEARCH("Unit",$C$19)),"73"," ")</f>
        <v xml:space="preserve"> </v>
      </c>
      <c r="N76" s="106" t="str">
        <f>IF(ISNUMBER(SEARCH("Unit",$C$19)),"73"," ")</f>
        <v xml:space="preserve"> </v>
      </c>
      <c r="P76">
        <v>73</v>
      </c>
      <c r="V76" t="s">
        <v>19</v>
      </c>
      <c r="W76" t="s">
        <v>39</v>
      </c>
      <c r="X76">
        <v>2610</v>
      </c>
    </row>
    <row r="77" spans="13:24">
      <c r="M77" s="106" t="str">
        <f>IF(ISNUMBER(SEARCH("Unit",$C$19)),"74"," ")</f>
        <v xml:space="preserve"> </v>
      </c>
      <c r="N77" s="106" t="str">
        <f>IF(ISNUMBER(SEARCH("Unit",$C$19)),"74"," ")</f>
        <v xml:space="preserve"> </v>
      </c>
      <c r="P77">
        <v>74</v>
      </c>
      <c r="V77" t="s">
        <v>19</v>
      </c>
      <c r="W77" t="s">
        <v>40</v>
      </c>
      <c r="X77">
        <v>1983</v>
      </c>
    </row>
    <row r="78" spans="13:24">
      <c r="M78" s="106" t="str">
        <f>IF(ISNUMBER(SEARCH("Unit",$C$19)),"75"," ")</f>
        <v xml:space="preserve"> </v>
      </c>
      <c r="N78" s="106" t="str">
        <f>IF(ISNUMBER(SEARCH("Unit",$C$19)),"75"," ")</f>
        <v xml:space="preserve"> </v>
      </c>
      <c r="P78">
        <v>75</v>
      </c>
      <c r="V78" t="s">
        <v>19</v>
      </c>
      <c r="W78" t="s">
        <v>41</v>
      </c>
      <c r="X78">
        <v>2136</v>
      </c>
    </row>
    <row r="79" spans="13:24">
      <c r="M79" s="106" t="str">
        <f>IF(ISNUMBER(SEARCH("Unit",$C$19)),"76"," ")</f>
        <v xml:space="preserve"> </v>
      </c>
      <c r="N79" s="106" t="str">
        <f>IF(ISNUMBER(SEARCH("Unit",$C$19)),"76"," ")</f>
        <v xml:space="preserve"> </v>
      </c>
      <c r="P79">
        <v>76</v>
      </c>
      <c r="V79" t="s">
        <v>21</v>
      </c>
      <c r="W79" t="s">
        <v>38</v>
      </c>
      <c r="X79">
        <v>2239</v>
      </c>
    </row>
    <row r="80" spans="13:24">
      <c r="M80" s="106" t="str">
        <f>IF(ISNUMBER(SEARCH("Unit",$C$19)),"77"," ")</f>
        <v xml:space="preserve"> </v>
      </c>
      <c r="N80" s="106" t="str">
        <f>IF(ISNUMBER(SEARCH("Unit",$C$19)),"77"," ")</f>
        <v xml:space="preserve"> </v>
      </c>
      <c r="P80">
        <v>77</v>
      </c>
      <c r="V80" t="s">
        <v>21</v>
      </c>
      <c r="W80" t="s">
        <v>39</v>
      </c>
      <c r="X80">
        <v>2738</v>
      </c>
    </row>
    <row r="81" spans="13:24">
      <c r="M81" s="106" t="str">
        <f>IF(ISNUMBER(SEARCH("Unit",$C$19)),"78"," ")</f>
        <v xml:space="preserve"> </v>
      </c>
      <c r="N81" s="106" t="str">
        <f>IF(ISNUMBER(SEARCH("Unit",$C$19)),"78"," ")</f>
        <v xml:space="preserve"> </v>
      </c>
      <c r="P81">
        <v>78</v>
      </c>
      <c r="V81" t="s">
        <v>21</v>
      </c>
      <c r="W81" t="s">
        <v>40</v>
      </c>
      <c r="X81">
        <v>2305</v>
      </c>
    </row>
    <row r="82" spans="13:24">
      <c r="M82" s="106" t="str">
        <f>IF(ISNUMBER(SEARCH("Unit",$C$19)),"79"," ")</f>
        <v xml:space="preserve"> </v>
      </c>
      <c r="N82" s="106" t="str">
        <f>IF(ISNUMBER(SEARCH("Unit",$C$19)),"79"," ")</f>
        <v xml:space="preserve"> </v>
      </c>
      <c r="P82">
        <v>79</v>
      </c>
      <c r="V82" s="10" t="s">
        <v>21</v>
      </c>
      <c r="W82" s="10" t="s">
        <v>41</v>
      </c>
      <c r="X82">
        <v>2575</v>
      </c>
    </row>
    <row r="83" spans="13:24">
      <c r="M83" s="106" t="str">
        <f>IF(ISNUMBER(SEARCH("Unit",$C$19)),"80"," ")</f>
        <v xml:space="preserve"> </v>
      </c>
      <c r="N83" s="106" t="str">
        <f>IF(ISNUMBER(SEARCH("Unit",$C$19)),"80"," ")</f>
        <v xml:space="preserve"> </v>
      </c>
      <c r="P83">
        <v>80</v>
      </c>
      <c r="V83" t="s">
        <v>15</v>
      </c>
      <c r="W83" t="s">
        <v>42</v>
      </c>
      <c r="X83">
        <v>1980</v>
      </c>
    </row>
    <row r="84" spans="13:24">
      <c r="M84" s="106" t="str">
        <f>IF(ISNUMBER(SEARCH("Unit",$C$19)),"81"," ")</f>
        <v xml:space="preserve"> </v>
      </c>
      <c r="N84" s="106" t="str">
        <f>IF(ISNUMBER(SEARCH("Unit",$C$19)),"81"," ")</f>
        <v xml:space="preserve"> </v>
      </c>
      <c r="P84">
        <v>81</v>
      </c>
      <c r="V84" t="s">
        <v>15</v>
      </c>
      <c r="W84" t="s">
        <v>43</v>
      </c>
      <c r="X84">
        <v>3042</v>
      </c>
    </row>
    <row r="85" spans="13:24">
      <c r="M85" s="106" t="str">
        <f>IF(ISNUMBER(SEARCH("Unit",$C$19)),"82"," ")</f>
        <v xml:space="preserve"> </v>
      </c>
      <c r="N85" s="106" t="str">
        <f>IF(ISNUMBER(SEARCH("Unit",$C$19)),"82"," ")</f>
        <v xml:space="preserve"> </v>
      </c>
      <c r="P85">
        <v>82</v>
      </c>
      <c r="V85" t="s">
        <v>15</v>
      </c>
      <c r="W85" t="s">
        <v>44</v>
      </c>
      <c r="X85">
        <v>1810</v>
      </c>
    </row>
    <row r="86" spans="13:24">
      <c r="M86" s="106" t="str">
        <f>IF(ISNUMBER(SEARCH("Unit",$C$19)),"83"," ")</f>
        <v xml:space="preserve"> </v>
      </c>
      <c r="N86" s="106" t="str">
        <f>IF(ISNUMBER(SEARCH("Unit",$C$19)),"83"," ")</f>
        <v xml:space="preserve"> </v>
      </c>
      <c r="P86">
        <v>83</v>
      </c>
      <c r="V86" t="s">
        <v>15</v>
      </c>
      <c r="W86" t="s">
        <v>45</v>
      </c>
      <c r="X86">
        <v>2277</v>
      </c>
    </row>
    <row r="87" spans="13:24">
      <c r="M87" s="106" t="str">
        <f>IF(ISNUMBER(SEARCH("Unit",$C$19)),"84"," ")</f>
        <v xml:space="preserve"> </v>
      </c>
      <c r="N87" s="106" t="str">
        <f>IF(ISNUMBER(SEARCH("Unit",$C$19)),"84"," ")</f>
        <v xml:space="preserve"> </v>
      </c>
      <c r="P87">
        <v>84</v>
      </c>
      <c r="V87" t="s">
        <v>17</v>
      </c>
      <c r="W87" t="s">
        <v>42</v>
      </c>
      <c r="X87">
        <v>2074</v>
      </c>
    </row>
    <row r="88" spans="13:24">
      <c r="M88" s="106" t="str">
        <f>IF(ISNUMBER(SEARCH("Unit",$C$19)),"85"," ")</f>
        <v xml:space="preserve"> </v>
      </c>
      <c r="N88" s="106" t="str">
        <f>IF(ISNUMBER(SEARCH("Unit",$C$19)),"85"," ")</f>
        <v xml:space="preserve"> </v>
      </c>
      <c r="P88">
        <v>85</v>
      </c>
      <c r="V88" t="s">
        <v>17</v>
      </c>
      <c r="W88" t="s">
        <v>43</v>
      </c>
      <c r="X88">
        <v>3097</v>
      </c>
    </row>
    <row r="89" spans="13:24">
      <c r="M89" s="106" t="str">
        <f>IF(ISNUMBER(SEARCH("Unit",$C$19)),"86"," ")</f>
        <v xml:space="preserve"> </v>
      </c>
      <c r="N89" s="106" t="str">
        <f>IF(ISNUMBER(SEARCH("Unit",$C$19)),"86"," ")</f>
        <v xml:space="preserve"> </v>
      </c>
      <c r="P89">
        <v>86</v>
      </c>
      <c r="V89" t="s">
        <v>17</v>
      </c>
      <c r="W89" t="s">
        <v>44</v>
      </c>
      <c r="X89">
        <v>2101</v>
      </c>
    </row>
    <row r="90" spans="13:24">
      <c r="M90" s="106" t="str">
        <f>IF(ISNUMBER(SEARCH("Unit",$C$19)),"87"," ")</f>
        <v xml:space="preserve"> </v>
      </c>
      <c r="N90" s="106" t="str">
        <f>IF(ISNUMBER(SEARCH("Unit",$C$19)),"87"," ")</f>
        <v xml:space="preserve"> </v>
      </c>
      <c r="P90">
        <v>87</v>
      </c>
      <c r="V90" t="s">
        <v>17</v>
      </c>
      <c r="W90" t="s">
        <v>45</v>
      </c>
      <c r="X90">
        <v>2385</v>
      </c>
    </row>
    <row r="91" spans="13:24">
      <c r="M91" s="106" t="str">
        <f>IF(ISNUMBER(SEARCH("Unit",$C$19)),"88"," ")</f>
        <v xml:space="preserve"> </v>
      </c>
      <c r="N91" s="106" t="str">
        <f>IF(ISNUMBER(SEARCH("Unit",$C$19)),"88"," ")</f>
        <v xml:space="preserve"> </v>
      </c>
      <c r="P91">
        <v>88</v>
      </c>
      <c r="V91" t="s">
        <v>16</v>
      </c>
      <c r="W91" t="s">
        <v>42</v>
      </c>
      <c r="X91">
        <v>2354</v>
      </c>
    </row>
    <row r="92" spans="13:24">
      <c r="M92" s="106" t="str">
        <f>IF(ISNUMBER(SEARCH("Unit",$C$19)),"89"," ")</f>
        <v xml:space="preserve"> </v>
      </c>
      <c r="N92" s="106" t="str">
        <f>IF(ISNUMBER(SEARCH("Unit",$C$19)),"89"," ")</f>
        <v xml:space="preserve"> </v>
      </c>
      <c r="P92">
        <v>89</v>
      </c>
      <c r="V92" t="s">
        <v>16</v>
      </c>
      <c r="W92" t="s">
        <v>43</v>
      </c>
      <c r="X92">
        <v>3130</v>
      </c>
    </row>
    <row r="93" spans="13:24">
      <c r="M93" s="106" t="str">
        <f>IF(ISNUMBER(SEARCH("Unit",$C$19)),"90"," ")</f>
        <v xml:space="preserve"> </v>
      </c>
      <c r="N93" s="106" t="str">
        <f>IF(ISNUMBER(SEARCH("Unit",$C$19)),"90"," ")</f>
        <v xml:space="preserve"> </v>
      </c>
      <c r="P93">
        <v>90</v>
      </c>
      <c r="V93" t="s">
        <v>16</v>
      </c>
      <c r="W93" t="s">
        <v>44</v>
      </c>
      <c r="X93">
        <v>2288</v>
      </c>
    </row>
    <row r="94" spans="13:24">
      <c r="M94" s="106" t="str">
        <f>IF(ISNUMBER(SEARCH("Unit",$C$19)),"91"," ")</f>
        <v xml:space="preserve"> </v>
      </c>
      <c r="N94" s="106" t="str">
        <f>IF(ISNUMBER(SEARCH("Unit",$C$19)),"91"," ")</f>
        <v xml:space="preserve"> </v>
      </c>
      <c r="P94">
        <v>91</v>
      </c>
      <c r="V94" t="s">
        <v>16</v>
      </c>
      <c r="W94" t="s">
        <v>45</v>
      </c>
      <c r="X94">
        <v>2707</v>
      </c>
    </row>
    <row r="95" spans="13:24">
      <c r="M95" s="106" t="str">
        <f>IF(ISNUMBER(SEARCH("Unit",$C$19)),"92"," ")</f>
        <v xml:space="preserve"> </v>
      </c>
      <c r="N95" s="106" t="str">
        <f>IF(ISNUMBER(SEARCH("Unit",$C$19)),"92"," ")</f>
        <v xml:space="preserve"> </v>
      </c>
      <c r="P95">
        <v>92</v>
      </c>
      <c r="V95" t="s">
        <v>20</v>
      </c>
      <c r="W95" t="s">
        <v>42</v>
      </c>
      <c r="X95">
        <v>2668</v>
      </c>
    </row>
    <row r="96" spans="13:24">
      <c r="M96" s="106" t="str">
        <f>IF(ISNUMBER(SEARCH("Unit",$C$19)),"93"," ")</f>
        <v xml:space="preserve"> </v>
      </c>
      <c r="N96" s="106" t="str">
        <f>IF(ISNUMBER(SEARCH("Unit",$C$19)),"93"," ")</f>
        <v xml:space="preserve"> </v>
      </c>
      <c r="P96">
        <v>93</v>
      </c>
      <c r="V96" t="s">
        <v>20</v>
      </c>
      <c r="W96" t="s">
        <v>43</v>
      </c>
      <c r="X96">
        <v>3487</v>
      </c>
    </row>
    <row r="97" spans="6:24">
      <c r="M97" s="106" t="str">
        <f>IF(ISNUMBER(SEARCH("Unit",$C$19)),"94"," ")</f>
        <v xml:space="preserve"> </v>
      </c>
      <c r="N97" s="106" t="str">
        <f>IF(ISNUMBER(SEARCH("Unit",$C$19)),"94"," ")</f>
        <v xml:space="preserve"> </v>
      </c>
      <c r="P97">
        <v>94</v>
      </c>
      <c r="V97" t="s">
        <v>20</v>
      </c>
      <c r="W97" t="s">
        <v>44</v>
      </c>
      <c r="X97">
        <v>2283</v>
      </c>
    </row>
    <row r="98" spans="6:24">
      <c r="M98" s="106" t="str">
        <f>IF(ISNUMBER(SEARCH("Unit",$C$19)),"95"," ")</f>
        <v xml:space="preserve"> </v>
      </c>
      <c r="N98" s="106" t="str">
        <f>IF(ISNUMBER(SEARCH("Unit",$C$19)),"95"," ")</f>
        <v xml:space="preserve"> </v>
      </c>
      <c r="P98">
        <v>95</v>
      </c>
      <c r="V98" t="s">
        <v>20</v>
      </c>
      <c r="W98" t="s">
        <v>45</v>
      </c>
      <c r="X98">
        <v>3068</v>
      </c>
    </row>
    <row r="99" spans="6:24">
      <c r="M99" s="106" t="str">
        <f>IF(ISNUMBER(SEARCH("Unit",$C$19)),"96"," ")</f>
        <v xml:space="preserve"> </v>
      </c>
      <c r="N99" s="106" t="str">
        <f>IF(ISNUMBER(SEARCH("Unit",$C$19)),"96"," ")</f>
        <v xml:space="preserve"> </v>
      </c>
      <c r="P99">
        <v>96</v>
      </c>
      <c r="V99" t="s">
        <v>14</v>
      </c>
      <c r="W99" t="s">
        <v>42</v>
      </c>
      <c r="X99">
        <v>2844</v>
      </c>
    </row>
    <row r="100" spans="6:24">
      <c r="M100" s="106" t="str">
        <f>IF(ISNUMBER(SEARCH("Unit",$C$19)),"97"," ")</f>
        <v xml:space="preserve"> </v>
      </c>
      <c r="N100" s="106" t="str">
        <f>IF(ISNUMBER(SEARCH("Unit",$C$19)),"97"," ")</f>
        <v xml:space="preserve"> </v>
      </c>
      <c r="P100">
        <v>97</v>
      </c>
      <c r="V100" t="s">
        <v>14</v>
      </c>
      <c r="W100" t="s">
        <v>43</v>
      </c>
      <c r="X100">
        <v>3152</v>
      </c>
    </row>
    <row r="101" spans="6:24">
      <c r="M101" s="106" t="str">
        <f>IF(ISNUMBER(SEARCH("Unit",$C$19)),"98"," ")</f>
        <v xml:space="preserve"> </v>
      </c>
      <c r="N101" s="106" t="str">
        <f>IF(ISNUMBER(SEARCH("Unit",$C$19)),"98"," ")</f>
        <v xml:space="preserve"> </v>
      </c>
      <c r="P101">
        <v>98</v>
      </c>
      <c r="V101" t="s">
        <v>14</v>
      </c>
      <c r="W101" t="s">
        <v>44</v>
      </c>
      <c r="X101">
        <v>2415</v>
      </c>
    </row>
    <row r="102" spans="6:24">
      <c r="M102" s="106" t="str">
        <f>IF(ISNUMBER(SEARCH("Unit",$C$19)),"99"," ")</f>
        <v xml:space="preserve"> </v>
      </c>
      <c r="N102" s="106" t="str">
        <f>IF(ISNUMBER(SEARCH("Unit",$C$19)),"99"," ")</f>
        <v xml:space="preserve"> </v>
      </c>
      <c r="P102">
        <v>99</v>
      </c>
      <c r="V102" t="s">
        <v>14</v>
      </c>
      <c r="W102" t="s">
        <v>45</v>
      </c>
      <c r="X102">
        <v>3270</v>
      </c>
    </row>
    <row r="103" spans="6:24">
      <c r="F103">
        <v>100</v>
      </c>
      <c r="M103" s="106" t="str">
        <f>IF(ISNUMBER(SEARCH("Unit",$C$19)),F103," ")</f>
        <v xml:space="preserve"> </v>
      </c>
      <c r="N103" s="106" t="str">
        <f>IF(ISNUMBER(SEARCH("Unit",$C$19)),"100"," ")</f>
        <v xml:space="preserve"> </v>
      </c>
      <c r="P103">
        <v>100</v>
      </c>
      <c r="V103" t="s">
        <v>18</v>
      </c>
      <c r="W103" t="s">
        <v>42</v>
      </c>
      <c r="X103">
        <v>2277</v>
      </c>
    </row>
    <row r="104" spans="6:24">
      <c r="F104">
        <v>101</v>
      </c>
      <c r="M104" s="106" t="str">
        <f>IF(ISNUMBER(SEARCH("Unit",$C$19)),F104," ")</f>
        <v xml:space="preserve"> </v>
      </c>
      <c r="P104">
        <v>101</v>
      </c>
      <c r="V104" t="s">
        <v>18</v>
      </c>
      <c r="W104" t="s">
        <v>43</v>
      </c>
      <c r="X104">
        <v>3498</v>
      </c>
    </row>
    <row r="105" spans="6:24">
      <c r="F105">
        <v>102</v>
      </c>
      <c r="M105" s="106" t="str">
        <f t="shared" ref="M105:M168" si="13">IF(ISNUMBER(SEARCH("Unit",$C$19)),F105," ")</f>
        <v xml:space="preserve"> </v>
      </c>
      <c r="P105">
        <v>102</v>
      </c>
      <c r="V105" t="s">
        <v>18</v>
      </c>
      <c r="W105" t="s">
        <v>44</v>
      </c>
      <c r="X105">
        <v>2081</v>
      </c>
    </row>
    <row r="106" spans="6:24">
      <c r="F106">
        <v>103</v>
      </c>
      <c r="M106" s="106" t="str">
        <f t="shared" si="13"/>
        <v xml:space="preserve"> </v>
      </c>
      <c r="P106">
        <v>103</v>
      </c>
      <c r="V106" t="s">
        <v>18</v>
      </c>
      <c r="W106" t="s">
        <v>45</v>
      </c>
      <c r="X106">
        <v>2619</v>
      </c>
    </row>
    <row r="107" spans="6:24">
      <c r="F107">
        <v>104</v>
      </c>
      <c r="M107" s="106" t="str">
        <f t="shared" si="13"/>
        <v xml:space="preserve"> </v>
      </c>
      <c r="P107">
        <v>104</v>
      </c>
      <c r="V107" t="s">
        <v>19</v>
      </c>
      <c r="W107" t="s">
        <v>42</v>
      </c>
      <c r="X107">
        <v>2467</v>
      </c>
    </row>
    <row r="108" spans="6:24">
      <c r="F108">
        <v>105</v>
      </c>
      <c r="M108" s="106" t="str">
        <f t="shared" si="13"/>
        <v xml:space="preserve"> </v>
      </c>
      <c r="P108">
        <v>105</v>
      </c>
      <c r="V108" t="s">
        <v>19</v>
      </c>
      <c r="W108" t="s">
        <v>43</v>
      </c>
      <c r="X108">
        <v>3258</v>
      </c>
    </row>
    <row r="109" spans="6:24">
      <c r="F109">
        <v>106</v>
      </c>
      <c r="M109" s="106" t="str">
        <f t="shared" si="13"/>
        <v xml:space="preserve"> </v>
      </c>
      <c r="P109">
        <v>106</v>
      </c>
      <c r="V109" t="s">
        <v>19</v>
      </c>
      <c r="W109" t="s">
        <v>44</v>
      </c>
      <c r="X109">
        <v>2226</v>
      </c>
    </row>
    <row r="110" spans="6:24">
      <c r="F110">
        <v>107</v>
      </c>
      <c r="M110" s="106" t="str">
        <f t="shared" si="13"/>
        <v xml:space="preserve"> </v>
      </c>
      <c r="P110">
        <v>107</v>
      </c>
      <c r="V110" t="s">
        <v>19</v>
      </c>
      <c r="W110" t="s">
        <v>45</v>
      </c>
      <c r="X110">
        <v>2837</v>
      </c>
    </row>
    <row r="111" spans="6:24">
      <c r="F111">
        <v>108</v>
      </c>
      <c r="M111" s="106" t="str">
        <f t="shared" si="13"/>
        <v xml:space="preserve"> </v>
      </c>
      <c r="P111">
        <v>108</v>
      </c>
      <c r="V111" t="s">
        <v>21</v>
      </c>
      <c r="W111" t="s">
        <v>42</v>
      </c>
      <c r="X111">
        <v>3071</v>
      </c>
    </row>
    <row r="112" spans="6:24">
      <c r="F112">
        <v>109</v>
      </c>
      <c r="M112" s="106" t="str">
        <f t="shared" si="13"/>
        <v xml:space="preserve"> </v>
      </c>
      <c r="P112">
        <v>109</v>
      </c>
      <c r="V112" t="s">
        <v>21</v>
      </c>
      <c r="W112" t="s">
        <v>43</v>
      </c>
      <c r="X112">
        <v>3404</v>
      </c>
    </row>
    <row r="113" spans="6:24">
      <c r="F113">
        <v>110</v>
      </c>
      <c r="M113" s="106" t="str">
        <f t="shared" si="13"/>
        <v xml:space="preserve"> </v>
      </c>
      <c r="P113">
        <v>110</v>
      </c>
      <c r="V113" t="s">
        <v>21</v>
      </c>
      <c r="W113" t="s">
        <v>44</v>
      </c>
      <c r="X113">
        <v>2608</v>
      </c>
    </row>
    <row r="114" spans="6:24">
      <c r="F114">
        <v>111</v>
      </c>
      <c r="M114" s="106" t="str">
        <f t="shared" si="13"/>
        <v xml:space="preserve"> </v>
      </c>
      <c r="P114">
        <v>111</v>
      </c>
      <c r="V114" t="s">
        <v>21</v>
      </c>
      <c r="W114" t="s">
        <v>45</v>
      </c>
      <c r="X114">
        <v>3532</v>
      </c>
    </row>
    <row r="115" spans="6:24">
      <c r="F115">
        <v>112</v>
      </c>
      <c r="M115" s="106" t="str">
        <f t="shared" si="13"/>
        <v xml:space="preserve"> </v>
      </c>
      <c r="P115">
        <v>112</v>
      </c>
    </row>
    <row r="116" spans="6:24">
      <c r="F116">
        <v>113</v>
      </c>
      <c r="M116" s="106" t="str">
        <f t="shared" si="13"/>
        <v xml:space="preserve"> </v>
      </c>
      <c r="P116">
        <v>113</v>
      </c>
    </row>
    <row r="117" spans="6:24">
      <c r="F117">
        <v>114</v>
      </c>
      <c r="M117" s="106" t="str">
        <f t="shared" si="13"/>
        <v xml:space="preserve"> </v>
      </c>
      <c r="P117">
        <v>114</v>
      </c>
    </row>
    <row r="118" spans="6:24">
      <c r="F118">
        <v>115</v>
      </c>
      <c r="M118" s="106" t="str">
        <f t="shared" si="13"/>
        <v xml:space="preserve"> </v>
      </c>
      <c r="P118">
        <v>115</v>
      </c>
    </row>
    <row r="119" spans="6:24">
      <c r="F119">
        <v>116</v>
      </c>
      <c r="M119" s="106" t="str">
        <f t="shared" si="13"/>
        <v xml:space="preserve"> </v>
      </c>
      <c r="P119">
        <v>116</v>
      </c>
    </row>
    <row r="120" spans="6:24">
      <c r="F120">
        <v>117</v>
      </c>
      <c r="M120" s="106" t="str">
        <f t="shared" si="13"/>
        <v xml:space="preserve"> </v>
      </c>
      <c r="P120">
        <v>117</v>
      </c>
    </row>
    <row r="121" spans="6:24">
      <c r="F121">
        <v>118</v>
      </c>
      <c r="M121" s="106" t="str">
        <f t="shared" si="13"/>
        <v xml:space="preserve"> </v>
      </c>
      <c r="P121">
        <v>118</v>
      </c>
    </row>
    <row r="122" spans="6:24">
      <c r="F122">
        <v>119</v>
      </c>
      <c r="M122" s="106" t="str">
        <f t="shared" si="13"/>
        <v xml:space="preserve"> </v>
      </c>
      <c r="P122">
        <v>119</v>
      </c>
    </row>
    <row r="123" spans="6:24">
      <c r="F123">
        <v>120</v>
      </c>
      <c r="M123" s="106" t="str">
        <f t="shared" si="13"/>
        <v xml:space="preserve"> </v>
      </c>
      <c r="P123">
        <v>120</v>
      </c>
    </row>
    <row r="124" spans="6:24">
      <c r="F124">
        <v>121</v>
      </c>
      <c r="M124" s="106" t="str">
        <f t="shared" si="13"/>
        <v xml:space="preserve"> </v>
      </c>
      <c r="P124">
        <v>121</v>
      </c>
    </row>
    <row r="125" spans="6:24">
      <c r="F125">
        <v>122</v>
      </c>
      <c r="M125" s="106" t="str">
        <f t="shared" si="13"/>
        <v xml:space="preserve"> </v>
      </c>
      <c r="P125">
        <v>122</v>
      </c>
    </row>
    <row r="126" spans="6:24">
      <c r="F126">
        <v>123</v>
      </c>
      <c r="M126" s="106" t="str">
        <f t="shared" si="13"/>
        <v xml:space="preserve"> </v>
      </c>
      <c r="P126">
        <v>123</v>
      </c>
    </row>
    <row r="127" spans="6:24">
      <c r="F127">
        <v>124</v>
      </c>
      <c r="M127" s="106" t="str">
        <f t="shared" si="13"/>
        <v xml:space="preserve"> </v>
      </c>
      <c r="P127">
        <v>124</v>
      </c>
    </row>
    <row r="128" spans="6:24">
      <c r="F128">
        <v>125</v>
      </c>
      <c r="M128" s="106" t="str">
        <f t="shared" si="13"/>
        <v xml:space="preserve"> </v>
      </c>
      <c r="P128">
        <v>125</v>
      </c>
    </row>
    <row r="129" spans="6:16">
      <c r="F129">
        <v>126</v>
      </c>
      <c r="M129" s="106" t="str">
        <f t="shared" si="13"/>
        <v xml:space="preserve"> </v>
      </c>
      <c r="P129">
        <v>126</v>
      </c>
    </row>
    <row r="130" spans="6:16">
      <c r="F130">
        <v>127</v>
      </c>
      <c r="M130" s="106" t="str">
        <f t="shared" si="13"/>
        <v xml:space="preserve"> </v>
      </c>
      <c r="P130">
        <v>127</v>
      </c>
    </row>
    <row r="131" spans="6:16">
      <c r="F131">
        <v>128</v>
      </c>
      <c r="M131" s="106" t="str">
        <f t="shared" si="13"/>
        <v xml:space="preserve"> </v>
      </c>
      <c r="P131">
        <v>128</v>
      </c>
    </row>
    <row r="132" spans="6:16">
      <c r="F132">
        <v>129</v>
      </c>
      <c r="M132" s="106" t="str">
        <f t="shared" si="13"/>
        <v xml:space="preserve"> </v>
      </c>
      <c r="P132">
        <v>129</v>
      </c>
    </row>
    <row r="133" spans="6:16">
      <c r="F133">
        <v>130</v>
      </c>
      <c r="M133" s="106" t="str">
        <f t="shared" si="13"/>
        <v xml:space="preserve"> </v>
      </c>
      <c r="P133">
        <v>130</v>
      </c>
    </row>
    <row r="134" spans="6:16">
      <c r="F134">
        <v>131</v>
      </c>
      <c r="M134" s="106" t="str">
        <f t="shared" si="13"/>
        <v xml:space="preserve"> </v>
      </c>
      <c r="P134">
        <v>131</v>
      </c>
    </row>
    <row r="135" spans="6:16">
      <c r="F135">
        <v>132</v>
      </c>
      <c r="M135" s="106" t="str">
        <f t="shared" si="13"/>
        <v xml:space="preserve"> </v>
      </c>
      <c r="P135">
        <v>132</v>
      </c>
    </row>
    <row r="136" spans="6:16">
      <c r="F136">
        <v>133</v>
      </c>
      <c r="M136" s="106" t="str">
        <f t="shared" si="13"/>
        <v xml:space="preserve"> </v>
      </c>
      <c r="P136">
        <v>133</v>
      </c>
    </row>
    <row r="137" spans="6:16">
      <c r="F137">
        <v>134</v>
      </c>
      <c r="M137" s="106" t="str">
        <f t="shared" si="13"/>
        <v xml:space="preserve"> </v>
      </c>
      <c r="P137">
        <v>134</v>
      </c>
    </row>
    <row r="138" spans="6:16">
      <c r="F138">
        <v>135</v>
      </c>
      <c r="M138" s="106" t="str">
        <f t="shared" si="13"/>
        <v xml:space="preserve"> </v>
      </c>
      <c r="P138">
        <v>135</v>
      </c>
    </row>
    <row r="139" spans="6:16">
      <c r="F139">
        <v>136</v>
      </c>
      <c r="M139" s="106" t="str">
        <f t="shared" si="13"/>
        <v xml:space="preserve"> </v>
      </c>
      <c r="P139">
        <v>136</v>
      </c>
    </row>
    <row r="140" spans="6:16">
      <c r="F140">
        <v>137</v>
      </c>
      <c r="M140" s="106" t="str">
        <f t="shared" si="13"/>
        <v xml:space="preserve"> </v>
      </c>
      <c r="P140">
        <v>137</v>
      </c>
    </row>
    <row r="141" spans="6:16">
      <c r="F141">
        <v>138</v>
      </c>
      <c r="M141" s="106" t="str">
        <f t="shared" si="13"/>
        <v xml:space="preserve"> </v>
      </c>
      <c r="P141">
        <v>138</v>
      </c>
    </row>
    <row r="142" spans="6:16">
      <c r="F142">
        <v>139</v>
      </c>
      <c r="M142" s="106" t="str">
        <f t="shared" si="13"/>
        <v xml:space="preserve"> </v>
      </c>
      <c r="P142">
        <v>139</v>
      </c>
    </row>
    <row r="143" spans="6:16">
      <c r="F143">
        <v>140</v>
      </c>
      <c r="M143" s="106" t="str">
        <f t="shared" si="13"/>
        <v xml:space="preserve"> </v>
      </c>
      <c r="P143">
        <v>140</v>
      </c>
    </row>
    <row r="144" spans="6:16">
      <c r="F144">
        <v>141</v>
      </c>
      <c r="M144" s="106" t="str">
        <f t="shared" si="13"/>
        <v xml:space="preserve"> </v>
      </c>
      <c r="P144">
        <v>141</v>
      </c>
    </row>
    <row r="145" spans="6:16">
      <c r="F145">
        <v>142</v>
      </c>
      <c r="M145" s="106" t="str">
        <f t="shared" si="13"/>
        <v xml:space="preserve"> </v>
      </c>
      <c r="P145">
        <v>142</v>
      </c>
    </row>
    <row r="146" spans="6:16">
      <c r="F146">
        <v>143</v>
      </c>
      <c r="M146" s="106" t="str">
        <f t="shared" si="13"/>
        <v xml:space="preserve"> </v>
      </c>
      <c r="P146">
        <v>143</v>
      </c>
    </row>
    <row r="147" spans="6:16">
      <c r="F147">
        <v>144</v>
      </c>
      <c r="M147" s="106" t="str">
        <f t="shared" si="13"/>
        <v xml:space="preserve"> </v>
      </c>
      <c r="P147">
        <v>144</v>
      </c>
    </row>
    <row r="148" spans="6:16">
      <c r="F148">
        <v>145</v>
      </c>
      <c r="M148" s="106" t="str">
        <f t="shared" si="13"/>
        <v xml:space="preserve"> </v>
      </c>
      <c r="P148">
        <v>145</v>
      </c>
    </row>
    <row r="149" spans="6:16">
      <c r="F149">
        <v>146</v>
      </c>
      <c r="M149" s="106" t="str">
        <f t="shared" si="13"/>
        <v xml:space="preserve"> </v>
      </c>
      <c r="P149">
        <v>146</v>
      </c>
    </row>
    <row r="150" spans="6:16">
      <c r="F150">
        <v>147</v>
      </c>
      <c r="M150" s="106" t="str">
        <f t="shared" si="13"/>
        <v xml:space="preserve"> </v>
      </c>
      <c r="P150">
        <v>147</v>
      </c>
    </row>
    <row r="151" spans="6:16">
      <c r="F151">
        <v>148</v>
      </c>
      <c r="M151" s="106" t="str">
        <f t="shared" si="13"/>
        <v xml:space="preserve"> </v>
      </c>
      <c r="P151">
        <v>148</v>
      </c>
    </row>
    <row r="152" spans="6:16">
      <c r="F152">
        <v>149</v>
      </c>
      <c r="M152" s="106" t="str">
        <f t="shared" si="13"/>
        <v xml:space="preserve"> </v>
      </c>
      <c r="P152">
        <v>149</v>
      </c>
    </row>
    <row r="153" spans="6:16">
      <c r="F153">
        <v>150</v>
      </c>
      <c r="M153" s="106" t="str">
        <f t="shared" si="13"/>
        <v xml:space="preserve"> </v>
      </c>
      <c r="P153">
        <v>150</v>
      </c>
    </row>
    <row r="154" spans="6:16">
      <c r="F154">
        <v>151</v>
      </c>
      <c r="M154" s="106" t="str">
        <f t="shared" si="13"/>
        <v xml:space="preserve"> </v>
      </c>
      <c r="P154">
        <v>151</v>
      </c>
    </row>
    <row r="155" spans="6:16">
      <c r="F155">
        <v>152</v>
      </c>
      <c r="M155" s="106" t="str">
        <f t="shared" si="13"/>
        <v xml:space="preserve"> </v>
      </c>
      <c r="P155">
        <v>152</v>
      </c>
    </row>
    <row r="156" spans="6:16">
      <c r="F156">
        <v>153</v>
      </c>
      <c r="M156" s="106" t="str">
        <f t="shared" si="13"/>
        <v xml:space="preserve"> </v>
      </c>
      <c r="P156">
        <v>153</v>
      </c>
    </row>
    <row r="157" spans="6:16">
      <c r="F157">
        <v>154</v>
      </c>
      <c r="M157" s="106" t="str">
        <f t="shared" si="13"/>
        <v xml:space="preserve"> </v>
      </c>
      <c r="P157">
        <v>154</v>
      </c>
    </row>
    <row r="158" spans="6:16">
      <c r="F158">
        <v>155</v>
      </c>
      <c r="M158" s="106" t="str">
        <f t="shared" si="13"/>
        <v xml:space="preserve"> </v>
      </c>
      <c r="P158">
        <v>155</v>
      </c>
    </row>
    <row r="159" spans="6:16">
      <c r="F159">
        <v>156</v>
      </c>
      <c r="M159" s="106" t="str">
        <f t="shared" si="13"/>
        <v xml:space="preserve"> </v>
      </c>
      <c r="P159">
        <v>156</v>
      </c>
    </row>
    <row r="160" spans="6:16">
      <c r="F160">
        <v>157</v>
      </c>
      <c r="M160" s="106" t="str">
        <f t="shared" si="13"/>
        <v xml:space="preserve"> </v>
      </c>
      <c r="P160">
        <v>157</v>
      </c>
    </row>
    <row r="161" spans="6:16">
      <c r="F161">
        <v>158</v>
      </c>
      <c r="M161" s="106" t="str">
        <f t="shared" si="13"/>
        <v xml:space="preserve"> </v>
      </c>
      <c r="P161">
        <v>158</v>
      </c>
    </row>
    <row r="162" spans="6:16">
      <c r="F162">
        <v>159</v>
      </c>
      <c r="M162" s="106" t="str">
        <f t="shared" si="13"/>
        <v xml:space="preserve"> </v>
      </c>
      <c r="P162">
        <v>159</v>
      </c>
    </row>
    <row r="163" spans="6:16">
      <c r="F163">
        <v>160</v>
      </c>
      <c r="M163" s="106" t="str">
        <f t="shared" si="13"/>
        <v xml:space="preserve"> </v>
      </c>
      <c r="P163">
        <v>160</v>
      </c>
    </row>
    <row r="164" spans="6:16">
      <c r="F164">
        <v>161</v>
      </c>
      <c r="M164" s="106" t="str">
        <f t="shared" si="13"/>
        <v xml:space="preserve"> </v>
      </c>
      <c r="P164">
        <v>161</v>
      </c>
    </row>
    <row r="165" spans="6:16">
      <c r="F165">
        <v>162</v>
      </c>
      <c r="M165" s="106" t="str">
        <f t="shared" si="13"/>
        <v xml:space="preserve"> </v>
      </c>
      <c r="P165">
        <v>162</v>
      </c>
    </row>
    <row r="166" spans="6:16">
      <c r="F166">
        <v>163</v>
      </c>
      <c r="M166" s="106" t="str">
        <f t="shared" si="13"/>
        <v xml:space="preserve"> </v>
      </c>
      <c r="P166">
        <v>163</v>
      </c>
    </row>
    <row r="167" spans="6:16">
      <c r="F167">
        <v>164</v>
      </c>
      <c r="M167" s="106" t="str">
        <f t="shared" si="13"/>
        <v xml:space="preserve"> </v>
      </c>
      <c r="P167">
        <v>164</v>
      </c>
    </row>
    <row r="168" spans="6:16">
      <c r="F168">
        <v>165</v>
      </c>
      <c r="M168" s="106" t="str">
        <f t="shared" si="13"/>
        <v xml:space="preserve"> </v>
      </c>
      <c r="P168">
        <v>165</v>
      </c>
    </row>
    <row r="169" spans="6:16">
      <c r="F169">
        <v>166</v>
      </c>
      <c r="M169" s="106" t="str">
        <f t="shared" ref="M169:M232" si="14">IF(ISNUMBER(SEARCH("Unit",$C$19)),F169," ")</f>
        <v xml:space="preserve"> </v>
      </c>
      <c r="P169">
        <v>166</v>
      </c>
    </row>
    <row r="170" spans="6:16">
      <c r="F170">
        <v>167</v>
      </c>
      <c r="M170" s="106" t="str">
        <f t="shared" si="14"/>
        <v xml:space="preserve"> </v>
      </c>
      <c r="P170">
        <v>167</v>
      </c>
    </row>
    <row r="171" spans="6:16">
      <c r="F171">
        <v>168</v>
      </c>
      <c r="M171" s="106" t="str">
        <f t="shared" si="14"/>
        <v xml:space="preserve"> </v>
      </c>
      <c r="P171">
        <v>168</v>
      </c>
    </row>
    <row r="172" spans="6:16">
      <c r="F172">
        <v>169</v>
      </c>
      <c r="M172" s="106" t="str">
        <f t="shared" si="14"/>
        <v xml:space="preserve"> </v>
      </c>
      <c r="P172">
        <v>169</v>
      </c>
    </row>
    <row r="173" spans="6:16">
      <c r="F173">
        <v>170</v>
      </c>
      <c r="M173" s="106" t="str">
        <f t="shared" si="14"/>
        <v xml:space="preserve"> </v>
      </c>
      <c r="P173">
        <v>170</v>
      </c>
    </row>
    <row r="174" spans="6:16">
      <c r="F174">
        <v>171</v>
      </c>
      <c r="M174" s="106" t="str">
        <f t="shared" si="14"/>
        <v xml:space="preserve"> </v>
      </c>
      <c r="P174">
        <v>171</v>
      </c>
    </row>
    <row r="175" spans="6:16">
      <c r="F175">
        <v>172</v>
      </c>
      <c r="M175" s="106" t="str">
        <f t="shared" si="14"/>
        <v xml:space="preserve"> </v>
      </c>
      <c r="P175">
        <v>172</v>
      </c>
    </row>
    <row r="176" spans="6:16">
      <c r="F176">
        <v>173</v>
      </c>
      <c r="M176" s="106" t="str">
        <f t="shared" si="14"/>
        <v xml:space="preserve"> </v>
      </c>
      <c r="P176">
        <v>173</v>
      </c>
    </row>
    <row r="177" spans="6:16">
      <c r="F177">
        <v>174</v>
      </c>
      <c r="M177" s="106" t="str">
        <f t="shared" si="14"/>
        <v xml:space="preserve"> </v>
      </c>
      <c r="P177">
        <v>174</v>
      </c>
    </row>
    <row r="178" spans="6:16">
      <c r="F178">
        <v>175</v>
      </c>
      <c r="M178" s="106" t="str">
        <f t="shared" si="14"/>
        <v xml:space="preserve"> </v>
      </c>
      <c r="P178">
        <v>175</v>
      </c>
    </row>
    <row r="179" spans="6:16">
      <c r="F179">
        <v>176</v>
      </c>
      <c r="M179" s="106" t="str">
        <f t="shared" si="14"/>
        <v xml:space="preserve"> </v>
      </c>
      <c r="P179">
        <v>176</v>
      </c>
    </row>
    <row r="180" spans="6:16">
      <c r="F180">
        <v>177</v>
      </c>
      <c r="M180" s="106" t="str">
        <f t="shared" si="14"/>
        <v xml:space="preserve"> </v>
      </c>
      <c r="P180">
        <v>177</v>
      </c>
    </row>
    <row r="181" spans="6:16">
      <c r="F181">
        <v>178</v>
      </c>
      <c r="M181" s="106" t="str">
        <f t="shared" si="14"/>
        <v xml:space="preserve"> </v>
      </c>
      <c r="P181">
        <v>178</v>
      </c>
    </row>
    <row r="182" spans="6:16">
      <c r="F182">
        <v>179</v>
      </c>
      <c r="M182" s="106" t="str">
        <f t="shared" si="14"/>
        <v xml:space="preserve"> </v>
      </c>
      <c r="P182">
        <v>179</v>
      </c>
    </row>
    <row r="183" spans="6:16">
      <c r="F183">
        <v>180</v>
      </c>
      <c r="M183" s="106" t="str">
        <f t="shared" si="14"/>
        <v xml:space="preserve"> </v>
      </c>
      <c r="P183">
        <v>180</v>
      </c>
    </row>
    <row r="184" spans="6:16">
      <c r="F184">
        <v>181</v>
      </c>
      <c r="M184" s="106" t="str">
        <f t="shared" si="14"/>
        <v xml:space="preserve"> </v>
      </c>
      <c r="P184">
        <v>181</v>
      </c>
    </row>
    <row r="185" spans="6:16">
      <c r="F185">
        <v>182</v>
      </c>
      <c r="M185" s="106" t="str">
        <f t="shared" si="14"/>
        <v xml:space="preserve"> </v>
      </c>
      <c r="P185">
        <v>182</v>
      </c>
    </row>
    <row r="186" spans="6:16">
      <c r="F186">
        <v>183</v>
      </c>
      <c r="M186" s="106" t="str">
        <f t="shared" si="14"/>
        <v xml:space="preserve"> </v>
      </c>
      <c r="P186">
        <v>183</v>
      </c>
    </row>
    <row r="187" spans="6:16">
      <c r="F187">
        <v>184</v>
      </c>
      <c r="M187" s="106" t="str">
        <f t="shared" si="14"/>
        <v xml:space="preserve"> </v>
      </c>
      <c r="P187">
        <v>184</v>
      </c>
    </row>
    <row r="188" spans="6:16">
      <c r="F188">
        <v>185</v>
      </c>
      <c r="M188" s="106" t="str">
        <f t="shared" si="14"/>
        <v xml:space="preserve"> </v>
      </c>
      <c r="P188">
        <v>185</v>
      </c>
    </row>
    <row r="189" spans="6:16">
      <c r="F189">
        <v>186</v>
      </c>
      <c r="M189" s="106" t="str">
        <f t="shared" si="14"/>
        <v xml:space="preserve"> </v>
      </c>
      <c r="P189">
        <v>186</v>
      </c>
    </row>
    <row r="190" spans="6:16">
      <c r="F190">
        <v>187</v>
      </c>
      <c r="M190" s="106" t="str">
        <f t="shared" si="14"/>
        <v xml:space="preserve"> </v>
      </c>
      <c r="P190">
        <v>187</v>
      </c>
    </row>
    <row r="191" spans="6:16">
      <c r="F191">
        <v>188</v>
      </c>
      <c r="M191" s="106" t="str">
        <f t="shared" si="14"/>
        <v xml:space="preserve"> </v>
      </c>
      <c r="P191">
        <v>188</v>
      </c>
    </row>
    <row r="192" spans="6:16">
      <c r="F192">
        <v>189</v>
      </c>
      <c r="M192" s="106" t="str">
        <f t="shared" si="14"/>
        <v xml:space="preserve"> </v>
      </c>
      <c r="P192">
        <v>189</v>
      </c>
    </row>
    <row r="193" spans="6:16">
      <c r="F193">
        <v>190</v>
      </c>
      <c r="M193" s="106" t="str">
        <f t="shared" si="14"/>
        <v xml:space="preserve"> </v>
      </c>
      <c r="P193">
        <v>190</v>
      </c>
    </row>
    <row r="194" spans="6:16">
      <c r="F194">
        <v>191</v>
      </c>
      <c r="M194" s="106" t="str">
        <f t="shared" si="14"/>
        <v xml:space="preserve"> </v>
      </c>
      <c r="P194">
        <v>191</v>
      </c>
    </row>
    <row r="195" spans="6:16">
      <c r="F195">
        <v>192</v>
      </c>
      <c r="M195" s="106" t="str">
        <f t="shared" si="14"/>
        <v xml:space="preserve"> </v>
      </c>
      <c r="P195">
        <v>192</v>
      </c>
    </row>
    <row r="196" spans="6:16">
      <c r="F196">
        <v>193</v>
      </c>
      <c r="M196" s="106" t="str">
        <f t="shared" si="14"/>
        <v xml:space="preserve"> </v>
      </c>
      <c r="P196">
        <v>193</v>
      </c>
    </row>
    <row r="197" spans="6:16">
      <c r="F197">
        <v>194</v>
      </c>
      <c r="M197" s="106" t="str">
        <f t="shared" si="14"/>
        <v xml:space="preserve"> </v>
      </c>
      <c r="P197">
        <v>194</v>
      </c>
    </row>
    <row r="198" spans="6:16">
      <c r="F198">
        <v>195</v>
      </c>
      <c r="M198" s="106" t="str">
        <f t="shared" si="14"/>
        <v xml:space="preserve"> </v>
      </c>
      <c r="P198">
        <v>195</v>
      </c>
    </row>
    <row r="199" spans="6:16">
      <c r="F199">
        <v>196</v>
      </c>
      <c r="M199" s="106" t="str">
        <f t="shared" si="14"/>
        <v xml:space="preserve"> </v>
      </c>
      <c r="P199">
        <v>196</v>
      </c>
    </row>
    <row r="200" spans="6:16">
      <c r="F200">
        <v>197</v>
      </c>
      <c r="M200" s="106" t="str">
        <f t="shared" si="14"/>
        <v xml:space="preserve"> </v>
      </c>
      <c r="P200">
        <v>197</v>
      </c>
    </row>
    <row r="201" spans="6:16">
      <c r="F201">
        <v>198</v>
      </c>
      <c r="M201" s="106" t="str">
        <f t="shared" si="14"/>
        <v xml:space="preserve"> </v>
      </c>
      <c r="P201">
        <v>198</v>
      </c>
    </row>
    <row r="202" spans="6:16">
      <c r="F202">
        <v>199</v>
      </c>
      <c r="M202" s="106" t="str">
        <f t="shared" si="14"/>
        <v xml:space="preserve"> </v>
      </c>
      <c r="P202">
        <v>199</v>
      </c>
    </row>
    <row r="203" spans="6:16">
      <c r="F203">
        <v>200</v>
      </c>
      <c r="M203" s="106" t="str">
        <f t="shared" si="14"/>
        <v xml:space="preserve"> </v>
      </c>
      <c r="P203">
        <v>200</v>
      </c>
    </row>
    <row r="204" spans="6:16">
      <c r="F204">
        <v>201</v>
      </c>
      <c r="M204" s="106" t="str">
        <f t="shared" si="14"/>
        <v xml:space="preserve"> </v>
      </c>
      <c r="P204">
        <v>201</v>
      </c>
    </row>
    <row r="205" spans="6:16">
      <c r="F205">
        <v>202</v>
      </c>
      <c r="M205" s="106" t="str">
        <f t="shared" si="14"/>
        <v xml:space="preserve"> </v>
      </c>
      <c r="P205">
        <v>202</v>
      </c>
    </row>
    <row r="206" spans="6:16">
      <c r="F206">
        <v>203</v>
      </c>
      <c r="M206" s="106" t="str">
        <f t="shared" si="14"/>
        <v xml:space="preserve"> </v>
      </c>
      <c r="P206">
        <v>203</v>
      </c>
    </row>
    <row r="207" spans="6:16">
      <c r="F207">
        <v>204</v>
      </c>
      <c r="M207" s="106" t="str">
        <f t="shared" si="14"/>
        <v xml:space="preserve"> </v>
      </c>
      <c r="P207">
        <v>204</v>
      </c>
    </row>
    <row r="208" spans="6:16">
      <c r="F208">
        <v>205</v>
      </c>
      <c r="M208" s="106" t="str">
        <f t="shared" si="14"/>
        <v xml:space="preserve"> </v>
      </c>
      <c r="P208">
        <v>205</v>
      </c>
    </row>
    <row r="209" spans="6:16">
      <c r="F209">
        <v>206</v>
      </c>
      <c r="M209" s="106" t="str">
        <f t="shared" si="14"/>
        <v xml:space="preserve"> </v>
      </c>
      <c r="P209">
        <v>206</v>
      </c>
    </row>
    <row r="210" spans="6:16">
      <c r="F210">
        <v>207</v>
      </c>
      <c r="M210" s="106" t="str">
        <f t="shared" si="14"/>
        <v xml:space="preserve"> </v>
      </c>
      <c r="P210">
        <v>207</v>
      </c>
    </row>
    <row r="211" spans="6:16">
      <c r="F211">
        <v>208</v>
      </c>
      <c r="M211" s="106" t="str">
        <f t="shared" si="14"/>
        <v xml:space="preserve"> </v>
      </c>
      <c r="P211">
        <v>208</v>
      </c>
    </row>
    <row r="212" spans="6:16">
      <c r="F212">
        <v>209</v>
      </c>
      <c r="M212" s="106" t="str">
        <f t="shared" si="14"/>
        <v xml:space="preserve"> </v>
      </c>
      <c r="P212">
        <v>209</v>
      </c>
    </row>
    <row r="213" spans="6:16">
      <c r="F213">
        <v>210</v>
      </c>
      <c r="M213" s="106" t="str">
        <f t="shared" si="14"/>
        <v xml:space="preserve"> </v>
      </c>
      <c r="P213">
        <v>210</v>
      </c>
    </row>
    <row r="214" spans="6:16">
      <c r="F214">
        <v>211</v>
      </c>
      <c r="M214" s="106" t="str">
        <f t="shared" si="14"/>
        <v xml:space="preserve"> </v>
      </c>
      <c r="P214">
        <v>211</v>
      </c>
    </row>
    <row r="215" spans="6:16">
      <c r="F215">
        <v>212</v>
      </c>
      <c r="M215" s="106" t="str">
        <f t="shared" si="14"/>
        <v xml:space="preserve"> </v>
      </c>
      <c r="P215">
        <v>212</v>
      </c>
    </row>
    <row r="216" spans="6:16">
      <c r="F216">
        <v>213</v>
      </c>
      <c r="M216" s="106" t="str">
        <f t="shared" si="14"/>
        <v xml:space="preserve"> </v>
      </c>
      <c r="P216">
        <v>213</v>
      </c>
    </row>
    <row r="217" spans="6:16">
      <c r="F217">
        <v>214</v>
      </c>
      <c r="M217" s="106" t="str">
        <f t="shared" si="14"/>
        <v xml:space="preserve"> </v>
      </c>
      <c r="P217">
        <v>214</v>
      </c>
    </row>
    <row r="218" spans="6:16">
      <c r="F218">
        <v>215</v>
      </c>
      <c r="M218" s="106" t="str">
        <f t="shared" si="14"/>
        <v xml:space="preserve"> </v>
      </c>
      <c r="P218">
        <v>215</v>
      </c>
    </row>
    <row r="219" spans="6:16">
      <c r="F219">
        <v>216</v>
      </c>
      <c r="M219" s="106" t="str">
        <f t="shared" si="14"/>
        <v xml:space="preserve"> </v>
      </c>
      <c r="P219">
        <v>216</v>
      </c>
    </row>
    <row r="220" spans="6:16">
      <c r="F220">
        <v>217</v>
      </c>
      <c r="M220" s="106" t="str">
        <f t="shared" si="14"/>
        <v xml:space="preserve"> </v>
      </c>
      <c r="P220">
        <v>217</v>
      </c>
    </row>
    <row r="221" spans="6:16">
      <c r="F221">
        <v>218</v>
      </c>
      <c r="M221" s="106" t="str">
        <f t="shared" si="14"/>
        <v xml:space="preserve"> </v>
      </c>
      <c r="P221">
        <v>218</v>
      </c>
    </row>
    <row r="222" spans="6:16">
      <c r="F222">
        <v>219</v>
      </c>
      <c r="M222" s="106" t="str">
        <f t="shared" si="14"/>
        <v xml:space="preserve"> </v>
      </c>
      <c r="P222">
        <v>219</v>
      </c>
    </row>
    <row r="223" spans="6:16">
      <c r="F223">
        <v>220</v>
      </c>
      <c r="M223" s="106" t="str">
        <f t="shared" si="14"/>
        <v xml:space="preserve"> </v>
      </c>
      <c r="P223">
        <v>220</v>
      </c>
    </row>
    <row r="224" spans="6:16">
      <c r="F224">
        <v>221</v>
      </c>
      <c r="M224" s="106" t="str">
        <f t="shared" si="14"/>
        <v xml:space="preserve"> </v>
      </c>
      <c r="P224">
        <v>221</v>
      </c>
    </row>
    <row r="225" spans="6:16">
      <c r="F225">
        <v>222</v>
      </c>
      <c r="M225" s="106" t="str">
        <f t="shared" si="14"/>
        <v xml:space="preserve"> </v>
      </c>
      <c r="P225">
        <v>222</v>
      </c>
    </row>
    <row r="226" spans="6:16">
      <c r="F226">
        <v>223</v>
      </c>
      <c r="M226" s="106" t="str">
        <f t="shared" si="14"/>
        <v xml:space="preserve"> </v>
      </c>
      <c r="P226">
        <v>223</v>
      </c>
    </row>
    <row r="227" spans="6:16">
      <c r="F227">
        <v>224</v>
      </c>
      <c r="M227" s="106" t="str">
        <f t="shared" si="14"/>
        <v xml:space="preserve"> </v>
      </c>
      <c r="P227">
        <v>224</v>
      </c>
    </row>
    <row r="228" spans="6:16">
      <c r="F228">
        <v>225</v>
      </c>
      <c r="M228" s="106" t="str">
        <f t="shared" si="14"/>
        <v xml:space="preserve"> </v>
      </c>
      <c r="P228">
        <v>225</v>
      </c>
    </row>
    <row r="229" spans="6:16">
      <c r="F229">
        <v>226</v>
      </c>
      <c r="M229" s="106" t="str">
        <f t="shared" si="14"/>
        <v xml:space="preserve"> </v>
      </c>
      <c r="P229">
        <v>226</v>
      </c>
    </row>
    <row r="230" spans="6:16">
      <c r="F230">
        <v>227</v>
      </c>
      <c r="M230" s="106" t="str">
        <f t="shared" si="14"/>
        <v xml:space="preserve"> </v>
      </c>
      <c r="P230">
        <v>227</v>
      </c>
    </row>
    <row r="231" spans="6:16">
      <c r="F231">
        <v>228</v>
      </c>
      <c r="M231" s="106" t="str">
        <f t="shared" si="14"/>
        <v xml:space="preserve"> </v>
      </c>
      <c r="P231">
        <v>228</v>
      </c>
    </row>
    <row r="232" spans="6:16">
      <c r="F232">
        <v>229</v>
      </c>
      <c r="M232" s="106" t="str">
        <f t="shared" si="14"/>
        <v xml:space="preserve"> </v>
      </c>
      <c r="P232">
        <v>229</v>
      </c>
    </row>
    <row r="233" spans="6:16">
      <c r="F233">
        <v>230</v>
      </c>
      <c r="M233" s="106" t="str">
        <f t="shared" ref="M233:M296" si="15">IF(ISNUMBER(SEARCH("Unit",$C$19)),F233," ")</f>
        <v xml:space="preserve"> </v>
      </c>
      <c r="P233">
        <v>230</v>
      </c>
    </row>
    <row r="234" spans="6:16">
      <c r="F234">
        <v>231</v>
      </c>
      <c r="M234" s="106" t="str">
        <f t="shared" si="15"/>
        <v xml:space="preserve"> </v>
      </c>
      <c r="P234">
        <v>231</v>
      </c>
    </row>
    <row r="235" spans="6:16">
      <c r="F235">
        <v>232</v>
      </c>
      <c r="M235" s="106" t="str">
        <f t="shared" si="15"/>
        <v xml:space="preserve"> </v>
      </c>
      <c r="P235">
        <v>232</v>
      </c>
    </row>
    <row r="236" spans="6:16">
      <c r="F236">
        <v>233</v>
      </c>
      <c r="M236" s="106" t="str">
        <f t="shared" si="15"/>
        <v xml:space="preserve"> </v>
      </c>
      <c r="P236">
        <v>233</v>
      </c>
    </row>
    <row r="237" spans="6:16">
      <c r="F237">
        <v>234</v>
      </c>
      <c r="M237" s="106" t="str">
        <f t="shared" si="15"/>
        <v xml:space="preserve"> </v>
      </c>
      <c r="P237">
        <v>234</v>
      </c>
    </row>
    <row r="238" spans="6:16">
      <c r="F238">
        <v>235</v>
      </c>
      <c r="M238" s="106" t="str">
        <f t="shared" si="15"/>
        <v xml:space="preserve"> </v>
      </c>
      <c r="P238">
        <v>235</v>
      </c>
    </row>
    <row r="239" spans="6:16">
      <c r="F239">
        <v>236</v>
      </c>
      <c r="M239" s="106" t="str">
        <f t="shared" si="15"/>
        <v xml:space="preserve"> </v>
      </c>
      <c r="P239">
        <v>236</v>
      </c>
    </row>
    <row r="240" spans="6:16">
      <c r="F240">
        <v>237</v>
      </c>
      <c r="M240" s="106" t="str">
        <f t="shared" si="15"/>
        <v xml:space="preserve"> </v>
      </c>
      <c r="P240">
        <v>237</v>
      </c>
    </row>
    <row r="241" spans="6:16">
      <c r="F241">
        <v>238</v>
      </c>
      <c r="M241" s="106" t="str">
        <f t="shared" si="15"/>
        <v xml:space="preserve"> </v>
      </c>
      <c r="P241">
        <v>238</v>
      </c>
    </row>
    <row r="242" spans="6:16">
      <c r="F242">
        <v>239</v>
      </c>
      <c r="M242" s="106" t="str">
        <f t="shared" si="15"/>
        <v xml:space="preserve"> </v>
      </c>
      <c r="P242">
        <v>239</v>
      </c>
    </row>
    <row r="243" spans="6:16">
      <c r="F243">
        <v>240</v>
      </c>
      <c r="M243" s="106" t="str">
        <f t="shared" si="15"/>
        <v xml:space="preserve"> </v>
      </c>
      <c r="P243">
        <v>240</v>
      </c>
    </row>
    <row r="244" spans="6:16">
      <c r="F244">
        <v>241</v>
      </c>
      <c r="M244" s="106" t="str">
        <f t="shared" si="15"/>
        <v xml:space="preserve"> </v>
      </c>
      <c r="P244">
        <v>241</v>
      </c>
    </row>
    <row r="245" spans="6:16">
      <c r="F245">
        <v>242</v>
      </c>
      <c r="M245" s="106" t="str">
        <f t="shared" si="15"/>
        <v xml:space="preserve"> </v>
      </c>
      <c r="P245">
        <v>242</v>
      </c>
    </row>
    <row r="246" spans="6:16">
      <c r="F246">
        <v>243</v>
      </c>
      <c r="M246" s="106" t="str">
        <f t="shared" si="15"/>
        <v xml:space="preserve"> </v>
      </c>
      <c r="P246">
        <v>243</v>
      </c>
    </row>
    <row r="247" spans="6:16">
      <c r="F247">
        <v>244</v>
      </c>
      <c r="M247" s="106" t="str">
        <f t="shared" si="15"/>
        <v xml:space="preserve"> </v>
      </c>
      <c r="P247">
        <v>244</v>
      </c>
    </row>
    <row r="248" spans="6:16">
      <c r="F248">
        <v>245</v>
      </c>
      <c r="M248" s="106" t="str">
        <f t="shared" si="15"/>
        <v xml:space="preserve"> </v>
      </c>
      <c r="P248">
        <v>245</v>
      </c>
    </row>
    <row r="249" spans="6:16">
      <c r="F249">
        <v>246</v>
      </c>
      <c r="M249" s="106" t="str">
        <f t="shared" si="15"/>
        <v xml:space="preserve"> </v>
      </c>
      <c r="P249">
        <v>246</v>
      </c>
    </row>
    <row r="250" spans="6:16">
      <c r="F250">
        <v>247</v>
      </c>
      <c r="M250" s="106" t="str">
        <f t="shared" si="15"/>
        <v xml:space="preserve"> </v>
      </c>
      <c r="P250">
        <v>247</v>
      </c>
    </row>
    <row r="251" spans="6:16">
      <c r="F251">
        <v>248</v>
      </c>
      <c r="M251" s="106" t="str">
        <f t="shared" si="15"/>
        <v xml:space="preserve"> </v>
      </c>
      <c r="P251">
        <v>248</v>
      </c>
    </row>
    <row r="252" spans="6:16">
      <c r="F252">
        <v>249</v>
      </c>
      <c r="M252" s="106" t="str">
        <f t="shared" si="15"/>
        <v xml:space="preserve"> </v>
      </c>
      <c r="P252">
        <v>249</v>
      </c>
    </row>
    <row r="253" spans="6:16">
      <c r="F253">
        <v>250</v>
      </c>
      <c r="M253" s="106" t="str">
        <f t="shared" si="15"/>
        <v xml:space="preserve"> </v>
      </c>
      <c r="P253">
        <v>250</v>
      </c>
    </row>
    <row r="254" spans="6:16">
      <c r="F254">
        <v>251</v>
      </c>
      <c r="M254" s="106" t="str">
        <f t="shared" si="15"/>
        <v xml:space="preserve"> </v>
      </c>
      <c r="P254">
        <v>251</v>
      </c>
    </row>
    <row r="255" spans="6:16">
      <c r="F255">
        <v>252</v>
      </c>
      <c r="M255" s="106" t="str">
        <f t="shared" si="15"/>
        <v xml:space="preserve"> </v>
      </c>
      <c r="P255">
        <v>252</v>
      </c>
    </row>
    <row r="256" spans="6:16">
      <c r="F256">
        <v>253</v>
      </c>
      <c r="M256" s="106" t="str">
        <f t="shared" si="15"/>
        <v xml:space="preserve"> </v>
      </c>
      <c r="P256">
        <v>253</v>
      </c>
    </row>
    <row r="257" spans="6:16">
      <c r="F257">
        <v>254</v>
      </c>
      <c r="M257" s="106" t="str">
        <f t="shared" si="15"/>
        <v xml:space="preserve"> </v>
      </c>
      <c r="P257">
        <v>254</v>
      </c>
    </row>
    <row r="258" spans="6:16">
      <c r="F258">
        <v>255</v>
      </c>
      <c r="M258" s="106" t="str">
        <f t="shared" si="15"/>
        <v xml:space="preserve"> </v>
      </c>
      <c r="P258">
        <v>255</v>
      </c>
    </row>
    <row r="259" spans="6:16">
      <c r="F259">
        <v>256</v>
      </c>
      <c r="M259" s="106" t="str">
        <f t="shared" si="15"/>
        <v xml:space="preserve"> </v>
      </c>
      <c r="P259">
        <v>256</v>
      </c>
    </row>
    <row r="260" spans="6:16">
      <c r="F260">
        <v>257</v>
      </c>
      <c r="M260" s="106" t="str">
        <f t="shared" si="15"/>
        <v xml:space="preserve"> </v>
      </c>
      <c r="P260">
        <v>257</v>
      </c>
    </row>
    <row r="261" spans="6:16">
      <c r="F261">
        <v>258</v>
      </c>
      <c r="M261" s="106" t="str">
        <f t="shared" si="15"/>
        <v xml:space="preserve"> </v>
      </c>
      <c r="P261">
        <v>258</v>
      </c>
    </row>
    <row r="262" spans="6:16">
      <c r="F262">
        <v>259</v>
      </c>
      <c r="M262" s="106" t="str">
        <f t="shared" si="15"/>
        <v xml:space="preserve"> </v>
      </c>
      <c r="P262">
        <v>259</v>
      </c>
    </row>
    <row r="263" spans="6:16">
      <c r="F263">
        <v>260</v>
      </c>
      <c r="M263" s="106" t="str">
        <f t="shared" si="15"/>
        <v xml:space="preserve"> </v>
      </c>
      <c r="P263">
        <v>260</v>
      </c>
    </row>
    <row r="264" spans="6:16">
      <c r="F264">
        <v>261</v>
      </c>
      <c r="M264" s="106" t="str">
        <f t="shared" si="15"/>
        <v xml:space="preserve"> </v>
      </c>
      <c r="P264">
        <v>261</v>
      </c>
    </row>
    <row r="265" spans="6:16">
      <c r="F265">
        <v>262</v>
      </c>
      <c r="M265" s="106" t="str">
        <f t="shared" si="15"/>
        <v xml:space="preserve"> </v>
      </c>
      <c r="P265">
        <v>262</v>
      </c>
    </row>
    <row r="266" spans="6:16">
      <c r="F266">
        <v>263</v>
      </c>
      <c r="M266" s="106" t="str">
        <f t="shared" si="15"/>
        <v xml:space="preserve"> </v>
      </c>
      <c r="P266">
        <v>263</v>
      </c>
    </row>
    <row r="267" spans="6:16">
      <c r="F267">
        <v>264</v>
      </c>
      <c r="M267" s="106" t="str">
        <f t="shared" si="15"/>
        <v xml:space="preserve"> </v>
      </c>
      <c r="P267">
        <v>264</v>
      </c>
    </row>
    <row r="268" spans="6:16">
      <c r="F268">
        <v>265</v>
      </c>
      <c r="M268" s="106" t="str">
        <f t="shared" si="15"/>
        <v xml:space="preserve"> </v>
      </c>
      <c r="P268">
        <v>265</v>
      </c>
    </row>
    <row r="269" spans="6:16">
      <c r="F269">
        <v>266</v>
      </c>
      <c r="M269" s="106" t="str">
        <f t="shared" si="15"/>
        <v xml:space="preserve"> </v>
      </c>
      <c r="P269">
        <v>266</v>
      </c>
    </row>
    <row r="270" spans="6:16">
      <c r="F270">
        <v>267</v>
      </c>
      <c r="M270" s="106" t="str">
        <f t="shared" si="15"/>
        <v xml:space="preserve"> </v>
      </c>
      <c r="P270">
        <v>267</v>
      </c>
    </row>
    <row r="271" spans="6:16">
      <c r="F271">
        <v>268</v>
      </c>
      <c r="M271" s="106" t="str">
        <f t="shared" si="15"/>
        <v xml:space="preserve"> </v>
      </c>
      <c r="P271">
        <v>268</v>
      </c>
    </row>
    <row r="272" spans="6:16">
      <c r="F272">
        <v>269</v>
      </c>
      <c r="M272" s="106" t="str">
        <f t="shared" si="15"/>
        <v xml:space="preserve"> </v>
      </c>
      <c r="P272">
        <v>269</v>
      </c>
    </row>
    <row r="273" spans="6:16">
      <c r="F273">
        <v>270</v>
      </c>
      <c r="M273" s="106" t="str">
        <f t="shared" si="15"/>
        <v xml:space="preserve"> </v>
      </c>
      <c r="P273">
        <v>270</v>
      </c>
    </row>
    <row r="274" spans="6:16">
      <c r="F274">
        <v>271</v>
      </c>
      <c r="M274" s="106" t="str">
        <f t="shared" si="15"/>
        <v xml:space="preserve"> </v>
      </c>
      <c r="P274">
        <v>271</v>
      </c>
    </row>
    <row r="275" spans="6:16">
      <c r="F275">
        <v>272</v>
      </c>
      <c r="M275" s="106" t="str">
        <f t="shared" si="15"/>
        <v xml:space="preserve"> </v>
      </c>
      <c r="P275">
        <v>272</v>
      </c>
    </row>
    <row r="276" spans="6:16">
      <c r="F276">
        <v>273</v>
      </c>
      <c r="M276" s="106" t="str">
        <f t="shared" si="15"/>
        <v xml:space="preserve"> </v>
      </c>
      <c r="P276">
        <v>273</v>
      </c>
    </row>
    <row r="277" spans="6:16">
      <c r="F277">
        <v>274</v>
      </c>
      <c r="M277" s="106" t="str">
        <f t="shared" si="15"/>
        <v xml:space="preserve"> </v>
      </c>
      <c r="P277">
        <v>274</v>
      </c>
    </row>
    <row r="278" spans="6:16">
      <c r="F278">
        <v>275</v>
      </c>
      <c r="M278" s="106" t="str">
        <f t="shared" si="15"/>
        <v xml:space="preserve"> </v>
      </c>
      <c r="P278">
        <v>275</v>
      </c>
    </row>
    <row r="279" spans="6:16">
      <c r="F279">
        <v>276</v>
      </c>
      <c r="M279" s="106" t="str">
        <f t="shared" si="15"/>
        <v xml:space="preserve"> </v>
      </c>
      <c r="P279">
        <v>276</v>
      </c>
    </row>
    <row r="280" spans="6:16">
      <c r="F280">
        <v>277</v>
      </c>
      <c r="M280" s="106" t="str">
        <f t="shared" si="15"/>
        <v xml:space="preserve"> </v>
      </c>
      <c r="P280">
        <v>277</v>
      </c>
    </row>
    <row r="281" spans="6:16">
      <c r="F281">
        <v>278</v>
      </c>
      <c r="M281" s="106" t="str">
        <f t="shared" si="15"/>
        <v xml:space="preserve"> </v>
      </c>
      <c r="P281">
        <v>278</v>
      </c>
    </row>
    <row r="282" spans="6:16">
      <c r="F282">
        <v>279</v>
      </c>
      <c r="M282" s="106" t="str">
        <f t="shared" si="15"/>
        <v xml:space="preserve"> </v>
      </c>
      <c r="P282">
        <v>279</v>
      </c>
    </row>
    <row r="283" spans="6:16">
      <c r="F283">
        <v>280</v>
      </c>
      <c r="M283" s="106" t="str">
        <f t="shared" si="15"/>
        <v xml:space="preserve"> </v>
      </c>
      <c r="P283">
        <v>280</v>
      </c>
    </row>
    <row r="284" spans="6:16">
      <c r="F284">
        <v>281</v>
      </c>
      <c r="M284" s="106" t="str">
        <f t="shared" si="15"/>
        <v xml:space="preserve"> </v>
      </c>
      <c r="P284">
        <v>281</v>
      </c>
    </row>
    <row r="285" spans="6:16">
      <c r="F285">
        <v>282</v>
      </c>
      <c r="M285" s="106" t="str">
        <f t="shared" si="15"/>
        <v xml:space="preserve"> </v>
      </c>
      <c r="P285">
        <v>282</v>
      </c>
    </row>
    <row r="286" spans="6:16">
      <c r="F286">
        <v>283</v>
      </c>
      <c r="M286" s="106" t="str">
        <f t="shared" si="15"/>
        <v xml:space="preserve"> </v>
      </c>
      <c r="P286">
        <v>283</v>
      </c>
    </row>
    <row r="287" spans="6:16">
      <c r="F287">
        <v>284</v>
      </c>
      <c r="M287" s="106" t="str">
        <f t="shared" si="15"/>
        <v xml:space="preserve"> </v>
      </c>
      <c r="P287">
        <v>284</v>
      </c>
    </row>
    <row r="288" spans="6:16">
      <c r="F288">
        <v>285</v>
      </c>
      <c r="M288" s="106" t="str">
        <f t="shared" si="15"/>
        <v xml:space="preserve"> </v>
      </c>
      <c r="P288">
        <v>285</v>
      </c>
    </row>
    <row r="289" spans="6:16">
      <c r="F289">
        <v>286</v>
      </c>
      <c r="M289" s="106" t="str">
        <f t="shared" si="15"/>
        <v xml:space="preserve"> </v>
      </c>
      <c r="P289">
        <v>286</v>
      </c>
    </row>
    <row r="290" spans="6:16">
      <c r="F290">
        <v>287</v>
      </c>
      <c r="M290" s="106" t="str">
        <f t="shared" si="15"/>
        <v xml:space="preserve"> </v>
      </c>
      <c r="P290">
        <v>287</v>
      </c>
    </row>
    <row r="291" spans="6:16">
      <c r="F291">
        <v>288</v>
      </c>
      <c r="M291" s="106" t="str">
        <f t="shared" si="15"/>
        <v xml:space="preserve"> </v>
      </c>
      <c r="P291">
        <v>288</v>
      </c>
    </row>
    <row r="292" spans="6:16">
      <c r="F292">
        <v>289</v>
      </c>
      <c r="M292" s="106" t="str">
        <f t="shared" si="15"/>
        <v xml:space="preserve"> </v>
      </c>
      <c r="P292">
        <v>289</v>
      </c>
    </row>
    <row r="293" spans="6:16">
      <c r="F293">
        <v>290</v>
      </c>
      <c r="M293" s="106" t="str">
        <f t="shared" si="15"/>
        <v xml:space="preserve"> </v>
      </c>
      <c r="P293">
        <v>290</v>
      </c>
    </row>
    <row r="294" spans="6:16">
      <c r="F294">
        <v>291</v>
      </c>
      <c r="M294" s="106" t="str">
        <f t="shared" si="15"/>
        <v xml:space="preserve"> </v>
      </c>
      <c r="P294">
        <v>291</v>
      </c>
    </row>
    <row r="295" spans="6:16">
      <c r="F295">
        <v>292</v>
      </c>
      <c r="M295" s="106" t="str">
        <f t="shared" si="15"/>
        <v xml:space="preserve"> </v>
      </c>
      <c r="P295">
        <v>292</v>
      </c>
    </row>
    <row r="296" spans="6:16">
      <c r="F296">
        <v>293</v>
      </c>
      <c r="M296" s="106" t="str">
        <f t="shared" si="15"/>
        <v xml:space="preserve"> </v>
      </c>
      <c r="P296">
        <v>293</v>
      </c>
    </row>
    <row r="297" spans="6:16">
      <c r="F297">
        <v>294</v>
      </c>
      <c r="M297" s="106" t="str">
        <f t="shared" ref="M297:M360" si="16">IF(ISNUMBER(SEARCH("Unit",$C$19)),F297," ")</f>
        <v xml:space="preserve"> </v>
      </c>
      <c r="P297">
        <v>294</v>
      </c>
    </row>
    <row r="298" spans="6:16">
      <c r="F298">
        <v>295</v>
      </c>
      <c r="M298" s="106" t="str">
        <f t="shared" si="16"/>
        <v xml:space="preserve"> </v>
      </c>
      <c r="P298">
        <v>295</v>
      </c>
    </row>
    <row r="299" spans="6:16">
      <c r="F299">
        <v>296</v>
      </c>
      <c r="M299" s="106" t="str">
        <f t="shared" si="16"/>
        <v xml:space="preserve"> </v>
      </c>
      <c r="P299">
        <v>296</v>
      </c>
    </row>
    <row r="300" spans="6:16">
      <c r="F300">
        <v>297</v>
      </c>
      <c r="M300" s="106" t="str">
        <f t="shared" si="16"/>
        <v xml:space="preserve"> </v>
      </c>
      <c r="P300">
        <v>297</v>
      </c>
    </row>
    <row r="301" spans="6:16">
      <c r="F301">
        <v>298</v>
      </c>
      <c r="M301" s="106" t="str">
        <f t="shared" si="16"/>
        <v xml:space="preserve"> </v>
      </c>
      <c r="P301">
        <v>298</v>
      </c>
    </row>
    <row r="302" spans="6:16">
      <c r="F302">
        <v>299</v>
      </c>
      <c r="M302" s="106" t="str">
        <f t="shared" si="16"/>
        <v xml:space="preserve"> </v>
      </c>
      <c r="P302">
        <v>299</v>
      </c>
    </row>
    <row r="303" spans="6:16">
      <c r="F303">
        <v>300</v>
      </c>
      <c r="M303" s="106" t="str">
        <f t="shared" si="16"/>
        <v xml:space="preserve"> </v>
      </c>
      <c r="P303">
        <v>300</v>
      </c>
    </row>
    <row r="304" spans="6:16">
      <c r="F304">
        <v>301</v>
      </c>
      <c r="M304" s="106" t="str">
        <f t="shared" si="16"/>
        <v xml:space="preserve"> </v>
      </c>
      <c r="P304">
        <v>301</v>
      </c>
    </row>
    <row r="305" spans="6:16">
      <c r="F305">
        <v>302</v>
      </c>
      <c r="M305" s="106" t="str">
        <f t="shared" si="16"/>
        <v xml:space="preserve"> </v>
      </c>
      <c r="P305">
        <v>302</v>
      </c>
    </row>
    <row r="306" spans="6:16">
      <c r="F306">
        <v>303</v>
      </c>
      <c r="M306" s="106" t="str">
        <f t="shared" si="16"/>
        <v xml:space="preserve"> </v>
      </c>
      <c r="P306">
        <v>303</v>
      </c>
    </row>
    <row r="307" spans="6:16">
      <c r="F307">
        <v>304</v>
      </c>
      <c r="M307" s="106" t="str">
        <f t="shared" si="16"/>
        <v xml:space="preserve"> </v>
      </c>
      <c r="P307">
        <v>304</v>
      </c>
    </row>
    <row r="308" spans="6:16">
      <c r="F308">
        <v>305</v>
      </c>
      <c r="M308" s="106" t="str">
        <f t="shared" si="16"/>
        <v xml:space="preserve"> </v>
      </c>
      <c r="P308">
        <v>305</v>
      </c>
    </row>
    <row r="309" spans="6:16">
      <c r="F309">
        <v>306</v>
      </c>
      <c r="M309" s="106" t="str">
        <f t="shared" si="16"/>
        <v xml:space="preserve"> </v>
      </c>
      <c r="P309">
        <v>306</v>
      </c>
    </row>
    <row r="310" spans="6:16">
      <c r="F310">
        <v>307</v>
      </c>
      <c r="M310" s="106" t="str">
        <f t="shared" si="16"/>
        <v xml:space="preserve"> </v>
      </c>
      <c r="P310">
        <v>307</v>
      </c>
    </row>
    <row r="311" spans="6:16">
      <c r="F311">
        <v>308</v>
      </c>
      <c r="M311" s="106" t="str">
        <f t="shared" si="16"/>
        <v xml:space="preserve"> </v>
      </c>
      <c r="P311">
        <v>308</v>
      </c>
    </row>
    <row r="312" spans="6:16">
      <c r="F312">
        <v>309</v>
      </c>
      <c r="M312" s="106" t="str">
        <f t="shared" si="16"/>
        <v xml:space="preserve"> </v>
      </c>
      <c r="P312">
        <v>309</v>
      </c>
    </row>
    <row r="313" spans="6:16">
      <c r="F313">
        <v>310</v>
      </c>
      <c r="M313" s="106" t="str">
        <f t="shared" si="16"/>
        <v xml:space="preserve"> </v>
      </c>
      <c r="P313">
        <v>310</v>
      </c>
    </row>
    <row r="314" spans="6:16">
      <c r="F314">
        <v>311</v>
      </c>
      <c r="M314" s="106" t="str">
        <f t="shared" si="16"/>
        <v xml:space="preserve"> </v>
      </c>
      <c r="P314">
        <v>311</v>
      </c>
    </row>
    <row r="315" spans="6:16">
      <c r="F315">
        <v>312</v>
      </c>
      <c r="M315" s="106" t="str">
        <f t="shared" si="16"/>
        <v xml:space="preserve"> </v>
      </c>
      <c r="P315">
        <v>312</v>
      </c>
    </row>
    <row r="316" spans="6:16">
      <c r="F316">
        <v>313</v>
      </c>
      <c r="M316" s="106" t="str">
        <f t="shared" si="16"/>
        <v xml:space="preserve"> </v>
      </c>
      <c r="P316">
        <v>313</v>
      </c>
    </row>
    <row r="317" spans="6:16">
      <c r="F317">
        <v>314</v>
      </c>
      <c r="M317" s="106" t="str">
        <f t="shared" si="16"/>
        <v xml:space="preserve"> </v>
      </c>
      <c r="P317">
        <v>314</v>
      </c>
    </row>
    <row r="318" spans="6:16">
      <c r="F318">
        <v>315</v>
      </c>
      <c r="M318" s="106" t="str">
        <f t="shared" si="16"/>
        <v xml:space="preserve"> </v>
      </c>
      <c r="P318">
        <v>315</v>
      </c>
    </row>
    <row r="319" spans="6:16">
      <c r="F319">
        <v>316</v>
      </c>
      <c r="M319" s="106" t="str">
        <f t="shared" si="16"/>
        <v xml:space="preserve"> </v>
      </c>
      <c r="P319">
        <v>316</v>
      </c>
    </row>
    <row r="320" spans="6:16">
      <c r="F320">
        <v>317</v>
      </c>
      <c r="M320" s="106" t="str">
        <f t="shared" si="16"/>
        <v xml:space="preserve"> </v>
      </c>
      <c r="P320">
        <v>317</v>
      </c>
    </row>
    <row r="321" spans="6:16">
      <c r="F321">
        <v>318</v>
      </c>
      <c r="M321" s="106" t="str">
        <f t="shared" si="16"/>
        <v xml:space="preserve"> </v>
      </c>
      <c r="P321">
        <v>318</v>
      </c>
    </row>
    <row r="322" spans="6:16">
      <c r="F322">
        <v>319</v>
      </c>
      <c r="M322" s="106" t="str">
        <f t="shared" si="16"/>
        <v xml:space="preserve"> </v>
      </c>
      <c r="P322">
        <v>319</v>
      </c>
    </row>
    <row r="323" spans="6:16">
      <c r="F323">
        <v>320</v>
      </c>
      <c r="M323" s="106" t="str">
        <f t="shared" si="16"/>
        <v xml:space="preserve"> </v>
      </c>
      <c r="P323">
        <v>320</v>
      </c>
    </row>
    <row r="324" spans="6:16">
      <c r="F324">
        <v>321</v>
      </c>
      <c r="M324" s="106" t="str">
        <f t="shared" si="16"/>
        <v xml:space="preserve"> </v>
      </c>
      <c r="P324">
        <v>321</v>
      </c>
    </row>
    <row r="325" spans="6:16">
      <c r="F325">
        <v>322</v>
      </c>
      <c r="M325" s="106" t="str">
        <f t="shared" si="16"/>
        <v xml:space="preserve"> </v>
      </c>
      <c r="P325">
        <v>322</v>
      </c>
    </row>
    <row r="326" spans="6:16">
      <c r="F326">
        <v>323</v>
      </c>
      <c r="M326" s="106" t="str">
        <f t="shared" si="16"/>
        <v xml:space="preserve"> </v>
      </c>
      <c r="P326">
        <v>323</v>
      </c>
    </row>
    <row r="327" spans="6:16">
      <c r="F327">
        <v>324</v>
      </c>
      <c r="M327" s="106" t="str">
        <f t="shared" si="16"/>
        <v xml:space="preserve"> </v>
      </c>
      <c r="P327">
        <v>324</v>
      </c>
    </row>
    <row r="328" spans="6:16">
      <c r="F328">
        <v>325</v>
      </c>
      <c r="M328" s="106" t="str">
        <f t="shared" si="16"/>
        <v xml:space="preserve"> </v>
      </c>
      <c r="P328">
        <v>325</v>
      </c>
    </row>
    <row r="329" spans="6:16">
      <c r="F329">
        <v>326</v>
      </c>
      <c r="M329" s="106" t="str">
        <f t="shared" si="16"/>
        <v xml:space="preserve"> </v>
      </c>
      <c r="P329">
        <v>326</v>
      </c>
    </row>
    <row r="330" spans="6:16">
      <c r="F330">
        <v>327</v>
      </c>
      <c r="M330" s="106" t="str">
        <f t="shared" si="16"/>
        <v xml:space="preserve"> </v>
      </c>
      <c r="P330">
        <v>327</v>
      </c>
    </row>
    <row r="331" spans="6:16">
      <c r="F331">
        <v>328</v>
      </c>
      <c r="M331" s="106" t="str">
        <f t="shared" si="16"/>
        <v xml:space="preserve"> </v>
      </c>
      <c r="P331">
        <v>328</v>
      </c>
    </row>
    <row r="332" spans="6:16">
      <c r="F332">
        <v>329</v>
      </c>
      <c r="M332" s="106" t="str">
        <f t="shared" si="16"/>
        <v xml:space="preserve"> </v>
      </c>
      <c r="P332">
        <v>329</v>
      </c>
    </row>
    <row r="333" spans="6:16">
      <c r="F333">
        <v>330</v>
      </c>
      <c r="M333" s="106" t="str">
        <f t="shared" si="16"/>
        <v xml:space="preserve"> </v>
      </c>
      <c r="P333">
        <v>330</v>
      </c>
    </row>
    <row r="334" spans="6:16">
      <c r="F334">
        <v>331</v>
      </c>
      <c r="M334" s="106" t="str">
        <f t="shared" si="16"/>
        <v xml:space="preserve"> </v>
      </c>
      <c r="P334">
        <v>331</v>
      </c>
    </row>
    <row r="335" spans="6:16">
      <c r="F335">
        <v>332</v>
      </c>
      <c r="M335" s="106" t="str">
        <f t="shared" si="16"/>
        <v xml:space="preserve"> </v>
      </c>
      <c r="P335">
        <v>332</v>
      </c>
    </row>
    <row r="336" spans="6:16">
      <c r="F336">
        <v>333</v>
      </c>
      <c r="M336" s="106" t="str">
        <f t="shared" si="16"/>
        <v xml:space="preserve"> </v>
      </c>
      <c r="P336">
        <v>333</v>
      </c>
    </row>
    <row r="337" spans="6:16">
      <c r="F337">
        <v>334</v>
      </c>
      <c r="M337" s="106" t="str">
        <f t="shared" si="16"/>
        <v xml:space="preserve"> </v>
      </c>
      <c r="P337">
        <v>334</v>
      </c>
    </row>
    <row r="338" spans="6:16">
      <c r="F338">
        <v>335</v>
      </c>
      <c r="M338" s="106" t="str">
        <f t="shared" si="16"/>
        <v xml:space="preserve"> </v>
      </c>
      <c r="P338">
        <v>335</v>
      </c>
    </row>
    <row r="339" spans="6:16">
      <c r="F339">
        <v>336</v>
      </c>
      <c r="M339" s="106" t="str">
        <f t="shared" si="16"/>
        <v xml:space="preserve"> </v>
      </c>
      <c r="P339">
        <v>336</v>
      </c>
    </row>
    <row r="340" spans="6:16">
      <c r="F340">
        <v>337</v>
      </c>
      <c r="M340" s="106" t="str">
        <f t="shared" si="16"/>
        <v xml:space="preserve"> </v>
      </c>
      <c r="P340">
        <v>337</v>
      </c>
    </row>
    <row r="341" spans="6:16">
      <c r="F341">
        <v>338</v>
      </c>
      <c r="M341" s="106" t="str">
        <f t="shared" si="16"/>
        <v xml:space="preserve"> </v>
      </c>
      <c r="P341">
        <v>338</v>
      </c>
    </row>
    <row r="342" spans="6:16">
      <c r="F342">
        <v>339</v>
      </c>
      <c r="M342" s="106" t="str">
        <f t="shared" si="16"/>
        <v xml:space="preserve"> </v>
      </c>
      <c r="P342">
        <v>339</v>
      </c>
    </row>
    <row r="343" spans="6:16">
      <c r="F343">
        <v>340</v>
      </c>
      <c r="M343" s="106" t="str">
        <f t="shared" si="16"/>
        <v xml:space="preserve"> </v>
      </c>
      <c r="P343">
        <v>340</v>
      </c>
    </row>
    <row r="344" spans="6:16">
      <c r="F344">
        <v>341</v>
      </c>
      <c r="M344" s="106" t="str">
        <f t="shared" si="16"/>
        <v xml:space="preserve"> </v>
      </c>
      <c r="P344">
        <v>341</v>
      </c>
    </row>
    <row r="345" spans="6:16">
      <c r="F345">
        <v>342</v>
      </c>
      <c r="M345" s="106" t="str">
        <f t="shared" si="16"/>
        <v xml:space="preserve"> </v>
      </c>
      <c r="P345">
        <v>342</v>
      </c>
    </row>
    <row r="346" spans="6:16">
      <c r="F346">
        <v>343</v>
      </c>
      <c r="M346" s="106" t="str">
        <f t="shared" si="16"/>
        <v xml:space="preserve"> </v>
      </c>
      <c r="P346">
        <v>343</v>
      </c>
    </row>
    <row r="347" spans="6:16">
      <c r="F347">
        <v>344</v>
      </c>
      <c r="M347" s="106" t="str">
        <f t="shared" si="16"/>
        <v xml:space="preserve"> </v>
      </c>
      <c r="P347">
        <v>344</v>
      </c>
    </row>
    <row r="348" spans="6:16">
      <c r="F348">
        <v>345</v>
      </c>
      <c r="M348" s="106" t="str">
        <f t="shared" si="16"/>
        <v xml:space="preserve"> </v>
      </c>
      <c r="P348">
        <v>345</v>
      </c>
    </row>
    <row r="349" spans="6:16">
      <c r="F349">
        <v>346</v>
      </c>
      <c r="M349" s="106" t="str">
        <f t="shared" si="16"/>
        <v xml:space="preserve"> </v>
      </c>
      <c r="P349">
        <v>346</v>
      </c>
    </row>
    <row r="350" spans="6:16">
      <c r="F350">
        <v>347</v>
      </c>
      <c r="M350" s="106" t="str">
        <f t="shared" si="16"/>
        <v xml:space="preserve"> </v>
      </c>
      <c r="P350">
        <v>347</v>
      </c>
    </row>
    <row r="351" spans="6:16">
      <c r="F351">
        <v>348</v>
      </c>
      <c r="M351" s="106" t="str">
        <f t="shared" si="16"/>
        <v xml:space="preserve"> </v>
      </c>
      <c r="P351">
        <v>348</v>
      </c>
    </row>
    <row r="352" spans="6:16">
      <c r="F352">
        <v>349</v>
      </c>
      <c r="M352" s="106" t="str">
        <f t="shared" si="16"/>
        <v xml:space="preserve"> </v>
      </c>
      <c r="P352">
        <v>349</v>
      </c>
    </row>
    <row r="353" spans="6:16">
      <c r="F353">
        <v>350</v>
      </c>
      <c r="M353" s="106" t="str">
        <f t="shared" si="16"/>
        <v xml:space="preserve"> </v>
      </c>
      <c r="P353">
        <v>350</v>
      </c>
    </row>
    <row r="354" spans="6:16">
      <c r="F354">
        <v>351</v>
      </c>
      <c r="M354" s="106" t="str">
        <f t="shared" si="16"/>
        <v xml:space="preserve"> </v>
      </c>
      <c r="P354">
        <v>351</v>
      </c>
    </row>
    <row r="355" spans="6:16">
      <c r="F355">
        <v>352</v>
      </c>
      <c r="M355" s="106" t="str">
        <f t="shared" si="16"/>
        <v xml:space="preserve"> </v>
      </c>
      <c r="P355">
        <v>352</v>
      </c>
    </row>
    <row r="356" spans="6:16">
      <c r="F356">
        <v>353</v>
      </c>
      <c r="M356" s="106" t="str">
        <f t="shared" si="16"/>
        <v xml:space="preserve"> </v>
      </c>
      <c r="P356">
        <v>353</v>
      </c>
    </row>
    <row r="357" spans="6:16">
      <c r="F357">
        <v>354</v>
      </c>
      <c r="M357" s="106" t="str">
        <f t="shared" si="16"/>
        <v xml:space="preserve"> </v>
      </c>
      <c r="P357">
        <v>354</v>
      </c>
    </row>
    <row r="358" spans="6:16">
      <c r="F358">
        <v>355</v>
      </c>
      <c r="M358" s="106" t="str">
        <f t="shared" si="16"/>
        <v xml:space="preserve"> </v>
      </c>
      <c r="P358">
        <v>355</v>
      </c>
    </row>
    <row r="359" spans="6:16">
      <c r="F359">
        <v>356</v>
      </c>
      <c r="M359" s="106" t="str">
        <f t="shared" si="16"/>
        <v xml:space="preserve"> </v>
      </c>
      <c r="P359">
        <v>356</v>
      </c>
    </row>
    <row r="360" spans="6:16">
      <c r="F360">
        <v>357</v>
      </c>
      <c r="M360" s="106" t="str">
        <f t="shared" si="16"/>
        <v xml:space="preserve"> </v>
      </c>
      <c r="P360">
        <v>357</v>
      </c>
    </row>
    <row r="361" spans="6:16">
      <c r="F361">
        <v>358</v>
      </c>
      <c r="M361" s="106" t="str">
        <f t="shared" ref="M361:M424" si="17">IF(ISNUMBER(SEARCH("Unit",$C$19)),F361," ")</f>
        <v xml:space="preserve"> </v>
      </c>
      <c r="P361">
        <v>358</v>
      </c>
    </row>
    <row r="362" spans="6:16">
      <c r="F362">
        <v>359</v>
      </c>
      <c r="M362" s="106" t="str">
        <f t="shared" si="17"/>
        <v xml:space="preserve"> </v>
      </c>
      <c r="P362">
        <v>359</v>
      </c>
    </row>
    <row r="363" spans="6:16">
      <c r="F363">
        <v>360</v>
      </c>
      <c r="M363" s="106" t="str">
        <f t="shared" si="17"/>
        <v xml:space="preserve"> </v>
      </c>
      <c r="P363">
        <v>360</v>
      </c>
    </row>
    <row r="364" spans="6:16">
      <c r="F364">
        <v>361</v>
      </c>
      <c r="M364" s="106" t="str">
        <f t="shared" si="17"/>
        <v xml:space="preserve"> </v>
      </c>
      <c r="P364">
        <v>361</v>
      </c>
    </row>
    <row r="365" spans="6:16">
      <c r="F365">
        <v>362</v>
      </c>
      <c r="M365" s="106" t="str">
        <f t="shared" si="17"/>
        <v xml:space="preserve"> </v>
      </c>
      <c r="P365">
        <v>362</v>
      </c>
    </row>
    <row r="366" spans="6:16">
      <c r="F366">
        <v>363</v>
      </c>
      <c r="M366" s="106" t="str">
        <f t="shared" si="17"/>
        <v xml:space="preserve"> </v>
      </c>
      <c r="P366">
        <v>363</v>
      </c>
    </row>
    <row r="367" spans="6:16">
      <c r="F367">
        <v>364</v>
      </c>
      <c r="M367" s="106" t="str">
        <f t="shared" si="17"/>
        <v xml:space="preserve"> </v>
      </c>
      <c r="P367">
        <v>364</v>
      </c>
    </row>
    <row r="368" spans="6:16">
      <c r="F368">
        <v>365</v>
      </c>
      <c r="M368" s="106" t="str">
        <f t="shared" si="17"/>
        <v xml:space="preserve"> </v>
      </c>
      <c r="P368">
        <v>365</v>
      </c>
    </row>
    <row r="369" spans="6:16">
      <c r="F369">
        <v>366</v>
      </c>
      <c r="M369" s="106" t="str">
        <f t="shared" si="17"/>
        <v xml:space="preserve"> </v>
      </c>
      <c r="P369">
        <v>366</v>
      </c>
    </row>
    <row r="370" spans="6:16">
      <c r="F370">
        <v>367</v>
      </c>
      <c r="M370" s="106" t="str">
        <f t="shared" si="17"/>
        <v xml:space="preserve"> </v>
      </c>
      <c r="P370">
        <v>367</v>
      </c>
    </row>
    <row r="371" spans="6:16">
      <c r="F371">
        <v>368</v>
      </c>
      <c r="M371" s="106" t="str">
        <f t="shared" si="17"/>
        <v xml:space="preserve"> </v>
      </c>
      <c r="P371">
        <v>368</v>
      </c>
    </row>
    <row r="372" spans="6:16">
      <c r="F372">
        <v>369</v>
      </c>
      <c r="M372" s="106" t="str">
        <f t="shared" si="17"/>
        <v xml:space="preserve"> </v>
      </c>
      <c r="P372">
        <v>369</v>
      </c>
    </row>
    <row r="373" spans="6:16">
      <c r="F373">
        <v>370</v>
      </c>
      <c r="M373" s="106" t="str">
        <f t="shared" si="17"/>
        <v xml:space="preserve"> </v>
      </c>
      <c r="P373">
        <v>370</v>
      </c>
    </row>
    <row r="374" spans="6:16">
      <c r="F374">
        <v>371</v>
      </c>
      <c r="M374" s="106" t="str">
        <f t="shared" si="17"/>
        <v xml:space="preserve"> </v>
      </c>
      <c r="P374">
        <v>371</v>
      </c>
    </row>
    <row r="375" spans="6:16">
      <c r="F375">
        <v>372</v>
      </c>
      <c r="M375" s="106" t="str">
        <f t="shared" si="17"/>
        <v xml:space="preserve"> </v>
      </c>
      <c r="P375">
        <v>372</v>
      </c>
    </row>
    <row r="376" spans="6:16">
      <c r="F376">
        <v>373</v>
      </c>
      <c r="M376" s="106" t="str">
        <f t="shared" si="17"/>
        <v xml:space="preserve"> </v>
      </c>
      <c r="P376">
        <v>373</v>
      </c>
    </row>
    <row r="377" spans="6:16">
      <c r="F377">
        <v>374</v>
      </c>
      <c r="M377" s="106" t="str">
        <f t="shared" si="17"/>
        <v xml:space="preserve"> </v>
      </c>
      <c r="P377">
        <v>374</v>
      </c>
    </row>
    <row r="378" spans="6:16">
      <c r="F378">
        <v>375</v>
      </c>
      <c r="M378" s="106" t="str">
        <f t="shared" si="17"/>
        <v xml:space="preserve"> </v>
      </c>
      <c r="P378">
        <v>375</v>
      </c>
    </row>
    <row r="379" spans="6:16">
      <c r="F379">
        <v>376</v>
      </c>
      <c r="M379" s="106" t="str">
        <f t="shared" si="17"/>
        <v xml:space="preserve"> </v>
      </c>
      <c r="P379">
        <v>376</v>
      </c>
    </row>
    <row r="380" spans="6:16">
      <c r="F380">
        <v>377</v>
      </c>
      <c r="M380" s="106" t="str">
        <f t="shared" si="17"/>
        <v xml:space="preserve"> </v>
      </c>
      <c r="P380">
        <v>377</v>
      </c>
    </row>
    <row r="381" spans="6:16">
      <c r="F381">
        <v>378</v>
      </c>
      <c r="M381" s="106" t="str">
        <f t="shared" si="17"/>
        <v xml:space="preserve"> </v>
      </c>
      <c r="P381">
        <v>378</v>
      </c>
    </row>
    <row r="382" spans="6:16">
      <c r="F382">
        <v>379</v>
      </c>
      <c r="M382" s="106" t="str">
        <f t="shared" si="17"/>
        <v xml:space="preserve"> </v>
      </c>
      <c r="P382">
        <v>379</v>
      </c>
    </row>
    <row r="383" spans="6:16">
      <c r="F383">
        <v>380</v>
      </c>
      <c r="M383" s="106" t="str">
        <f t="shared" si="17"/>
        <v xml:space="preserve"> </v>
      </c>
      <c r="P383">
        <v>380</v>
      </c>
    </row>
    <row r="384" spans="6:16">
      <c r="F384">
        <v>381</v>
      </c>
      <c r="M384" s="106" t="str">
        <f t="shared" si="17"/>
        <v xml:space="preserve"> </v>
      </c>
      <c r="P384">
        <v>381</v>
      </c>
    </row>
    <row r="385" spans="6:16">
      <c r="F385">
        <v>382</v>
      </c>
      <c r="M385" s="106" t="str">
        <f t="shared" si="17"/>
        <v xml:space="preserve"> </v>
      </c>
      <c r="P385">
        <v>382</v>
      </c>
    </row>
    <row r="386" spans="6:16">
      <c r="F386">
        <v>383</v>
      </c>
      <c r="M386" s="106" t="str">
        <f t="shared" si="17"/>
        <v xml:space="preserve"> </v>
      </c>
      <c r="P386">
        <v>383</v>
      </c>
    </row>
    <row r="387" spans="6:16">
      <c r="F387">
        <v>384</v>
      </c>
      <c r="M387" s="106" t="str">
        <f t="shared" si="17"/>
        <v xml:space="preserve"> </v>
      </c>
      <c r="P387">
        <v>384</v>
      </c>
    </row>
    <row r="388" spans="6:16">
      <c r="F388">
        <v>385</v>
      </c>
      <c r="M388" s="106" t="str">
        <f t="shared" si="17"/>
        <v xml:space="preserve"> </v>
      </c>
      <c r="P388">
        <v>385</v>
      </c>
    </row>
    <row r="389" spans="6:16">
      <c r="F389">
        <v>386</v>
      </c>
      <c r="M389" s="106" t="str">
        <f t="shared" si="17"/>
        <v xml:space="preserve"> </v>
      </c>
      <c r="P389">
        <v>386</v>
      </c>
    </row>
    <row r="390" spans="6:16">
      <c r="F390">
        <v>387</v>
      </c>
      <c r="M390" s="106" t="str">
        <f t="shared" si="17"/>
        <v xml:space="preserve"> </v>
      </c>
      <c r="P390">
        <v>387</v>
      </c>
    </row>
    <row r="391" spans="6:16">
      <c r="F391">
        <v>388</v>
      </c>
      <c r="M391" s="106" t="str">
        <f t="shared" si="17"/>
        <v xml:space="preserve"> </v>
      </c>
      <c r="P391">
        <v>388</v>
      </c>
    </row>
    <row r="392" spans="6:16">
      <c r="F392">
        <v>389</v>
      </c>
      <c r="M392" s="106" t="str">
        <f t="shared" si="17"/>
        <v xml:space="preserve"> </v>
      </c>
      <c r="P392">
        <v>389</v>
      </c>
    </row>
    <row r="393" spans="6:16">
      <c r="F393">
        <v>390</v>
      </c>
      <c r="M393" s="106" t="str">
        <f t="shared" si="17"/>
        <v xml:space="preserve"> </v>
      </c>
      <c r="P393">
        <v>390</v>
      </c>
    </row>
    <row r="394" spans="6:16">
      <c r="F394">
        <v>391</v>
      </c>
      <c r="M394" s="106" t="str">
        <f t="shared" si="17"/>
        <v xml:space="preserve"> </v>
      </c>
      <c r="P394">
        <v>391</v>
      </c>
    </row>
    <row r="395" spans="6:16">
      <c r="F395">
        <v>392</v>
      </c>
      <c r="M395" s="106" t="str">
        <f t="shared" si="17"/>
        <v xml:space="preserve"> </v>
      </c>
      <c r="P395">
        <v>392</v>
      </c>
    </row>
    <row r="396" spans="6:16">
      <c r="F396">
        <v>393</v>
      </c>
      <c r="M396" s="106" t="str">
        <f t="shared" si="17"/>
        <v xml:space="preserve"> </v>
      </c>
      <c r="P396">
        <v>393</v>
      </c>
    </row>
    <row r="397" spans="6:16">
      <c r="F397">
        <v>394</v>
      </c>
      <c r="M397" s="106" t="str">
        <f t="shared" si="17"/>
        <v xml:space="preserve"> </v>
      </c>
      <c r="P397">
        <v>394</v>
      </c>
    </row>
    <row r="398" spans="6:16">
      <c r="F398">
        <v>395</v>
      </c>
      <c r="M398" s="106" t="str">
        <f t="shared" si="17"/>
        <v xml:space="preserve"> </v>
      </c>
      <c r="P398">
        <v>395</v>
      </c>
    </row>
    <row r="399" spans="6:16">
      <c r="F399">
        <v>396</v>
      </c>
      <c r="M399" s="106" t="str">
        <f t="shared" si="17"/>
        <v xml:space="preserve"> </v>
      </c>
      <c r="P399">
        <v>396</v>
      </c>
    </row>
    <row r="400" spans="6:16">
      <c r="F400">
        <v>397</v>
      </c>
      <c r="M400" s="106" t="str">
        <f t="shared" si="17"/>
        <v xml:space="preserve"> </v>
      </c>
      <c r="P400">
        <v>397</v>
      </c>
    </row>
    <row r="401" spans="6:16">
      <c r="F401">
        <v>398</v>
      </c>
      <c r="M401" s="106" t="str">
        <f t="shared" si="17"/>
        <v xml:space="preserve"> </v>
      </c>
      <c r="P401">
        <v>398</v>
      </c>
    </row>
    <row r="402" spans="6:16">
      <c r="F402">
        <v>399</v>
      </c>
      <c r="M402" s="106" t="str">
        <f t="shared" si="17"/>
        <v xml:space="preserve"> </v>
      </c>
      <c r="P402">
        <v>399</v>
      </c>
    </row>
    <row r="403" spans="6:16">
      <c r="F403">
        <v>400</v>
      </c>
      <c r="M403" s="106" t="str">
        <f t="shared" si="17"/>
        <v xml:space="preserve"> </v>
      </c>
      <c r="P403">
        <v>400</v>
      </c>
    </row>
    <row r="404" spans="6:16">
      <c r="F404">
        <v>401</v>
      </c>
      <c r="M404" s="106" t="str">
        <f t="shared" si="17"/>
        <v xml:space="preserve"> </v>
      </c>
      <c r="P404">
        <v>401</v>
      </c>
    </row>
    <row r="405" spans="6:16">
      <c r="F405">
        <v>402</v>
      </c>
      <c r="M405" s="106" t="str">
        <f t="shared" si="17"/>
        <v xml:space="preserve"> </v>
      </c>
      <c r="P405">
        <v>402</v>
      </c>
    </row>
    <row r="406" spans="6:16">
      <c r="F406">
        <v>403</v>
      </c>
      <c r="M406" s="106" t="str">
        <f t="shared" si="17"/>
        <v xml:space="preserve"> </v>
      </c>
      <c r="P406">
        <v>403</v>
      </c>
    </row>
    <row r="407" spans="6:16">
      <c r="F407">
        <v>404</v>
      </c>
      <c r="M407" s="106" t="str">
        <f t="shared" si="17"/>
        <v xml:space="preserve"> </v>
      </c>
      <c r="P407">
        <v>404</v>
      </c>
    </row>
    <row r="408" spans="6:16">
      <c r="F408">
        <v>405</v>
      </c>
      <c r="M408" s="106" t="str">
        <f t="shared" si="17"/>
        <v xml:space="preserve"> </v>
      </c>
      <c r="P408">
        <v>405</v>
      </c>
    </row>
    <row r="409" spans="6:16">
      <c r="F409">
        <v>406</v>
      </c>
      <c r="M409" s="106" t="str">
        <f t="shared" si="17"/>
        <v xml:space="preserve"> </v>
      </c>
      <c r="P409">
        <v>406</v>
      </c>
    </row>
    <row r="410" spans="6:16">
      <c r="F410">
        <v>407</v>
      </c>
      <c r="M410" s="106" t="str">
        <f t="shared" si="17"/>
        <v xml:space="preserve"> </v>
      </c>
      <c r="P410">
        <v>407</v>
      </c>
    </row>
    <row r="411" spans="6:16">
      <c r="F411">
        <v>408</v>
      </c>
      <c r="M411" s="106" t="str">
        <f t="shared" si="17"/>
        <v xml:space="preserve"> </v>
      </c>
      <c r="P411">
        <v>408</v>
      </c>
    </row>
    <row r="412" spans="6:16">
      <c r="F412">
        <v>409</v>
      </c>
      <c r="M412" s="106" t="str">
        <f t="shared" si="17"/>
        <v xml:space="preserve"> </v>
      </c>
      <c r="P412">
        <v>409</v>
      </c>
    </row>
    <row r="413" spans="6:16">
      <c r="F413">
        <v>410</v>
      </c>
      <c r="M413" s="106" t="str">
        <f t="shared" si="17"/>
        <v xml:space="preserve"> </v>
      </c>
      <c r="P413">
        <v>410</v>
      </c>
    </row>
    <row r="414" spans="6:16">
      <c r="F414">
        <v>411</v>
      </c>
      <c r="M414" s="106" t="str">
        <f t="shared" si="17"/>
        <v xml:space="preserve"> </v>
      </c>
      <c r="P414">
        <v>411</v>
      </c>
    </row>
    <row r="415" spans="6:16">
      <c r="F415">
        <v>412</v>
      </c>
      <c r="M415" s="106" t="str">
        <f t="shared" si="17"/>
        <v xml:space="preserve"> </v>
      </c>
      <c r="P415">
        <v>412</v>
      </c>
    </row>
    <row r="416" spans="6:16">
      <c r="F416">
        <v>413</v>
      </c>
      <c r="M416" s="106" t="str">
        <f t="shared" si="17"/>
        <v xml:space="preserve"> </v>
      </c>
      <c r="P416">
        <v>413</v>
      </c>
    </row>
    <row r="417" spans="6:16">
      <c r="F417">
        <v>414</v>
      </c>
      <c r="M417" s="106" t="str">
        <f t="shared" si="17"/>
        <v xml:space="preserve"> </v>
      </c>
      <c r="P417">
        <v>414</v>
      </c>
    </row>
    <row r="418" spans="6:16">
      <c r="F418">
        <v>415</v>
      </c>
      <c r="M418" s="106" t="str">
        <f t="shared" si="17"/>
        <v xml:space="preserve"> </v>
      </c>
      <c r="P418">
        <v>415</v>
      </c>
    </row>
    <row r="419" spans="6:16">
      <c r="F419">
        <v>416</v>
      </c>
      <c r="M419" s="106" t="str">
        <f t="shared" si="17"/>
        <v xml:space="preserve"> </v>
      </c>
      <c r="P419">
        <v>416</v>
      </c>
    </row>
    <row r="420" spans="6:16">
      <c r="F420">
        <v>417</v>
      </c>
      <c r="M420" s="106" t="str">
        <f t="shared" si="17"/>
        <v xml:space="preserve"> </v>
      </c>
      <c r="P420">
        <v>417</v>
      </c>
    </row>
    <row r="421" spans="6:16">
      <c r="F421">
        <v>418</v>
      </c>
      <c r="M421" s="106" t="str">
        <f t="shared" si="17"/>
        <v xml:space="preserve"> </v>
      </c>
      <c r="P421">
        <v>418</v>
      </c>
    </row>
    <row r="422" spans="6:16">
      <c r="F422">
        <v>419</v>
      </c>
      <c r="M422" s="106" t="str">
        <f t="shared" si="17"/>
        <v xml:space="preserve"> </v>
      </c>
      <c r="P422">
        <v>419</v>
      </c>
    </row>
    <row r="423" spans="6:16">
      <c r="F423">
        <v>420</v>
      </c>
      <c r="M423" s="106" t="str">
        <f t="shared" si="17"/>
        <v xml:space="preserve"> </v>
      </c>
      <c r="P423">
        <v>420</v>
      </c>
    </row>
    <row r="424" spans="6:16">
      <c r="F424">
        <v>421</v>
      </c>
      <c r="M424" s="106" t="str">
        <f t="shared" si="17"/>
        <v xml:space="preserve"> </v>
      </c>
      <c r="P424">
        <v>421</v>
      </c>
    </row>
    <row r="425" spans="6:16">
      <c r="F425">
        <v>422</v>
      </c>
      <c r="M425" s="106" t="str">
        <f t="shared" ref="M425:M488" si="18">IF(ISNUMBER(SEARCH("Unit",$C$19)),F425," ")</f>
        <v xml:space="preserve"> </v>
      </c>
      <c r="P425">
        <v>422</v>
      </c>
    </row>
    <row r="426" spans="6:16">
      <c r="F426">
        <v>423</v>
      </c>
      <c r="M426" s="106" t="str">
        <f t="shared" si="18"/>
        <v xml:space="preserve"> </v>
      </c>
      <c r="P426">
        <v>423</v>
      </c>
    </row>
    <row r="427" spans="6:16">
      <c r="F427">
        <v>424</v>
      </c>
      <c r="M427" s="106" t="str">
        <f t="shared" si="18"/>
        <v xml:space="preserve"> </v>
      </c>
      <c r="P427">
        <v>424</v>
      </c>
    </row>
    <row r="428" spans="6:16">
      <c r="F428">
        <v>425</v>
      </c>
      <c r="M428" s="106" t="str">
        <f t="shared" si="18"/>
        <v xml:space="preserve"> </v>
      </c>
      <c r="P428">
        <v>425</v>
      </c>
    </row>
    <row r="429" spans="6:16">
      <c r="F429">
        <v>426</v>
      </c>
      <c r="M429" s="106" t="str">
        <f t="shared" si="18"/>
        <v xml:space="preserve"> </v>
      </c>
      <c r="P429">
        <v>426</v>
      </c>
    </row>
    <row r="430" spans="6:16">
      <c r="F430">
        <v>427</v>
      </c>
      <c r="M430" s="106" t="str">
        <f t="shared" si="18"/>
        <v xml:space="preserve"> </v>
      </c>
      <c r="P430">
        <v>427</v>
      </c>
    </row>
    <row r="431" spans="6:16">
      <c r="F431">
        <v>428</v>
      </c>
      <c r="M431" s="106" t="str">
        <f t="shared" si="18"/>
        <v xml:space="preserve"> </v>
      </c>
      <c r="P431">
        <v>428</v>
      </c>
    </row>
    <row r="432" spans="6:16">
      <c r="F432">
        <v>429</v>
      </c>
      <c r="M432" s="106" t="str">
        <f t="shared" si="18"/>
        <v xml:space="preserve"> </v>
      </c>
      <c r="P432">
        <v>429</v>
      </c>
    </row>
    <row r="433" spans="6:16">
      <c r="F433">
        <v>430</v>
      </c>
      <c r="M433" s="106" t="str">
        <f t="shared" si="18"/>
        <v xml:space="preserve"> </v>
      </c>
      <c r="P433">
        <v>430</v>
      </c>
    </row>
    <row r="434" spans="6:16">
      <c r="F434">
        <v>431</v>
      </c>
      <c r="M434" s="106" t="str">
        <f t="shared" si="18"/>
        <v xml:space="preserve"> </v>
      </c>
      <c r="P434">
        <v>431</v>
      </c>
    </row>
    <row r="435" spans="6:16">
      <c r="F435">
        <v>432</v>
      </c>
      <c r="M435" s="106" t="str">
        <f t="shared" si="18"/>
        <v xml:space="preserve"> </v>
      </c>
      <c r="P435">
        <v>432</v>
      </c>
    </row>
    <row r="436" spans="6:16">
      <c r="F436">
        <v>433</v>
      </c>
      <c r="M436" s="106" t="str">
        <f t="shared" si="18"/>
        <v xml:space="preserve"> </v>
      </c>
      <c r="P436">
        <v>433</v>
      </c>
    </row>
    <row r="437" spans="6:16">
      <c r="F437">
        <v>434</v>
      </c>
      <c r="M437" s="106" t="str">
        <f t="shared" si="18"/>
        <v xml:space="preserve"> </v>
      </c>
      <c r="P437">
        <v>434</v>
      </c>
    </row>
    <row r="438" spans="6:16">
      <c r="F438">
        <v>435</v>
      </c>
      <c r="M438" s="106" t="str">
        <f t="shared" si="18"/>
        <v xml:space="preserve"> </v>
      </c>
      <c r="P438">
        <v>435</v>
      </c>
    </row>
    <row r="439" spans="6:16">
      <c r="F439">
        <v>436</v>
      </c>
      <c r="M439" s="106" t="str">
        <f t="shared" si="18"/>
        <v xml:space="preserve"> </v>
      </c>
      <c r="P439">
        <v>436</v>
      </c>
    </row>
    <row r="440" spans="6:16">
      <c r="F440">
        <v>437</v>
      </c>
      <c r="M440" s="106" t="str">
        <f t="shared" si="18"/>
        <v xml:space="preserve"> </v>
      </c>
      <c r="P440">
        <v>437</v>
      </c>
    </row>
    <row r="441" spans="6:16">
      <c r="F441">
        <v>438</v>
      </c>
      <c r="M441" s="106" t="str">
        <f t="shared" si="18"/>
        <v xml:space="preserve"> </v>
      </c>
      <c r="P441">
        <v>438</v>
      </c>
    </row>
    <row r="442" spans="6:16">
      <c r="F442">
        <v>439</v>
      </c>
      <c r="M442" s="106" t="str">
        <f t="shared" si="18"/>
        <v xml:space="preserve"> </v>
      </c>
      <c r="P442">
        <v>439</v>
      </c>
    </row>
    <row r="443" spans="6:16">
      <c r="F443">
        <v>440</v>
      </c>
      <c r="M443" s="106" t="str">
        <f t="shared" si="18"/>
        <v xml:space="preserve"> </v>
      </c>
      <c r="P443">
        <v>440</v>
      </c>
    </row>
    <row r="444" spans="6:16">
      <c r="F444">
        <v>441</v>
      </c>
      <c r="M444" s="106" t="str">
        <f t="shared" si="18"/>
        <v xml:space="preserve"> </v>
      </c>
      <c r="P444">
        <v>441</v>
      </c>
    </row>
    <row r="445" spans="6:16">
      <c r="F445">
        <v>442</v>
      </c>
      <c r="M445" s="106" t="str">
        <f t="shared" si="18"/>
        <v xml:space="preserve"> </v>
      </c>
      <c r="P445">
        <v>442</v>
      </c>
    </row>
    <row r="446" spans="6:16">
      <c r="F446">
        <v>443</v>
      </c>
      <c r="M446" s="106" t="str">
        <f t="shared" si="18"/>
        <v xml:space="preserve"> </v>
      </c>
      <c r="P446">
        <v>443</v>
      </c>
    </row>
    <row r="447" spans="6:16">
      <c r="F447">
        <v>444</v>
      </c>
      <c r="M447" s="106" t="str">
        <f t="shared" si="18"/>
        <v xml:space="preserve"> </v>
      </c>
      <c r="P447">
        <v>444</v>
      </c>
    </row>
    <row r="448" spans="6:16">
      <c r="F448">
        <v>445</v>
      </c>
      <c r="M448" s="106" t="str">
        <f t="shared" si="18"/>
        <v xml:space="preserve"> </v>
      </c>
      <c r="P448">
        <v>445</v>
      </c>
    </row>
    <row r="449" spans="6:16">
      <c r="F449">
        <v>446</v>
      </c>
      <c r="M449" s="106" t="str">
        <f t="shared" si="18"/>
        <v xml:space="preserve"> </v>
      </c>
      <c r="P449">
        <v>446</v>
      </c>
    </row>
    <row r="450" spans="6:16">
      <c r="F450">
        <v>447</v>
      </c>
      <c r="M450" s="106" t="str">
        <f t="shared" si="18"/>
        <v xml:space="preserve"> </v>
      </c>
      <c r="P450">
        <v>447</v>
      </c>
    </row>
    <row r="451" spans="6:16">
      <c r="F451">
        <v>448</v>
      </c>
      <c r="M451" s="106" t="str">
        <f t="shared" si="18"/>
        <v xml:space="preserve"> </v>
      </c>
      <c r="P451">
        <v>448</v>
      </c>
    </row>
    <row r="452" spans="6:16">
      <c r="F452">
        <v>449</v>
      </c>
      <c r="M452" s="106" t="str">
        <f t="shared" si="18"/>
        <v xml:space="preserve"> </v>
      </c>
      <c r="P452">
        <v>449</v>
      </c>
    </row>
    <row r="453" spans="6:16">
      <c r="F453">
        <v>450</v>
      </c>
      <c r="M453" s="106" t="str">
        <f t="shared" si="18"/>
        <v xml:space="preserve"> </v>
      </c>
      <c r="P453">
        <v>450</v>
      </c>
    </row>
    <row r="454" spans="6:16">
      <c r="F454">
        <v>451</v>
      </c>
      <c r="M454" s="106" t="str">
        <f t="shared" si="18"/>
        <v xml:space="preserve"> </v>
      </c>
      <c r="P454">
        <v>451</v>
      </c>
    </row>
    <row r="455" spans="6:16">
      <c r="F455">
        <v>452</v>
      </c>
      <c r="M455" s="106" t="str">
        <f t="shared" si="18"/>
        <v xml:space="preserve"> </v>
      </c>
      <c r="P455">
        <v>452</v>
      </c>
    </row>
    <row r="456" spans="6:16">
      <c r="F456">
        <v>453</v>
      </c>
      <c r="M456" s="106" t="str">
        <f t="shared" si="18"/>
        <v xml:space="preserve"> </v>
      </c>
      <c r="P456">
        <v>453</v>
      </c>
    </row>
    <row r="457" spans="6:16">
      <c r="F457">
        <v>454</v>
      </c>
      <c r="M457" s="106" t="str">
        <f t="shared" si="18"/>
        <v xml:space="preserve"> </v>
      </c>
      <c r="P457">
        <v>454</v>
      </c>
    </row>
    <row r="458" spans="6:16">
      <c r="F458">
        <v>455</v>
      </c>
      <c r="M458" s="106" t="str">
        <f t="shared" si="18"/>
        <v xml:space="preserve"> </v>
      </c>
      <c r="P458">
        <v>455</v>
      </c>
    </row>
    <row r="459" spans="6:16">
      <c r="F459">
        <v>456</v>
      </c>
      <c r="M459" s="106" t="str">
        <f t="shared" si="18"/>
        <v xml:space="preserve"> </v>
      </c>
      <c r="P459">
        <v>456</v>
      </c>
    </row>
    <row r="460" spans="6:16">
      <c r="F460">
        <v>457</v>
      </c>
      <c r="M460" s="106" t="str">
        <f t="shared" si="18"/>
        <v xml:space="preserve"> </v>
      </c>
      <c r="P460">
        <v>457</v>
      </c>
    </row>
    <row r="461" spans="6:16">
      <c r="F461">
        <v>458</v>
      </c>
      <c r="M461" s="106" t="str">
        <f t="shared" si="18"/>
        <v xml:space="preserve"> </v>
      </c>
      <c r="P461">
        <v>458</v>
      </c>
    </row>
    <row r="462" spans="6:16">
      <c r="F462">
        <v>459</v>
      </c>
      <c r="M462" s="106" t="str">
        <f t="shared" si="18"/>
        <v xml:space="preserve"> </v>
      </c>
      <c r="P462">
        <v>459</v>
      </c>
    </row>
    <row r="463" spans="6:16">
      <c r="F463">
        <v>460</v>
      </c>
      <c r="M463" s="106" t="str">
        <f t="shared" si="18"/>
        <v xml:space="preserve"> </v>
      </c>
      <c r="P463">
        <v>460</v>
      </c>
    </row>
    <row r="464" spans="6:16">
      <c r="F464">
        <v>461</v>
      </c>
      <c r="M464" s="106" t="str">
        <f t="shared" si="18"/>
        <v xml:space="preserve"> </v>
      </c>
      <c r="P464">
        <v>461</v>
      </c>
    </row>
    <row r="465" spans="6:16">
      <c r="F465">
        <v>462</v>
      </c>
      <c r="M465" s="106" t="str">
        <f t="shared" si="18"/>
        <v xml:space="preserve"> </v>
      </c>
      <c r="P465">
        <v>462</v>
      </c>
    </row>
    <row r="466" spans="6:16">
      <c r="F466">
        <v>463</v>
      </c>
      <c r="M466" s="106" t="str">
        <f t="shared" si="18"/>
        <v xml:space="preserve"> </v>
      </c>
      <c r="P466">
        <v>463</v>
      </c>
    </row>
    <row r="467" spans="6:16">
      <c r="F467">
        <v>464</v>
      </c>
      <c r="M467" s="106" t="str">
        <f t="shared" si="18"/>
        <v xml:space="preserve"> </v>
      </c>
      <c r="P467">
        <v>464</v>
      </c>
    </row>
    <row r="468" spans="6:16">
      <c r="F468">
        <v>465</v>
      </c>
      <c r="M468" s="106" t="str">
        <f t="shared" si="18"/>
        <v xml:space="preserve"> </v>
      </c>
      <c r="P468">
        <v>465</v>
      </c>
    </row>
    <row r="469" spans="6:16">
      <c r="F469">
        <v>466</v>
      </c>
      <c r="M469" s="106" t="str">
        <f t="shared" si="18"/>
        <v xml:space="preserve"> </v>
      </c>
      <c r="P469">
        <v>466</v>
      </c>
    </row>
    <row r="470" spans="6:16">
      <c r="F470">
        <v>467</v>
      </c>
      <c r="M470" s="106" t="str">
        <f t="shared" si="18"/>
        <v xml:space="preserve"> </v>
      </c>
      <c r="P470">
        <v>467</v>
      </c>
    </row>
    <row r="471" spans="6:16">
      <c r="F471">
        <v>468</v>
      </c>
      <c r="M471" s="106" t="str">
        <f t="shared" si="18"/>
        <v xml:space="preserve"> </v>
      </c>
      <c r="P471">
        <v>468</v>
      </c>
    </row>
    <row r="472" spans="6:16">
      <c r="F472">
        <v>469</v>
      </c>
      <c r="M472" s="106" t="str">
        <f t="shared" si="18"/>
        <v xml:space="preserve"> </v>
      </c>
      <c r="P472">
        <v>469</v>
      </c>
    </row>
    <row r="473" spans="6:16">
      <c r="F473">
        <v>470</v>
      </c>
      <c r="M473" s="106" t="str">
        <f t="shared" si="18"/>
        <v xml:space="preserve"> </v>
      </c>
      <c r="P473">
        <v>470</v>
      </c>
    </row>
    <row r="474" spans="6:16">
      <c r="F474">
        <v>471</v>
      </c>
      <c r="M474" s="106" t="str">
        <f t="shared" si="18"/>
        <v xml:space="preserve"> </v>
      </c>
      <c r="P474">
        <v>471</v>
      </c>
    </row>
    <row r="475" spans="6:16">
      <c r="F475">
        <v>472</v>
      </c>
      <c r="M475" s="106" t="str">
        <f t="shared" si="18"/>
        <v xml:space="preserve"> </v>
      </c>
      <c r="P475">
        <v>472</v>
      </c>
    </row>
    <row r="476" spans="6:16">
      <c r="F476">
        <v>473</v>
      </c>
      <c r="M476" s="106" t="str">
        <f t="shared" si="18"/>
        <v xml:space="preserve"> </v>
      </c>
      <c r="P476">
        <v>473</v>
      </c>
    </row>
    <row r="477" spans="6:16">
      <c r="F477">
        <v>474</v>
      </c>
      <c r="M477" s="106" t="str">
        <f t="shared" si="18"/>
        <v xml:space="preserve"> </v>
      </c>
      <c r="P477">
        <v>474</v>
      </c>
    </row>
    <row r="478" spans="6:16">
      <c r="F478">
        <v>475</v>
      </c>
      <c r="M478" s="106" t="str">
        <f t="shared" si="18"/>
        <v xml:space="preserve"> </v>
      </c>
      <c r="P478">
        <v>475</v>
      </c>
    </row>
    <row r="479" spans="6:16">
      <c r="F479">
        <v>476</v>
      </c>
      <c r="M479" s="106" t="str">
        <f t="shared" si="18"/>
        <v xml:space="preserve"> </v>
      </c>
      <c r="P479">
        <v>476</v>
      </c>
    </row>
    <row r="480" spans="6:16">
      <c r="F480">
        <v>477</v>
      </c>
      <c r="M480" s="106" t="str">
        <f t="shared" si="18"/>
        <v xml:space="preserve"> </v>
      </c>
      <c r="P480">
        <v>477</v>
      </c>
    </row>
    <row r="481" spans="6:16">
      <c r="F481">
        <v>478</v>
      </c>
      <c r="M481" s="106" t="str">
        <f t="shared" si="18"/>
        <v xml:space="preserve"> </v>
      </c>
      <c r="P481">
        <v>478</v>
      </c>
    </row>
    <row r="482" spans="6:16">
      <c r="F482">
        <v>479</v>
      </c>
      <c r="M482" s="106" t="str">
        <f t="shared" si="18"/>
        <v xml:space="preserve"> </v>
      </c>
      <c r="P482">
        <v>479</v>
      </c>
    </row>
    <row r="483" spans="6:16">
      <c r="F483">
        <v>480</v>
      </c>
      <c r="M483" s="106" t="str">
        <f t="shared" si="18"/>
        <v xml:space="preserve"> </v>
      </c>
      <c r="P483">
        <v>480</v>
      </c>
    </row>
    <row r="484" spans="6:16">
      <c r="F484">
        <v>481</v>
      </c>
      <c r="M484" s="106" t="str">
        <f t="shared" si="18"/>
        <v xml:space="preserve"> </v>
      </c>
      <c r="P484">
        <v>481</v>
      </c>
    </row>
    <row r="485" spans="6:16">
      <c r="F485">
        <v>482</v>
      </c>
      <c r="M485" s="106" t="str">
        <f t="shared" si="18"/>
        <v xml:space="preserve"> </v>
      </c>
      <c r="P485">
        <v>482</v>
      </c>
    </row>
    <row r="486" spans="6:16">
      <c r="F486">
        <v>483</v>
      </c>
      <c r="M486" s="106" t="str">
        <f t="shared" si="18"/>
        <v xml:space="preserve"> </v>
      </c>
      <c r="P486">
        <v>483</v>
      </c>
    </row>
    <row r="487" spans="6:16">
      <c r="F487">
        <v>484</v>
      </c>
      <c r="M487" s="106" t="str">
        <f t="shared" si="18"/>
        <v xml:space="preserve"> </v>
      </c>
      <c r="P487">
        <v>484</v>
      </c>
    </row>
    <row r="488" spans="6:16">
      <c r="F488">
        <v>485</v>
      </c>
      <c r="M488" s="106" t="str">
        <f t="shared" si="18"/>
        <v xml:space="preserve"> </v>
      </c>
      <c r="P488">
        <v>485</v>
      </c>
    </row>
    <row r="489" spans="6:16">
      <c r="F489">
        <v>486</v>
      </c>
      <c r="M489" s="106" t="str">
        <f t="shared" ref="M489:M552" si="19">IF(ISNUMBER(SEARCH("Unit",$C$19)),F489," ")</f>
        <v xml:space="preserve"> </v>
      </c>
      <c r="P489">
        <v>486</v>
      </c>
    </row>
    <row r="490" spans="6:16">
      <c r="F490">
        <v>487</v>
      </c>
      <c r="M490" s="106" t="str">
        <f t="shared" si="19"/>
        <v xml:space="preserve"> </v>
      </c>
      <c r="P490">
        <v>487</v>
      </c>
    </row>
    <row r="491" spans="6:16">
      <c r="F491">
        <v>488</v>
      </c>
      <c r="M491" s="106" t="str">
        <f t="shared" si="19"/>
        <v xml:space="preserve"> </v>
      </c>
      <c r="P491">
        <v>488</v>
      </c>
    </row>
    <row r="492" spans="6:16">
      <c r="F492">
        <v>489</v>
      </c>
      <c r="M492" s="106" t="str">
        <f t="shared" si="19"/>
        <v xml:space="preserve"> </v>
      </c>
      <c r="P492">
        <v>489</v>
      </c>
    </row>
    <row r="493" spans="6:16">
      <c r="F493">
        <v>490</v>
      </c>
      <c r="M493" s="106" t="str">
        <f t="shared" si="19"/>
        <v xml:space="preserve"> </v>
      </c>
      <c r="P493">
        <v>490</v>
      </c>
    </row>
    <row r="494" spans="6:16">
      <c r="F494">
        <v>491</v>
      </c>
      <c r="M494" s="106" t="str">
        <f t="shared" si="19"/>
        <v xml:space="preserve"> </v>
      </c>
      <c r="P494">
        <v>491</v>
      </c>
    </row>
    <row r="495" spans="6:16">
      <c r="F495">
        <v>492</v>
      </c>
      <c r="M495" s="106" t="str">
        <f t="shared" si="19"/>
        <v xml:space="preserve"> </v>
      </c>
      <c r="P495">
        <v>492</v>
      </c>
    </row>
    <row r="496" spans="6:16">
      <c r="F496">
        <v>493</v>
      </c>
      <c r="M496" s="106" t="str">
        <f t="shared" si="19"/>
        <v xml:space="preserve"> </v>
      </c>
      <c r="P496">
        <v>493</v>
      </c>
    </row>
    <row r="497" spans="6:16">
      <c r="F497">
        <v>494</v>
      </c>
      <c r="M497" s="106" t="str">
        <f t="shared" si="19"/>
        <v xml:space="preserve"> </v>
      </c>
      <c r="P497">
        <v>494</v>
      </c>
    </row>
    <row r="498" spans="6:16">
      <c r="F498">
        <v>495</v>
      </c>
      <c r="M498" s="106" t="str">
        <f t="shared" si="19"/>
        <v xml:space="preserve"> </v>
      </c>
      <c r="P498">
        <v>495</v>
      </c>
    </row>
    <row r="499" spans="6:16">
      <c r="F499">
        <v>496</v>
      </c>
      <c r="M499" s="106" t="str">
        <f t="shared" si="19"/>
        <v xml:space="preserve"> </v>
      </c>
      <c r="P499">
        <v>496</v>
      </c>
    </row>
    <row r="500" spans="6:16">
      <c r="F500">
        <v>497</v>
      </c>
      <c r="M500" s="106" t="str">
        <f t="shared" si="19"/>
        <v xml:space="preserve"> </v>
      </c>
      <c r="P500">
        <v>497</v>
      </c>
    </row>
    <row r="501" spans="6:16">
      <c r="F501">
        <v>498</v>
      </c>
      <c r="M501" s="106" t="str">
        <f t="shared" si="19"/>
        <v xml:space="preserve"> </v>
      </c>
      <c r="P501">
        <v>498</v>
      </c>
    </row>
    <row r="502" spans="6:16">
      <c r="F502">
        <v>499</v>
      </c>
      <c r="M502" s="106" t="str">
        <f t="shared" si="19"/>
        <v xml:space="preserve"> </v>
      </c>
      <c r="P502">
        <v>499</v>
      </c>
    </row>
    <row r="503" spans="6:16">
      <c r="F503">
        <v>500</v>
      </c>
      <c r="M503" s="106" t="str">
        <f t="shared" si="19"/>
        <v xml:space="preserve"> </v>
      </c>
      <c r="P503">
        <v>500</v>
      </c>
    </row>
    <row r="504" spans="6:16">
      <c r="F504">
        <v>501</v>
      </c>
      <c r="M504" s="106" t="str">
        <f t="shared" si="19"/>
        <v xml:space="preserve"> </v>
      </c>
      <c r="P504">
        <v>501</v>
      </c>
    </row>
    <row r="505" spans="6:16">
      <c r="F505">
        <v>502</v>
      </c>
      <c r="M505" s="106" t="str">
        <f t="shared" si="19"/>
        <v xml:space="preserve"> </v>
      </c>
      <c r="P505">
        <v>502</v>
      </c>
    </row>
    <row r="506" spans="6:16">
      <c r="F506">
        <v>503</v>
      </c>
      <c r="M506" s="106" t="str">
        <f t="shared" si="19"/>
        <v xml:space="preserve"> </v>
      </c>
      <c r="P506">
        <v>503</v>
      </c>
    </row>
    <row r="507" spans="6:16">
      <c r="F507">
        <v>504</v>
      </c>
      <c r="M507" s="106" t="str">
        <f t="shared" si="19"/>
        <v xml:space="preserve"> </v>
      </c>
      <c r="P507">
        <v>504</v>
      </c>
    </row>
    <row r="508" spans="6:16">
      <c r="F508">
        <v>505</v>
      </c>
      <c r="M508" s="106" t="str">
        <f t="shared" si="19"/>
        <v xml:space="preserve"> </v>
      </c>
      <c r="P508">
        <v>505</v>
      </c>
    </row>
    <row r="509" spans="6:16">
      <c r="F509">
        <v>506</v>
      </c>
      <c r="M509" s="106" t="str">
        <f t="shared" si="19"/>
        <v xml:space="preserve"> </v>
      </c>
      <c r="P509">
        <v>506</v>
      </c>
    </row>
    <row r="510" spans="6:16">
      <c r="F510">
        <v>507</v>
      </c>
      <c r="M510" s="106" t="str">
        <f t="shared" si="19"/>
        <v xml:space="preserve"> </v>
      </c>
      <c r="P510">
        <v>507</v>
      </c>
    </row>
    <row r="511" spans="6:16">
      <c r="F511">
        <v>508</v>
      </c>
      <c r="M511" s="106" t="str">
        <f t="shared" si="19"/>
        <v xml:space="preserve"> </v>
      </c>
      <c r="P511">
        <v>508</v>
      </c>
    </row>
    <row r="512" spans="6:16">
      <c r="F512">
        <v>509</v>
      </c>
      <c r="M512" s="106" t="str">
        <f t="shared" si="19"/>
        <v xml:space="preserve"> </v>
      </c>
      <c r="P512">
        <v>509</v>
      </c>
    </row>
    <row r="513" spans="6:16">
      <c r="F513">
        <v>510</v>
      </c>
      <c r="M513" s="106" t="str">
        <f t="shared" si="19"/>
        <v xml:space="preserve"> </v>
      </c>
      <c r="P513">
        <v>510</v>
      </c>
    </row>
    <row r="514" spans="6:16">
      <c r="F514">
        <v>511</v>
      </c>
      <c r="M514" s="106" t="str">
        <f t="shared" si="19"/>
        <v xml:space="preserve"> </v>
      </c>
      <c r="P514">
        <v>511</v>
      </c>
    </row>
    <row r="515" spans="6:16">
      <c r="F515">
        <v>512</v>
      </c>
      <c r="M515" s="106" t="str">
        <f t="shared" si="19"/>
        <v xml:space="preserve"> </v>
      </c>
      <c r="P515">
        <v>512</v>
      </c>
    </row>
    <row r="516" spans="6:16">
      <c r="F516">
        <v>513</v>
      </c>
      <c r="M516" s="106" t="str">
        <f t="shared" si="19"/>
        <v xml:space="preserve"> </v>
      </c>
      <c r="P516">
        <v>513</v>
      </c>
    </row>
    <row r="517" spans="6:16">
      <c r="F517">
        <v>514</v>
      </c>
      <c r="M517" s="106" t="str">
        <f t="shared" si="19"/>
        <v xml:space="preserve"> </v>
      </c>
      <c r="P517">
        <v>514</v>
      </c>
    </row>
    <row r="518" spans="6:16">
      <c r="F518">
        <v>515</v>
      </c>
      <c r="M518" s="106" t="str">
        <f t="shared" si="19"/>
        <v xml:space="preserve"> </v>
      </c>
      <c r="P518">
        <v>515</v>
      </c>
    </row>
    <row r="519" spans="6:16">
      <c r="F519">
        <v>516</v>
      </c>
      <c r="M519" s="106" t="str">
        <f t="shared" si="19"/>
        <v xml:space="preserve"> </v>
      </c>
      <c r="P519">
        <v>516</v>
      </c>
    </row>
    <row r="520" spans="6:16">
      <c r="F520">
        <v>517</v>
      </c>
      <c r="M520" s="106" t="str">
        <f t="shared" si="19"/>
        <v xml:space="preserve"> </v>
      </c>
      <c r="P520">
        <v>517</v>
      </c>
    </row>
    <row r="521" spans="6:16">
      <c r="F521">
        <v>518</v>
      </c>
      <c r="M521" s="106" t="str">
        <f t="shared" si="19"/>
        <v xml:space="preserve"> </v>
      </c>
      <c r="P521">
        <v>518</v>
      </c>
    </row>
    <row r="522" spans="6:16">
      <c r="F522">
        <v>519</v>
      </c>
      <c r="M522" s="106" t="str">
        <f t="shared" si="19"/>
        <v xml:space="preserve"> </v>
      </c>
      <c r="P522">
        <v>519</v>
      </c>
    </row>
    <row r="523" spans="6:16">
      <c r="F523">
        <v>520</v>
      </c>
      <c r="M523" s="106" t="str">
        <f t="shared" si="19"/>
        <v xml:space="preserve"> </v>
      </c>
      <c r="P523">
        <v>520</v>
      </c>
    </row>
    <row r="524" spans="6:16">
      <c r="F524">
        <v>521</v>
      </c>
      <c r="M524" s="106" t="str">
        <f t="shared" si="19"/>
        <v xml:space="preserve"> </v>
      </c>
      <c r="P524">
        <v>521</v>
      </c>
    </row>
    <row r="525" spans="6:16">
      <c r="F525">
        <v>522</v>
      </c>
      <c r="M525" s="106" t="str">
        <f t="shared" si="19"/>
        <v xml:space="preserve"> </v>
      </c>
      <c r="P525">
        <v>522</v>
      </c>
    </row>
    <row r="526" spans="6:16">
      <c r="F526">
        <v>523</v>
      </c>
      <c r="M526" s="106" t="str">
        <f t="shared" si="19"/>
        <v xml:space="preserve"> </v>
      </c>
      <c r="P526">
        <v>523</v>
      </c>
    </row>
    <row r="527" spans="6:16">
      <c r="F527">
        <v>524</v>
      </c>
      <c r="M527" s="106" t="str">
        <f t="shared" si="19"/>
        <v xml:space="preserve"> </v>
      </c>
      <c r="P527">
        <v>524</v>
      </c>
    </row>
    <row r="528" spans="6:16">
      <c r="F528">
        <v>525</v>
      </c>
      <c r="M528" s="106" t="str">
        <f t="shared" si="19"/>
        <v xml:space="preserve"> </v>
      </c>
      <c r="P528">
        <v>525</v>
      </c>
    </row>
    <row r="529" spans="6:16">
      <c r="F529">
        <v>526</v>
      </c>
      <c r="M529" s="106" t="str">
        <f t="shared" si="19"/>
        <v xml:space="preserve"> </v>
      </c>
      <c r="P529">
        <v>526</v>
      </c>
    </row>
    <row r="530" spans="6:16">
      <c r="F530">
        <v>527</v>
      </c>
      <c r="M530" s="106" t="str">
        <f t="shared" si="19"/>
        <v xml:space="preserve"> </v>
      </c>
      <c r="P530">
        <v>527</v>
      </c>
    </row>
    <row r="531" spans="6:16">
      <c r="F531">
        <v>528</v>
      </c>
      <c r="M531" s="106" t="str">
        <f t="shared" si="19"/>
        <v xml:space="preserve"> </v>
      </c>
      <c r="P531">
        <v>528</v>
      </c>
    </row>
    <row r="532" spans="6:16">
      <c r="F532">
        <v>529</v>
      </c>
      <c r="M532" s="106" t="str">
        <f t="shared" si="19"/>
        <v xml:space="preserve"> </v>
      </c>
      <c r="P532">
        <v>529</v>
      </c>
    </row>
    <row r="533" spans="6:16">
      <c r="F533">
        <v>530</v>
      </c>
      <c r="M533" s="106" t="str">
        <f t="shared" si="19"/>
        <v xml:space="preserve"> </v>
      </c>
      <c r="P533">
        <v>530</v>
      </c>
    </row>
    <row r="534" spans="6:16">
      <c r="F534">
        <v>531</v>
      </c>
      <c r="M534" s="106" t="str">
        <f t="shared" si="19"/>
        <v xml:space="preserve"> </v>
      </c>
      <c r="P534">
        <v>531</v>
      </c>
    </row>
    <row r="535" spans="6:16">
      <c r="F535">
        <v>532</v>
      </c>
      <c r="M535" s="106" t="str">
        <f t="shared" si="19"/>
        <v xml:space="preserve"> </v>
      </c>
      <c r="P535">
        <v>532</v>
      </c>
    </row>
    <row r="536" spans="6:16">
      <c r="F536">
        <v>533</v>
      </c>
      <c r="M536" s="106" t="str">
        <f t="shared" si="19"/>
        <v xml:space="preserve"> </v>
      </c>
      <c r="P536">
        <v>533</v>
      </c>
    </row>
    <row r="537" spans="6:16">
      <c r="F537">
        <v>534</v>
      </c>
      <c r="M537" s="106" t="str">
        <f t="shared" si="19"/>
        <v xml:space="preserve"> </v>
      </c>
      <c r="P537">
        <v>534</v>
      </c>
    </row>
    <row r="538" spans="6:16">
      <c r="F538">
        <v>535</v>
      </c>
      <c r="M538" s="106" t="str">
        <f t="shared" si="19"/>
        <v xml:space="preserve"> </v>
      </c>
      <c r="P538">
        <v>535</v>
      </c>
    </row>
    <row r="539" spans="6:16">
      <c r="F539">
        <v>536</v>
      </c>
      <c r="M539" s="106" t="str">
        <f t="shared" si="19"/>
        <v xml:space="preserve"> </v>
      </c>
      <c r="P539">
        <v>536</v>
      </c>
    </row>
    <row r="540" spans="6:16">
      <c r="F540">
        <v>537</v>
      </c>
      <c r="M540" s="106" t="str">
        <f t="shared" si="19"/>
        <v xml:space="preserve"> </v>
      </c>
      <c r="P540">
        <v>537</v>
      </c>
    </row>
    <row r="541" spans="6:16">
      <c r="F541">
        <v>538</v>
      </c>
      <c r="M541" s="106" t="str">
        <f t="shared" si="19"/>
        <v xml:space="preserve"> </v>
      </c>
      <c r="P541">
        <v>538</v>
      </c>
    </row>
    <row r="542" spans="6:16">
      <c r="F542">
        <v>539</v>
      </c>
      <c r="M542" s="106" t="str">
        <f t="shared" si="19"/>
        <v xml:space="preserve"> </v>
      </c>
      <c r="P542">
        <v>539</v>
      </c>
    </row>
    <row r="543" spans="6:16">
      <c r="F543">
        <v>540</v>
      </c>
      <c r="M543" s="106" t="str">
        <f t="shared" si="19"/>
        <v xml:space="preserve"> </v>
      </c>
      <c r="P543">
        <v>540</v>
      </c>
    </row>
    <row r="544" spans="6:16">
      <c r="F544">
        <v>541</v>
      </c>
      <c r="M544" s="106" t="str">
        <f t="shared" si="19"/>
        <v xml:space="preserve"> </v>
      </c>
      <c r="P544">
        <v>541</v>
      </c>
    </row>
    <row r="545" spans="6:16">
      <c r="F545">
        <v>542</v>
      </c>
      <c r="M545" s="106" t="str">
        <f t="shared" si="19"/>
        <v xml:space="preserve"> </v>
      </c>
      <c r="P545">
        <v>542</v>
      </c>
    </row>
    <row r="546" spans="6:16">
      <c r="F546">
        <v>543</v>
      </c>
      <c r="M546" s="106" t="str">
        <f t="shared" si="19"/>
        <v xml:space="preserve"> </v>
      </c>
      <c r="P546">
        <v>543</v>
      </c>
    </row>
    <row r="547" spans="6:16">
      <c r="F547">
        <v>544</v>
      </c>
      <c r="M547" s="106" t="str">
        <f t="shared" si="19"/>
        <v xml:space="preserve"> </v>
      </c>
      <c r="P547">
        <v>544</v>
      </c>
    </row>
    <row r="548" spans="6:16">
      <c r="F548">
        <v>545</v>
      </c>
      <c r="M548" s="106" t="str">
        <f t="shared" si="19"/>
        <v xml:space="preserve"> </v>
      </c>
      <c r="P548">
        <v>545</v>
      </c>
    </row>
    <row r="549" spans="6:16">
      <c r="F549">
        <v>546</v>
      </c>
      <c r="M549" s="106" t="str">
        <f t="shared" si="19"/>
        <v xml:space="preserve"> </v>
      </c>
      <c r="P549">
        <v>546</v>
      </c>
    </row>
    <row r="550" spans="6:16">
      <c r="F550">
        <v>547</v>
      </c>
      <c r="M550" s="106" t="str">
        <f t="shared" si="19"/>
        <v xml:space="preserve"> </v>
      </c>
      <c r="P550">
        <v>547</v>
      </c>
    </row>
    <row r="551" spans="6:16">
      <c r="F551">
        <v>548</v>
      </c>
      <c r="M551" s="106" t="str">
        <f t="shared" si="19"/>
        <v xml:space="preserve"> </v>
      </c>
      <c r="P551">
        <v>548</v>
      </c>
    </row>
    <row r="552" spans="6:16">
      <c r="F552">
        <v>549</v>
      </c>
      <c r="M552" s="106" t="str">
        <f t="shared" si="19"/>
        <v xml:space="preserve"> </v>
      </c>
      <c r="P552">
        <v>549</v>
      </c>
    </row>
    <row r="553" spans="6:16">
      <c r="F553">
        <v>550</v>
      </c>
      <c r="M553" s="106" t="str">
        <f t="shared" ref="M553:M616" si="20">IF(ISNUMBER(SEARCH("Unit",$C$19)),F553," ")</f>
        <v xml:space="preserve"> </v>
      </c>
      <c r="P553">
        <v>550</v>
      </c>
    </row>
    <row r="554" spans="6:16">
      <c r="F554">
        <v>551</v>
      </c>
      <c r="M554" s="106" t="str">
        <f t="shared" si="20"/>
        <v xml:space="preserve"> </v>
      </c>
      <c r="P554">
        <v>551</v>
      </c>
    </row>
    <row r="555" spans="6:16">
      <c r="F555">
        <v>552</v>
      </c>
      <c r="M555" s="106" t="str">
        <f t="shared" si="20"/>
        <v xml:space="preserve"> </v>
      </c>
      <c r="P555">
        <v>552</v>
      </c>
    </row>
    <row r="556" spans="6:16">
      <c r="F556">
        <v>553</v>
      </c>
      <c r="M556" s="106" t="str">
        <f t="shared" si="20"/>
        <v xml:space="preserve"> </v>
      </c>
      <c r="P556">
        <v>553</v>
      </c>
    </row>
    <row r="557" spans="6:16">
      <c r="F557">
        <v>554</v>
      </c>
      <c r="M557" s="106" t="str">
        <f t="shared" si="20"/>
        <v xml:space="preserve"> </v>
      </c>
      <c r="P557">
        <v>554</v>
      </c>
    </row>
    <row r="558" spans="6:16">
      <c r="F558">
        <v>555</v>
      </c>
      <c r="M558" s="106" t="str">
        <f t="shared" si="20"/>
        <v xml:space="preserve"> </v>
      </c>
      <c r="P558">
        <v>555</v>
      </c>
    </row>
    <row r="559" spans="6:16">
      <c r="F559">
        <v>556</v>
      </c>
      <c r="M559" s="106" t="str">
        <f t="shared" si="20"/>
        <v xml:space="preserve"> </v>
      </c>
      <c r="P559">
        <v>556</v>
      </c>
    </row>
    <row r="560" spans="6:16">
      <c r="F560">
        <v>557</v>
      </c>
      <c r="M560" s="106" t="str">
        <f t="shared" si="20"/>
        <v xml:space="preserve"> </v>
      </c>
      <c r="P560">
        <v>557</v>
      </c>
    </row>
    <row r="561" spans="6:16">
      <c r="F561">
        <v>558</v>
      </c>
      <c r="M561" s="106" t="str">
        <f t="shared" si="20"/>
        <v xml:space="preserve"> </v>
      </c>
      <c r="P561">
        <v>558</v>
      </c>
    </row>
    <row r="562" spans="6:16">
      <c r="F562">
        <v>559</v>
      </c>
      <c r="M562" s="106" t="str">
        <f t="shared" si="20"/>
        <v xml:space="preserve"> </v>
      </c>
      <c r="P562">
        <v>559</v>
      </c>
    </row>
    <row r="563" spans="6:16">
      <c r="F563">
        <v>560</v>
      </c>
      <c r="M563" s="106" t="str">
        <f t="shared" si="20"/>
        <v xml:space="preserve"> </v>
      </c>
      <c r="P563">
        <v>560</v>
      </c>
    </row>
    <row r="564" spans="6:16">
      <c r="F564">
        <v>561</v>
      </c>
      <c r="M564" s="106" t="str">
        <f t="shared" si="20"/>
        <v xml:space="preserve"> </v>
      </c>
      <c r="P564">
        <v>561</v>
      </c>
    </row>
    <row r="565" spans="6:16">
      <c r="F565">
        <v>562</v>
      </c>
      <c r="M565" s="106" t="str">
        <f t="shared" si="20"/>
        <v xml:space="preserve"> </v>
      </c>
      <c r="P565">
        <v>562</v>
      </c>
    </row>
    <row r="566" spans="6:16">
      <c r="F566">
        <v>563</v>
      </c>
      <c r="M566" s="106" t="str">
        <f t="shared" si="20"/>
        <v xml:space="preserve"> </v>
      </c>
      <c r="P566">
        <v>563</v>
      </c>
    </row>
    <row r="567" spans="6:16">
      <c r="F567">
        <v>564</v>
      </c>
      <c r="M567" s="106" t="str">
        <f t="shared" si="20"/>
        <v xml:space="preserve"> </v>
      </c>
      <c r="P567">
        <v>564</v>
      </c>
    </row>
    <row r="568" spans="6:16">
      <c r="F568">
        <v>565</v>
      </c>
      <c r="M568" s="106" t="str">
        <f t="shared" si="20"/>
        <v xml:space="preserve"> </v>
      </c>
      <c r="P568">
        <v>565</v>
      </c>
    </row>
    <row r="569" spans="6:16">
      <c r="F569">
        <v>566</v>
      </c>
      <c r="M569" s="106" t="str">
        <f t="shared" si="20"/>
        <v xml:space="preserve"> </v>
      </c>
      <c r="P569">
        <v>566</v>
      </c>
    </row>
    <row r="570" spans="6:16">
      <c r="F570">
        <v>567</v>
      </c>
      <c r="M570" s="106" t="str">
        <f t="shared" si="20"/>
        <v xml:space="preserve"> </v>
      </c>
      <c r="P570">
        <v>567</v>
      </c>
    </row>
    <row r="571" spans="6:16">
      <c r="F571">
        <v>568</v>
      </c>
      <c r="M571" s="106" t="str">
        <f t="shared" si="20"/>
        <v xml:space="preserve"> </v>
      </c>
      <c r="P571">
        <v>568</v>
      </c>
    </row>
    <row r="572" spans="6:16">
      <c r="F572">
        <v>569</v>
      </c>
      <c r="M572" s="106" t="str">
        <f t="shared" si="20"/>
        <v xml:space="preserve"> </v>
      </c>
      <c r="P572">
        <v>569</v>
      </c>
    </row>
    <row r="573" spans="6:16">
      <c r="F573">
        <v>570</v>
      </c>
      <c r="M573" s="106" t="str">
        <f t="shared" si="20"/>
        <v xml:space="preserve"> </v>
      </c>
      <c r="P573">
        <v>570</v>
      </c>
    </row>
    <row r="574" spans="6:16">
      <c r="F574">
        <v>571</v>
      </c>
      <c r="M574" s="106" t="str">
        <f t="shared" si="20"/>
        <v xml:space="preserve"> </v>
      </c>
      <c r="P574">
        <v>571</v>
      </c>
    </row>
    <row r="575" spans="6:16">
      <c r="F575">
        <v>572</v>
      </c>
      <c r="M575" s="106" t="str">
        <f t="shared" si="20"/>
        <v xml:space="preserve"> </v>
      </c>
      <c r="P575">
        <v>572</v>
      </c>
    </row>
    <row r="576" spans="6:16">
      <c r="F576">
        <v>573</v>
      </c>
      <c r="M576" s="106" t="str">
        <f t="shared" si="20"/>
        <v xml:space="preserve"> </v>
      </c>
      <c r="P576">
        <v>573</v>
      </c>
    </row>
    <row r="577" spans="6:16">
      <c r="F577">
        <v>574</v>
      </c>
      <c r="M577" s="106" t="str">
        <f t="shared" si="20"/>
        <v xml:space="preserve"> </v>
      </c>
      <c r="P577">
        <v>574</v>
      </c>
    </row>
    <row r="578" spans="6:16">
      <c r="F578">
        <v>575</v>
      </c>
      <c r="M578" s="106" t="str">
        <f t="shared" si="20"/>
        <v xml:space="preserve"> </v>
      </c>
      <c r="P578">
        <v>575</v>
      </c>
    </row>
    <row r="579" spans="6:16">
      <c r="F579">
        <v>576</v>
      </c>
      <c r="M579" s="106" t="str">
        <f t="shared" si="20"/>
        <v xml:space="preserve"> </v>
      </c>
      <c r="P579">
        <v>576</v>
      </c>
    </row>
    <row r="580" spans="6:16">
      <c r="F580">
        <v>577</v>
      </c>
      <c r="M580" s="106" t="str">
        <f t="shared" si="20"/>
        <v xml:space="preserve"> </v>
      </c>
      <c r="P580">
        <v>577</v>
      </c>
    </row>
    <row r="581" spans="6:16">
      <c r="F581">
        <v>578</v>
      </c>
      <c r="M581" s="106" t="str">
        <f t="shared" si="20"/>
        <v xml:space="preserve"> </v>
      </c>
      <c r="P581">
        <v>578</v>
      </c>
    </row>
    <row r="582" spans="6:16">
      <c r="F582">
        <v>579</v>
      </c>
      <c r="M582" s="106" t="str">
        <f t="shared" si="20"/>
        <v xml:space="preserve"> </v>
      </c>
      <c r="P582">
        <v>579</v>
      </c>
    </row>
    <row r="583" spans="6:16">
      <c r="F583">
        <v>580</v>
      </c>
      <c r="M583" s="106" t="str">
        <f t="shared" si="20"/>
        <v xml:space="preserve"> </v>
      </c>
      <c r="P583">
        <v>580</v>
      </c>
    </row>
    <row r="584" spans="6:16">
      <c r="F584">
        <v>581</v>
      </c>
      <c r="M584" s="106" t="str">
        <f t="shared" si="20"/>
        <v xml:space="preserve"> </v>
      </c>
      <c r="P584">
        <v>581</v>
      </c>
    </row>
    <row r="585" spans="6:16">
      <c r="F585">
        <v>582</v>
      </c>
      <c r="M585" s="106" t="str">
        <f t="shared" si="20"/>
        <v xml:space="preserve"> </v>
      </c>
      <c r="P585">
        <v>582</v>
      </c>
    </row>
    <row r="586" spans="6:16">
      <c r="F586">
        <v>583</v>
      </c>
      <c r="M586" s="106" t="str">
        <f t="shared" si="20"/>
        <v xml:space="preserve"> </v>
      </c>
      <c r="P586">
        <v>583</v>
      </c>
    </row>
    <row r="587" spans="6:16">
      <c r="F587">
        <v>584</v>
      </c>
      <c r="M587" s="106" t="str">
        <f t="shared" si="20"/>
        <v xml:space="preserve"> </v>
      </c>
      <c r="P587">
        <v>584</v>
      </c>
    </row>
    <row r="588" spans="6:16">
      <c r="F588">
        <v>585</v>
      </c>
      <c r="M588" s="106" t="str">
        <f t="shared" si="20"/>
        <v xml:space="preserve"> </v>
      </c>
      <c r="P588">
        <v>585</v>
      </c>
    </row>
    <row r="589" spans="6:16">
      <c r="F589">
        <v>586</v>
      </c>
      <c r="M589" s="106" t="str">
        <f t="shared" si="20"/>
        <v xml:space="preserve"> </v>
      </c>
      <c r="P589">
        <v>586</v>
      </c>
    </row>
    <row r="590" spans="6:16">
      <c r="F590">
        <v>587</v>
      </c>
      <c r="M590" s="106" t="str">
        <f t="shared" si="20"/>
        <v xml:space="preserve"> </v>
      </c>
      <c r="P590">
        <v>587</v>
      </c>
    </row>
    <row r="591" spans="6:16">
      <c r="F591">
        <v>588</v>
      </c>
      <c r="M591" s="106" t="str">
        <f t="shared" si="20"/>
        <v xml:space="preserve"> </v>
      </c>
      <c r="P591">
        <v>588</v>
      </c>
    </row>
    <row r="592" spans="6:16">
      <c r="F592">
        <v>589</v>
      </c>
      <c r="M592" s="106" t="str">
        <f t="shared" si="20"/>
        <v xml:space="preserve"> </v>
      </c>
      <c r="P592">
        <v>589</v>
      </c>
    </row>
    <row r="593" spans="6:16">
      <c r="F593">
        <v>590</v>
      </c>
      <c r="M593" s="106" t="str">
        <f t="shared" si="20"/>
        <v xml:space="preserve"> </v>
      </c>
      <c r="P593">
        <v>590</v>
      </c>
    </row>
    <row r="594" spans="6:16">
      <c r="F594">
        <v>591</v>
      </c>
      <c r="M594" s="106" t="str">
        <f t="shared" si="20"/>
        <v xml:space="preserve"> </v>
      </c>
      <c r="P594">
        <v>591</v>
      </c>
    </row>
    <row r="595" spans="6:16">
      <c r="F595">
        <v>592</v>
      </c>
      <c r="M595" s="106" t="str">
        <f t="shared" si="20"/>
        <v xml:space="preserve"> </v>
      </c>
      <c r="P595">
        <v>592</v>
      </c>
    </row>
    <row r="596" spans="6:16">
      <c r="F596">
        <v>593</v>
      </c>
      <c r="M596" s="106" t="str">
        <f t="shared" si="20"/>
        <v xml:space="preserve"> </v>
      </c>
      <c r="P596">
        <v>593</v>
      </c>
    </row>
    <row r="597" spans="6:16">
      <c r="F597">
        <v>594</v>
      </c>
      <c r="M597" s="106" t="str">
        <f t="shared" si="20"/>
        <v xml:space="preserve"> </v>
      </c>
      <c r="P597">
        <v>594</v>
      </c>
    </row>
    <row r="598" spans="6:16">
      <c r="F598">
        <v>595</v>
      </c>
      <c r="M598" s="106" t="str">
        <f t="shared" si="20"/>
        <v xml:space="preserve"> </v>
      </c>
      <c r="P598">
        <v>595</v>
      </c>
    </row>
    <row r="599" spans="6:16">
      <c r="F599">
        <v>596</v>
      </c>
      <c r="M599" s="106" t="str">
        <f t="shared" si="20"/>
        <v xml:space="preserve"> </v>
      </c>
      <c r="P599">
        <v>596</v>
      </c>
    </row>
    <row r="600" spans="6:16">
      <c r="F600">
        <v>597</v>
      </c>
      <c r="M600" s="106" t="str">
        <f t="shared" si="20"/>
        <v xml:space="preserve"> </v>
      </c>
      <c r="P600">
        <v>597</v>
      </c>
    </row>
    <row r="601" spans="6:16">
      <c r="F601">
        <v>598</v>
      </c>
      <c r="M601" s="106" t="str">
        <f t="shared" si="20"/>
        <v xml:space="preserve"> </v>
      </c>
      <c r="P601">
        <v>598</v>
      </c>
    </row>
    <row r="602" spans="6:16">
      <c r="F602">
        <v>599</v>
      </c>
      <c r="M602" s="106" t="str">
        <f t="shared" si="20"/>
        <v xml:space="preserve"> </v>
      </c>
      <c r="P602">
        <v>599</v>
      </c>
    </row>
    <row r="603" spans="6:16">
      <c r="F603">
        <v>600</v>
      </c>
      <c r="M603" s="106" t="str">
        <f t="shared" si="20"/>
        <v xml:space="preserve"> </v>
      </c>
      <c r="P603">
        <v>600</v>
      </c>
    </row>
    <row r="604" spans="6:16">
      <c r="F604">
        <v>601</v>
      </c>
      <c r="M604" s="106" t="str">
        <f t="shared" si="20"/>
        <v xml:space="preserve"> </v>
      </c>
      <c r="P604">
        <v>601</v>
      </c>
    </row>
    <row r="605" spans="6:16">
      <c r="F605">
        <v>602</v>
      </c>
      <c r="M605" s="106" t="str">
        <f t="shared" si="20"/>
        <v xml:space="preserve"> </v>
      </c>
      <c r="P605">
        <v>602</v>
      </c>
    </row>
    <row r="606" spans="6:16">
      <c r="F606">
        <v>603</v>
      </c>
      <c r="M606" s="106" t="str">
        <f t="shared" si="20"/>
        <v xml:space="preserve"> </v>
      </c>
      <c r="P606">
        <v>603</v>
      </c>
    </row>
    <row r="607" spans="6:16">
      <c r="F607">
        <v>604</v>
      </c>
      <c r="M607" s="106" t="str">
        <f t="shared" si="20"/>
        <v xml:space="preserve"> </v>
      </c>
      <c r="P607">
        <v>604</v>
      </c>
    </row>
    <row r="608" spans="6:16">
      <c r="F608">
        <v>605</v>
      </c>
      <c r="M608" s="106" t="str">
        <f t="shared" si="20"/>
        <v xml:space="preserve"> </v>
      </c>
      <c r="P608">
        <v>605</v>
      </c>
    </row>
    <row r="609" spans="6:16">
      <c r="F609">
        <v>606</v>
      </c>
      <c r="M609" s="106" t="str">
        <f t="shared" si="20"/>
        <v xml:space="preserve"> </v>
      </c>
      <c r="P609">
        <v>606</v>
      </c>
    </row>
    <row r="610" spans="6:16">
      <c r="F610">
        <v>607</v>
      </c>
      <c r="M610" s="106" t="str">
        <f t="shared" si="20"/>
        <v xml:space="preserve"> </v>
      </c>
      <c r="P610">
        <v>607</v>
      </c>
    </row>
    <row r="611" spans="6:16">
      <c r="F611">
        <v>608</v>
      </c>
      <c r="M611" s="106" t="str">
        <f t="shared" si="20"/>
        <v xml:space="preserve"> </v>
      </c>
      <c r="P611">
        <v>608</v>
      </c>
    </row>
    <row r="612" spans="6:16">
      <c r="F612">
        <v>609</v>
      </c>
      <c r="M612" s="106" t="str">
        <f t="shared" si="20"/>
        <v xml:space="preserve"> </v>
      </c>
      <c r="P612">
        <v>609</v>
      </c>
    </row>
    <row r="613" spans="6:16">
      <c r="F613">
        <v>610</v>
      </c>
      <c r="M613" s="106" t="str">
        <f t="shared" si="20"/>
        <v xml:space="preserve"> </v>
      </c>
      <c r="P613">
        <v>610</v>
      </c>
    </row>
    <row r="614" spans="6:16">
      <c r="F614">
        <v>611</v>
      </c>
      <c r="M614" s="106" t="str">
        <f t="shared" si="20"/>
        <v xml:space="preserve"> </v>
      </c>
      <c r="P614">
        <v>611</v>
      </c>
    </row>
    <row r="615" spans="6:16">
      <c r="F615">
        <v>612</v>
      </c>
      <c r="M615" s="106" t="str">
        <f t="shared" si="20"/>
        <v xml:space="preserve"> </v>
      </c>
      <c r="P615">
        <v>612</v>
      </c>
    </row>
    <row r="616" spans="6:16">
      <c r="F616">
        <v>613</v>
      </c>
      <c r="M616" s="106" t="str">
        <f t="shared" si="20"/>
        <v xml:space="preserve"> </v>
      </c>
      <c r="P616">
        <v>613</v>
      </c>
    </row>
    <row r="617" spans="6:16">
      <c r="F617">
        <v>614</v>
      </c>
      <c r="M617" s="106" t="str">
        <f t="shared" ref="M617:M680" si="21">IF(ISNUMBER(SEARCH("Unit",$C$19)),F617," ")</f>
        <v xml:space="preserve"> </v>
      </c>
      <c r="P617">
        <v>614</v>
      </c>
    </row>
    <row r="618" spans="6:16">
      <c r="F618">
        <v>615</v>
      </c>
      <c r="M618" s="106" t="str">
        <f t="shared" si="21"/>
        <v xml:space="preserve"> </v>
      </c>
      <c r="P618">
        <v>615</v>
      </c>
    </row>
    <row r="619" spans="6:16">
      <c r="F619">
        <v>616</v>
      </c>
      <c r="M619" s="106" t="str">
        <f t="shared" si="21"/>
        <v xml:space="preserve"> </v>
      </c>
      <c r="P619">
        <v>616</v>
      </c>
    </row>
    <row r="620" spans="6:16">
      <c r="F620">
        <v>617</v>
      </c>
      <c r="M620" s="106" t="str">
        <f t="shared" si="21"/>
        <v xml:space="preserve"> </v>
      </c>
      <c r="P620">
        <v>617</v>
      </c>
    </row>
    <row r="621" spans="6:16">
      <c r="F621">
        <v>618</v>
      </c>
      <c r="M621" s="106" t="str">
        <f t="shared" si="21"/>
        <v xml:space="preserve"> </v>
      </c>
      <c r="P621">
        <v>618</v>
      </c>
    </row>
    <row r="622" spans="6:16">
      <c r="F622">
        <v>619</v>
      </c>
      <c r="M622" s="106" t="str">
        <f t="shared" si="21"/>
        <v xml:space="preserve"> </v>
      </c>
      <c r="P622">
        <v>619</v>
      </c>
    </row>
    <row r="623" spans="6:16">
      <c r="F623">
        <v>620</v>
      </c>
      <c r="M623" s="106" t="str">
        <f t="shared" si="21"/>
        <v xml:space="preserve"> </v>
      </c>
      <c r="P623">
        <v>620</v>
      </c>
    </row>
    <row r="624" spans="6:16">
      <c r="F624">
        <v>621</v>
      </c>
      <c r="M624" s="106" t="str">
        <f t="shared" si="21"/>
        <v xml:space="preserve"> </v>
      </c>
      <c r="P624">
        <v>621</v>
      </c>
    </row>
    <row r="625" spans="6:16">
      <c r="F625">
        <v>622</v>
      </c>
      <c r="M625" s="106" t="str">
        <f t="shared" si="21"/>
        <v xml:space="preserve"> </v>
      </c>
      <c r="P625">
        <v>622</v>
      </c>
    </row>
    <row r="626" spans="6:16">
      <c r="F626">
        <v>623</v>
      </c>
      <c r="M626" s="106" t="str">
        <f t="shared" si="21"/>
        <v xml:space="preserve"> </v>
      </c>
      <c r="P626">
        <v>623</v>
      </c>
    </row>
    <row r="627" spans="6:16">
      <c r="F627">
        <v>624</v>
      </c>
      <c r="M627" s="106" t="str">
        <f t="shared" si="21"/>
        <v xml:space="preserve"> </v>
      </c>
      <c r="P627">
        <v>624</v>
      </c>
    </row>
    <row r="628" spans="6:16">
      <c r="F628">
        <v>625</v>
      </c>
      <c r="M628" s="106" t="str">
        <f t="shared" si="21"/>
        <v xml:space="preserve"> </v>
      </c>
      <c r="P628">
        <v>625</v>
      </c>
    </row>
    <row r="629" spans="6:16">
      <c r="F629">
        <v>626</v>
      </c>
      <c r="M629" s="106" t="str">
        <f t="shared" si="21"/>
        <v xml:space="preserve"> </v>
      </c>
      <c r="P629">
        <v>626</v>
      </c>
    </row>
    <row r="630" spans="6:16">
      <c r="F630">
        <v>627</v>
      </c>
      <c r="M630" s="106" t="str">
        <f t="shared" si="21"/>
        <v xml:space="preserve"> </v>
      </c>
      <c r="P630">
        <v>627</v>
      </c>
    </row>
    <row r="631" spans="6:16">
      <c r="F631">
        <v>628</v>
      </c>
      <c r="M631" s="106" t="str">
        <f t="shared" si="21"/>
        <v xml:space="preserve"> </v>
      </c>
      <c r="P631">
        <v>628</v>
      </c>
    </row>
    <row r="632" spans="6:16">
      <c r="F632">
        <v>629</v>
      </c>
      <c r="M632" s="106" t="str">
        <f t="shared" si="21"/>
        <v xml:space="preserve"> </v>
      </c>
      <c r="P632">
        <v>629</v>
      </c>
    </row>
    <row r="633" spans="6:16">
      <c r="F633">
        <v>630</v>
      </c>
      <c r="M633" s="106" t="str">
        <f t="shared" si="21"/>
        <v xml:space="preserve"> </v>
      </c>
      <c r="P633">
        <v>630</v>
      </c>
    </row>
    <row r="634" spans="6:16">
      <c r="F634">
        <v>631</v>
      </c>
      <c r="M634" s="106" t="str">
        <f t="shared" si="21"/>
        <v xml:space="preserve"> </v>
      </c>
      <c r="P634">
        <v>631</v>
      </c>
    </row>
    <row r="635" spans="6:16">
      <c r="F635">
        <v>632</v>
      </c>
      <c r="M635" s="106" t="str">
        <f t="shared" si="21"/>
        <v xml:space="preserve"> </v>
      </c>
      <c r="P635">
        <v>632</v>
      </c>
    </row>
    <row r="636" spans="6:16">
      <c r="F636">
        <v>633</v>
      </c>
      <c r="M636" s="106" t="str">
        <f t="shared" si="21"/>
        <v xml:space="preserve"> </v>
      </c>
      <c r="P636">
        <v>633</v>
      </c>
    </row>
    <row r="637" spans="6:16">
      <c r="F637">
        <v>634</v>
      </c>
      <c r="M637" s="106" t="str">
        <f t="shared" si="21"/>
        <v xml:space="preserve"> </v>
      </c>
      <c r="P637">
        <v>634</v>
      </c>
    </row>
    <row r="638" spans="6:16">
      <c r="F638">
        <v>635</v>
      </c>
      <c r="M638" s="106" t="str">
        <f t="shared" si="21"/>
        <v xml:space="preserve"> </v>
      </c>
      <c r="P638">
        <v>635</v>
      </c>
    </row>
    <row r="639" spans="6:16">
      <c r="F639">
        <v>636</v>
      </c>
      <c r="M639" s="106" t="str">
        <f t="shared" si="21"/>
        <v xml:space="preserve"> </v>
      </c>
      <c r="P639">
        <v>636</v>
      </c>
    </row>
    <row r="640" spans="6:16">
      <c r="F640">
        <v>637</v>
      </c>
      <c r="M640" s="106" t="str">
        <f t="shared" si="21"/>
        <v xml:space="preserve"> </v>
      </c>
      <c r="P640">
        <v>637</v>
      </c>
    </row>
    <row r="641" spans="6:16">
      <c r="F641">
        <v>638</v>
      </c>
      <c r="M641" s="106" t="str">
        <f t="shared" si="21"/>
        <v xml:space="preserve"> </v>
      </c>
      <c r="P641">
        <v>638</v>
      </c>
    </row>
    <row r="642" spans="6:16">
      <c r="F642">
        <v>639</v>
      </c>
      <c r="M642" s="106" t="str">
        <f t="shared" si="21"/>
        <v xml:space="preserve"> </v>
      </c>
      <c r="P642">
        <v>639</v>
      </c>
    </row>
    <row r="643" spans="6:16">
      <c r="F643">
        <v>640</v>
      </c>
      <c r="M643" s="106" t="str">
        <f t="shared" si="21"/>
        <v xml:space="preserve"> </v>
      </c>
      <c r="P643">
        <v>640</v>
      </c>
    </row>
    <row r="644" spans="6:16">
      <c r="F644">
        <v>641</v>
      </c>
      <c r="M644" s="106" t="str">
        <f t="shared" si="21"/>
        <v xml:space="preserve"> </v>
      </c>
      <c r="P644">
        <v>641</v>
      </c>
    </row>
    <row r="645" spans="6:16">
      <c r="F645">
        <v>642</v>
      </c>
      <c r="M645" s="106" t="str">
        <f t="shared" si="21"/>
        <v xml:space="preserve"> </v>
      </c>
      <c r="P645">
        <v>642</v>
      </c>
    </row>
    <row r="646" spans="6:16">
      <c r="F646">
        <v>643</v>
      </c>
      <c r="M646" s="106" t="str">
        <f t="shared" si="21"/>
        <v xml:space="preserve"> </v>
      </c>
      <c r="P646">
        <v>643</v>
      </c>
    </row>
    <row r="647" spans="6:16">
      <c r="F647">
        <v>644</v>
      </c>
      <c r="M647" s="106" t="str">
        <f t="shared" si="21"/>
        <v xml:space="preserve"> </v>
      </c>
      <c r="P647">
        <v>644</v>
      </c>
    </row>
    <row r="648" spans="6:16">
      <c r="F648">
        <v>645</v>
      </c>
      <c r="M648" s="106" t="str">
        <f t="shared" si="21"/>
        <v xml:space="preserve"> </v>
      </c>
      <c r="P648">
        <v>645</v>
      </c>
    </row>
    <row r="649" spans="6:16">
      <c r="F649">
        <v>646</v>
      </c>
      <c r="M649" s="106" t="str">
        <f t="shared" si="21"/>
        <v xml:space="preserve"> </v>
      </c>
      <c r="P649">
        <v>646</v>
      </c>
    </row>
    <row r="650" spans="6:16">
      <c r="F650">
        <v>647</v>
      </c>
      <c r="M650" s="106" t="str">
        <f t="shared" si="21"/>
        <v xml:space="preserve"> </v>
      </c>
      <c r="P650">
        <v>647</v>
      </c>
    </row>
    <row r="651" spans="6:16">
      <c r="F651">
        <v>648</v>
      </c>
      <c r="M651" s="106" t="str">
        <f t="shared" si="21"/>
        <v xml:space="preserve"> </v>
      </c>
      <c r="P651">
        <v>648</v>
      </c>
    </row>
    <row r="652" spans="6:16">
      <c r="F652">
        <v>649</v>
      </c>
      <c r="M652" s="106" t="str">
        <f t="shared" si="21"/>
        <v xml:space="preserve"> </v>
      </c>
      <c r="P652">
        <v>649</v>
      </c>
    </row>
    <row r="653" spans="6:16">
      <c r="F653">
        <v>650</v>
      </c>
      <c r="M653" s="106" t="str">
        <f t="shared" si="21"/>
        <v xml:space="preserve"> </v>
      </c>
      <c r="P653">
        <v>650</v>
      </c>
    </row>
    <row r="654" spans="6:16">
      <c r="F654">
        <v>651</v>
      </c>
      <c r="M654" s="106" t="str">
        <f t="shared" si="21"/>
        <v xml:space="preserve"> </v>
      </c>
      <c r="P654">
        <v>651</v>
      </c>
    </row>
    <row r="655" spans="6:16">
      <c r="F655">
        <v>652</v>
      </c>
      <c r="M655" s="106" t="str">
        <f t="shared" si="21"/>
        <v xml:space="preserve"> </v>
      </c>
      <c r="P655">
        <v>652</v>
      </c>
    </row>
    <row r="656" spans="6:16">
      <c r="F656">
        <v>653</v>
      </c>
      <c r="M656" s="106" t="str">
        <f t="shared" si="21"/>
        <v xml:space="preserve"> </v>
      </c>
      <c r="P656">
        <v>653</v>
      </c>
    </row>
    <row r="657" spans="6:16">
      <c r="F657">
        <v>654</v>
      </c>
      <c r="M657" s="106" t="str">
        <f t="shared" si="21"/>
        <v xml:space="preserve"> </v>
      </c>
      <c r="P657">
        <v>654</v>
      </c>
    </row>
    <row r="658" spans="6:16">
      <c r="F658">
        <v>655</v>
      </c>
      <c r="M658" s="106" t="str">
        <f t="shared" si="21"/>
        <v xml:space="preserve"> </v>
      </c>
      <c r="P658">
        <v>655</v>
      </c>
    </row>
    <row r="659" spans="6:16">
      <c r="F659">
        <v>656</v>
      </c>
      <c r="M659" s="106" t="str">
        <f t="shared" si="21"/>
        <v xml:space="preserve"> </v>
      </c>
      <c r="P659">
        <v>656</v>
      </c>
    </row>
    <row r="660" spans="6:16">
      <c r="F660">
        <v>657</v>
      </c>
      <c r="M660" s="106" t="str">
        <f t="shared" si="21"/>
        <v xml:space="preserve"> </v>
      </c>
      <c r="P660">
        <v>657</v>
      </c>
    </row>
    <row r="661" spans="6:16">
      <c r="F661">
        <v>658</v>
      </c>
      <c r="M661" s="106" t="str">
        <f t="shared" si="21"/>
        <v xml:space="preserve"> </v>
      </c>
      <c r="P661">
        <v>658</v>
      </c>
    </row>
    <row r="662" spans="6:16">
      <c r="F662">
        <v>659</v>
      </c>
      <c r="M662" s="106" t="str">
        <f t="shared" si="21"/>
        <v xml:space="preserve"> </v>
      </c>
      <c r="P662">
        <v>659</v>
      </c>
    </row>
    <row r="663" spans="6:16">
      <c r="F663">
        <v>660</v>
      </c>
      <c r="M663" s="106" t="str">
        <f t="shared" si="21"/>
        <v xml:space="preserve"> </v>
      </c>
      <c r="P663">
        <v>660</v>
      </c>
    </row>
    <row r="664" spans="6:16">
      <c r="F664">
        <v>661</v>
      </c>
      <c r="M664" s="106" t="str">
        <f t="shared" si="21"/>
        <v xml:space="preserve"> </v>
      </c>
      <c r="P664">
        <v>661</v>
      </c>
    </row>
    <row r="665" spans="6:16">
      <c r="F665">
        <v>662</v>
      </c>
      <c r="M665" s="106" t="str">
        <f t="shared" si="21"/>
        <v xml:space="preserve"> </v>
      </c>
      <c r="P665">
        <v>662</v>
      </c>
    </row>
    <row r="666" spans="6:16">
      <c r="F666">
        <v>663</v>
      </c>
      <c r="M666" s="106" t="str">
        <f t="shared" si="21"/>
        <v xml:space="preserve"> </v>
      </c>
      <c r="P666">
        <v>663</v>
      </c>
    </row>
    <row r="667" spans="6:16">
      <c r="F667">
        <v>664</v>
      </c>
      <c r="M667" s="106" t="str">
        <f t="shared" si="21"/>
        <v xml:space="preserve"> </v>
      </c>
      <c r="P667">
        <v>664</v>
      </c>
    </row>
    <row r="668" spans="6:16">
      <c r="F668">
        <v>665</v>
      </c>
      <c r="M668" s="106" t="str">
        <f t="shared" si="21"/>
        <v xml:space="preserve"> </v>
      </c>
      <c r="P668">
        <v>665</v>
      </c>
    </row>
    <row r="669" spans="6:16">
      <c r="F669">
        <v>666</v>
      </c>
      <c r="M669" s="106" t="str">
        <f t="shared" si="21"/>
        <v xml:space="preserve"> </v>
      </c>
      <c r="P669">
        <v>666</v>
      </c>
    </row>
    <row r="670" spans="6:16">
      <c r="F670">
        <v>667</v>
      </c>
      <c r="M670" s="106" t="str">
        <f t="shared" si="21"/>
        <v xml:space="preserve"> </v>
      </c>
      <c r="P670">
        <v>667</v>
      </c>
    </row>
    <row r="671" spans="6:16">
      <c r="F671">
        <v>668</v>
      </c>
      <c r="M671" s="106" t="str">
        <f t="shared" si="21"/>
        <v xml:space="preserve"> </v>
      </c>
      <c r="P671">
        <v>668</v>
      </c>
    </row>
    <row r="672" spans="6:16">
      <c r="F672">
        <v>669</v>
      </c>
      <c r="M672" s="106" t="str">
        <f t="shared" si="21"/>
        <v xml:space="preserve"> </v>
      </c>
      <c r="P672">
        <v>669</v>
      </c>
    </row>
    <row r="673" spans="6:16">
      <c r="F673">
        <v>670</v>
      </c>
      <c r="M673" s="106" t="str">
        <f t="shared" si="21"/>
        <v xml:space="preserve"> </v>
      </c>
      <c r="P673">
        <v>670</v>
      </c>
    </row>
    <row r="674" spans="6:16">
      <c r="F674">
        <v>671</v>
      </c>
      <c r="M674" s="106" t="str">
        <f t="shared" si="21"/>
        <v xml:space="preserve"> </v>
      </c>
      <c r="P674">
        <v>671</v>
      </c>
    </row>
    <row r="675" spans="6:16">
      <c r="F675">
        <v>672</v>
      </c>
      <c r="M675" s="106" t="str">
        <f t="shared" si="21"/>
        <v xml:space="preserve"> </v>
      </c>
      <c r="P675">
        <v>672</v>
      </c>
    </row>
    <row r="676" spans="6:16">
      <c r="F676">
        <v>673</v>
      </c>
      <c r="M676" s="106" t="str">
        <f t="shared" si="21"/>
        <v xml:space="preserve"> </v>
      </c>
      <c r="P676">
        <v>673</v>
      </c>
    </row>
    <row r="677" spans="6:16">
      <c r="F677">
        <v>674</v>
      </c>
      <c r="M677" s="106" t="str">
        <f t="shared" si="21"/>
        <v xml:space="preserve"> </v>
      </c>
      <c r="P677">
        <v>674</v>
      </c>
    </row>
    <row r="678" spans="6:16">
      <c r="F678">
        <v>675</v>
      </c>
      <c r="M678" s="106" t="str">
        <f t="shared" si="21"/>
        <v xml:space="preserve"> </v>
      </c>
      <c r="P678">
        <v>675</v>
      </c>
    </row>
    <row r="679" spans="6:16">
      <c r="F679">
        <v>676</v>
      </c>
      <c r="M679" s="106" t="str">
        <f t="shared" si="21"/>
        <v xml:space="preserve"> </v>
      </c>
      <c r="P679">
        <v>676</v>
      </c>
    </row>
    <row r="680" spans="6:16">
      <c r="F680">
        <v>677</v>
      </c>
      <c r="M680" s="106" t="str">
        <f t="shared" si="21"/>
        <v xml:space="preserve"> </v>
      </c>
      <c r="P680">
        <v>677</v>
      </c>
    </row>
    <row r="681" spans="6:16">
      <c r="F681">
        <v>678</v>
      </c>
      <c r="M681" s="106" t="str">
        <f t="shared" ref="M681:M744" si="22">IF(ISNUMBER(SEARCH("Unit",$C$19)),F681," ")</f>
        <v xml:space="preserve"> </v>
      </c>
      <c r="P681">
        <v>678</v>
      </c>
    </row>
    <row r="682" spans="6:16">
      <c r="F682">
        <v>679</v>
      </c>
      <c r="M682" s="106" t="str">
        <f t="shared" si="22"/>
        <v xml:space="preserve"> </v>
      </c>
      <c r="P682">
        <v>679</v>
      </c>
    </row>
    <row r="683" spans="6:16">
      <c r="F683">
        <v>680</v>
      </c>
      <c r="M683" s="106" t="str">
        <f t="shared" si="22"/>
        <v xml:space="preserve"> </v>
      </c>
      <c r="P683">
        <v>680</v>
      </c>
    </row>
    <row r="684" spans="6:16">
      <c r="F684">
        <v>681</v>
      </c>
      <c r="M684" s="106" t="str">
        <f t="shared" si="22"/>
        <v xml:space="preserve"> </v>
      </c>
      <c r="P684">
        <v>681</v>
      </c>
    </row>
    <row r="685" spans="6:16">
      <c r="F685">
        <v>682</v>
      </c>
      <c r="M685" s="106" t="str">
        <f t="shared" si="22"/>
        <v xml:space="preserve"> </v>
      </c>
      <c r="P685">
        <v>682</v>
      </c>
    </row>
    <row r="686" spans="6:16">
      <c r="F686">
        <v>683</v>
      </c>
      <c r="M686" s="106" t="str">
        <f t="shared" si="22"/>
        <v xml:space="preserve"> </v>
      </c>
      <c r="P686">
        <v>683</v>
      </c>
    </row>
    <row r="687" spans="6:16">
      <c r="F687">
        <v>684</v>
      </c>
      <c r="M687" s="106" t="str">
        <f t="shared" si="22"/>
        <v xml:space="preserve"> </v>
      </c>
      <c r="P687">
        <v>684</v>
      </c>
    </row>
    <row r="688" spans="6:16">
      <c r="F688">
        <v>685</v>
      </c>
      <c r="M688" s="106" t="str">
        <f t="shared" si="22"/>
        <v xml:space="preserve"> </v>
      </c>
      <c r="P688">
        <v>685</v>
      </c>
    </row>
    <row r="689" spans="6:16">
      <c r="F689">
        <v>686</v>
      </c>
      <c r="M689" s="106" t="str">
        <f t="shared" si="22"/>
        <v xml:space="preserve"> </v>
      </c>
      <c r="P689">
        <v>686</v>
      </c>
    </row>
    <row r="690" spans="6:16">
      <c r="F690">
        <v>687</v>
      </c>
      <c r="M690" s="106" t="str">
        <f t="shared" si="22"/>
        <v xml:space="preserve"> </v>
      </c>
      <c r="P690">
        <v>687</v>
      </c>
    </row>
    <row r="691" spans="6:16">
      <c r="F691">
        <v>688</v>
      </c>
      <c r="M691" s="106" t="str">
        <f t="shared" si="22"/>
        <v xml:space="preserve"> </v>
      </c>
      <c r="P691">
        <v>688</v>
      </c>
    </row>
    <row r="692" spans="6:16">
      <c r="F692">
        <v>689</v>
      </c>
      <c r="M692" s="106" t="str">
        <f t="shared" si="22"/>
        <v xml:space="preserve"> </v>
      </c>
      <c r="P692">
        <v>689</v>
      </c>
    </row>
    <row r="693" spans="6:16">
      <c r="F693">
        <v>690</v>
      </c>
      <c r="M693" s="106" t="str">
        <f t="shared" si="22"/>
        <v xml:space="preserve"> </v>
      </c>
      <c r="P693">
        <v>690</v>
      </c>
    </row>
    <row r="694" spans="6:16">
      <c r="F694">
        <v>691</v>
      </c>
      <c r="M694" s="106" t="str">
        <f t="shared" si="22"/>
        <v xml:space="preserve"> </v>
      </c>
      <c r="P694">
        <v>691</v>
      </c>
    </row>
    <row r="695" spans="6:16">
      <c r="F695">
        <v>692</v>
      </c>
      <c r="M695" s="106" t="str">
        <f t="shared" si="22"/>
        <v xml:space="preserve"> </v>
      </c>
      <c r="P695">
        <v>692</v>
      </c>
    </row>
    <row r="696" spans="6:16">
      <c r="F696">
        <v>693</v>
      </c>
      <c r="M696" s="106" t="str">
        <f t="shared" si="22"/>
        <v xml:space="preserve"> </v>
      </c>
      <c r="P696">
        <v>693</v>
      </c>
    </row>
    <row r="697" spans="6:16">
      <c r="F697">
        <v>694</v>
      </c>
      <c r="M697" s="106" t="str">
        <f t="shared" si="22"/>
        <v xml:space="preserve"> </v>
      </c>
      <c r="P697">
        <v>694</v>
      </c>
    </row>
    <row r="698" spans="6:16">
      <c r="F698">
        <v>695</v>
      </c>
      <c r="M698" s="106" t="str">
        <f t="shared" si="22"/>
        <v xml:space="preserve"> </v>
      </c>
      <c r="P698">
        <v>695</v>
      </c>
    </row>
    <row r="699" spans="6:16">
      <c r="F699">
        <v>696</v>
      </c>
      <c r="M699" s="106" t="str">
        <f t="shared" si="22"/>
        <v xml:space="preserve"> </v>
      </c>
      <c r="P699">
        <v>696</v>
      </c>
    </row>
    <row r="700" spans="6:16">
      <c r="F700">
        <v>697</v>
      </c>
      <c r="M700" s="106" t="str">
        <f t="shared" si="22"/>
        <v xml:space="preserve"> </v>
      </c>
      <c r="P700">
        <v>697</v>
      </c>
    </row>
    <row r="701" spans="6:16">
      <c r="F701">
        <v>698</v>
      </c>
      <c r="M701" s="106" t="str">
        <f t="shared" si="22"/>
        <v xml:space="preserve"> </v>
      </c>
      <c r="P701">
        <v>698</v>
      </c>
    </row>
    <row r="702" spans="6:16">
      <c r="F702">
        <v>699</v>
      </c>
      <c r="M702" s="106" t="str">
        <f t="shared" si="22"/>
        <v xml:space="preserve"> </v>
      </c>
      <c r="P702">
        <v>699</v>
      </c>
    </row>
    <row r="703" spans="6:16">
      <c r="F703">
        <v>700</v>
      </c>
      <c r="M703" s="106" t="str">
        <f t="shared" si="22"/>
        <v xml:space="preserve"> </v>
      </c>
      <c r="P703">
        <v>700</v>
      </c>
    </row>
    <row r="704" spans="6:16">
      <c r="F704">
        <v>701</v>
      </c>
      <c r="M704" s="106" t="str">
        <f t="shared" si="22"/>
        <v xml:space="preserve"> </v>
      </c>
      <c r="P704">
        <v>701</v>
      </c>
    </row>
    <row r="705" spans="6:16">
      <c r="F705">
        <v>702</v>
      </c>
      <c r="M705" s="106" t="str">
        <f t="shared" si="22"/>
        <v xml:space="preserve"> </v>
      </c>
      <c r="P705">
        <v>702</v>
      </c>
    </row>
    <row r="706" spans="6:16">
      <c r="F706">
        <v>703</v>
      </c>
      <c r="M706" s="106" t="str">
        <f t="shared" si="22"/>
        <v xml:space="preserve"> </v>
      </c>
      <c r="P706">
        <v>703</v>
      </c>
    </row>
    <row r="707" spans="6:16">
      <c r="F707">
        <v>704</v>
      </c>
      <c r="M707" s="106" t="str">
        <f t="shared" si="22"/>
        <v xml:space="preserve"> </v>
      </c>
      <c r="P707">
        <v>704</v>
      </c>
    </row>
    <row r="708" spans="6:16">
      <c r="F708">
        <v>705</v>
      </c>
      <c r="M708" s="106" t="str">
        <f t="shared" si="22"/>
        <v xml:space="preserve"> </v>
      </c>
      <c r="P708">
        <v>705</v>
      </c>
    </row>
    <row r="709" spans="6:16">
      <c r="F709">
        <v>706</v>
      </c>
      <c r="M709" s="106" t="str">
        <f t="shared" si="22"/>
        <v xml:space="preserve"> </v>
      </c>
      <c r="P709">
        <v>706</v>
      </c>
    </row>
    <row r="710" spans="6:16">
      <c r="F710">
        <v>707</v>
      </c>
      <c r="M710" s="106" t="str">
        <f t="shared" si="22"/>
        <v xml:space="preserve"> </v>
      </c>
      <c r="P710">
        <v>707</v>
      </c>
    </row>
    <row r="711" spans="6:16">
      <c r="F711">
        <v>708</v>
      </c>
      <c r="M711" s="106" t="str">
        <f t="shared" si="22"/>
        <v xml:space="preserve"> </v>
      </c>
      <c r="P711">
        <v>708</v>
      </c>
    </row>
    <row r="712" spans="6:16">
      <c r="F712">
        <v>709</v>
      </c>
      <c r="M712" s="106" t="str">
        <f t="shared" si="22"/>
        <v xml:space="preserve"> </v>
      </c>
      <c r="P712">
        <v>709</v>
      </c>
    </row>
    <row r="713" spans="6:16">
      <c r="F713">
        <v>710</v>
      </c>
      <c r="M713" s="106" t="str">
        <f t="shared" si="22"/>
        <v xml:space="preserve"> </v>
      </c>
      <c r="P713">
        <v>710</v>
      </c>
    </row>
    <row r="714" spans="6:16">
      <c r="F714">
        <v>711</v>
      </c>
      <c r="M714" s="106" t="str">
        <f t="shared" si="22"/>
        <v xml:space="preserve"> </v>
      </c>
      <c r="P714">
        <v>711</v>
      </c>
    </row>
    <row r="715" spans="6:16">
      <c r="F715">
        <v>712</v>
      </c>
      <c r="M715" s="106" t="str">
        <f t="shared" si="22"/>
        <v xml:space="preserve"> </v>
      </c>
      <c r="P715">
        <v>712</v>
      </c>
    </row>
    <row r="716" spans="6:16">
      <c r="F716">
        <v>713</v>
      </c>
      <c r="M716" s="106" t="str">
        <f t="shared" si="22"/>
        <v xml:space="preserve"> </v>
      </c>
      <c r="P716">
        <v>713</v>
      </c>
    </row>
    <row r="717" spans="6:16">
      <c r="F717">
        <v>714</v>
      </c>
      <c r="M717" s="106" t="str">
        <f t="shared" si="22"/>
        <v xml:space="preserve"> </v>
      </c>
      <c r="P717">
        <v>714</v>
      </c>
    </row>
    <row r="718" spans="6:16">
      <c r="F718">
        <v>715</v>
      </c>
      <c r="M718" s="106" t="str">
        <f t="shared" si="22"/>
        <v xml:space="preserve"> </v>
      </c>
      <c r="P718">
        <v>715</v>
      </c>
    </row>
    <row r="719" spans="6:16">
      <c r="F719">
        <v>716</v>
      </c>
      <c r="M719" s="106" t="str">
        <f t="shared" si="22"/>
        <v xml:space="preserve"> </v>
      </c>
      <c r="P719">
        <v>716</v>
      </c>
    </row>
    <row r="720" spans="6:16">
      <c r="F720">
        <v>717</v>
      </c>
      <c r="M720" s="106" t="str">
        <f t="shared" si="22"/>
        <v xml:space="preserve"> </v>
      </c>
      <c r="P720">
        <v>717</v>
      </c>
    </row>
    <row r="721" spans="6:16">
      <c r="F721">
        <v>718</v>
      </c>
      <c r="M721" s="106" t="str">
        <f t="shared" si="22"/>
        <v xml:space="preserve"> </v>
      </c>
      <c r="P721">
        <v>718</v>
      </c>
    </row>
    <row r="722" spans="6:16">
      <c r="F722">
        <v>719</v>
      </c>
      <c r="M722" s="106" t="str">
        <f t="shared" si="22"/>
        <v xml:space="preserve"> </v>
      </c>
      <c r="P722">
        <v>719</v>
      </c>
    </row>
    <row r="723" spans="6:16">
      <c r="F723">
        <v>720</v>
      </c>
      <c r="M723" s="106" t="str">
        <f t="shared" si="22"/>
        <v xml:space="preserve"> </v>
      </c>
      <c r="P723">
        <v>720</v>
      </c>
    </row>
    <row r="724" spans="6:16">
      <c r="F724">
        <v>721</v>
      </c>
      <c r="M724" s="106" t="str">
        <f t="shared" si="22"/>
        <v xml:space="preserve"> </v>
      </c>
      <c r="P724">
        <v>721</v>
      </c>
    </row>
    <row r="725" spans="6:16">
      <c r="F725">
        <v>722</v>
      </c>
      <c r="M725" s="106" t="str">
        <f t="shared" si="22"/>
        <v xml:space="preserve"> </v>
      </c>
      <c r="P725">
        <v>722</v>
      </c>
    </row>
    <row r="726" spans="6:16">
      <c r="F726">
        <v>723</v>
      </c>
      <c r="M726" s="106" t="str">
        <f t="shared" si="22"/>
        <v xml:space="preserve"> </v>
      </c>
      <c r="P726">
        <v>723</v>
      </c>
    </row>
    <row r="727" spans="6:16">
      <c r="F727">
        <v>724</v>
      </c>
      <c r="M727" s="106" t="str">
        <f t="shared" si="22"/>
        <v xml:space="preserve"> </v>
      </c>
      <c r="P727">
        <v>724</v>
      </c>
    </row>
    <row r="728" spans="6:16">
      <c r="F728">
        <v>725</v>
      </c>
      <c r="M728" s="106" t="str">
        <f t="shared" si="22"/>
        <v xml:space="preserve"> </v>
      </c>
      <c r="P728">
        <v>725</v>
      </c>
    </row>
    <row r="729" spans="6:16">
      <c r="F729">
        <v>726</v>
      </c>
      <c r="M729" s="106" t="str">
        <f t="shared" si="22"/>
        <v xml:space="preserve"> </v>
      </c>
      <c r="P729">
        <v>726</v>
      </c>
    </row>
    <row r="730" spans="6:16">
      <c r="F730">
        <v>727</v>
      </c>
      <c r="M730" s="106" t="str">
        <f t="shared" si="22"/>
        <v xml:space="preserve"> </v>
      </c>
      <c r="P730">
        <v>727</v>
      </c>
    </row>
    <row r="731" spans="6:16">
      <c r="F731">
        <v>728</v>
      </c>
      <c r="M731" s="106" t="str">
        <f t="shared" si="22"/>
        <v xml:space="preserve"> </v>
      </c>
      <c r="P731">
        <v>728</v>
      </c>
    </row>
    <row r="732" spans="6:16">
      <c r="F732">
        <v>729</v>
      </c>
      <c r="M732" s="106" t="str">
        <f t="shared" si="22"/>
        <v xml:space="preserve"> </v>
      </c>
      <c r="P732">
        <v>729</v>
      </c>
    </row>
    <row r="733" spans="6:16">
      <c r="F733">
        <v>730</v>
      </c>
      <c r="M733" s="106" t="str">
        <f t="shared" si="22"/>
        <v xml:space="preserve"> </v>
      </c>
      <c r="P733">
        <v>730</v>
      </c>
    </row>
    <row r="734" spans="6:16">
      <c r="F734">
        <v>731</v>
      </c>
      <c r="M734" s="106" t="str">
        <f t="shared" si="22"/>
        <v xml:space="preserve"> </v>
      </c>
      <c r="P734">
        <v>731</v>
      </c>
    </row>
    <row r="735" spans="6:16">
      <c r="F735">
        <v>732</v>
      </c>
      <c r="M735" s="106" t="str">
        <f t="shared" si="22"/>
        <v xml:space="preserve"> </v>
      </c>
      <c r="P735">
        <v>732</v>
      </c>
    </row>
    <row r="736" spans="6:16">
      <c r="F736">
        <v>733</v>
      </c>
      <c r="M736" s="106" t="str">
        <f t="shared" si="22"/>
        <v xml:space="preserve"> </v>
      </c>
      <c r="P736">
        <v>733</v>
      </c>
    </row>
    <row r="737" spans="6:16">
      <c r="F737">
        <v>734</v>
      </c>
      <c r="M737" s="106" t="str">
        <f t="shared" si="22"/>
        <v xml:space="preserve"> </v>
      </c>
      <c r="P737">
        <v>734</v>
      </c>
    </row>
    <row r="738" spans="6:16">
      <c r="F738">
        <v>735</v>
      </c>
      <c r="M738" s="106" t="str">
        <f t="shared" si="22"/>
        <v xml:space="preserve"> </v>
      </c>
      <c r="P738">
        <v>735</v>
      </c>
    </row>
    <row r="739" spans="6:16">
      <c r="F739">
        <v>736</v>
      </c>
      <c r="M739" s="106" t="str">
        <f t="shared" si="22"/>
        <v xml:space="preserve"> </v>
      </c>
      <c r="P739">
        <v>736</v>
      </c>
    </row>
    <row r="740" spans="6:16">
      <c r="F740">
        <v>737</v>
      </c>
      <c r="M740" s="106" t="str">
        <f t="shared" si="22"/>
        <v xml:space="preserve"> </v>
      </c>
      <c r="P740">
        <v>737</v>
      </c>
    </row>
    <row r="741" spans="6:16">
      <c r="F741">
        <v>738</v>
      </c>
      <c r="M741" s="106" t="str">
        <f t="shared" si="22"/>
        <v xml:space="preserve"> </v>
      </c>
      <c r="P741">
        <v>738</v>
      </c>
    </row>
    <row r="742" spans="6:16">
      <c r="F742">
        <v>739</v>
      </c>
      <c r="M742" s="106" t="str">
        <f t="shared" si="22"/>
        <v xml:space="preserve"> </v>
      </c>
      <c r="P742">
        <v>739</v>
      </c>
    </row>
    <row r="743" spans="6:16">
      <c r="F743">
        <v>740</v>
      </c>
      <c r="M743" s="106" t="str">
        <f t="shared" si="22"/>
        <v xml:space="preserve"> </v>
      </c>
      <c r="P743">
        <v>740</v>
      </c>
    </row>
    <row r="744" spans="6:16">
      <c r="F744">
        <v>741</v>
      </c>
      <c r="M744" s="106" t="str">
        <f t="shared" si="22"/>
        <v xml:space="preserve"> </v>
      </c>
      <c r="P744">
        <v>741</v>
      </c>
    </row>
    <row r="745" spans="6:16">
      <c r="F745">
        <v>742</v>
      </c>
      <c r="M745" s="106" t="str">
        <f t="shared" ref="M745:M808" si="23">IF(ISNUMBER(SEARCH("Unit",$C$19)),F745," ")</f>
        <v xml:space="preserve"> </v>
      </c>
      <c r="P745">
        <v>742</v>
      </c>
    </row>
    <row r="746" spans="6:16">
      <c r="F746">
        <v>743</v>
      </c>
      <c r="M746" s="106" t="str">
        <f t="shared" si="23"/>
        <v xml:space="preserve"> </v>
      </c>
      <c r="P746">
        <v>743</v>
      </c>
    </row>
    <row r="747" spans="6:16">
      <c r="F747">
        <v>744</v>
      </c>
      <c r="M747" s="106" t="str">
        <f t="shared" si="23"/>
        <v xml:space="preserve"> </v>
      </c>
      <c r="P747">
        <v>744</v>
      </c>
    </row>
    <row r="748" spans="6:16">
      <c r="F748">
        <v>745</v>
      </c>
      <c r="M748" s="106" t="str">
        <f t="shared" si="23"/>
        <v xml:space="preserve"> </v>
      </c>
      <c r="P748">
        <v>745</v>
      </c>
    </row>
    <row r="749" spans="6:16">
      <c r="F749">
        <v>746</v>
      </c>
      <c r="M749" s="106" t="str">
        <f t="shared" si="23"/>
        <v xml:space="preserve"> </v>
      </c>
      <c r="P749">
        <v>746</v>
      </c>
    </row>
    <row r="750" spans="6:16">
      <c r="F750">
        <v>747</v>
      </c>
      <c r="M750" s="106" t="str">
        <f t="shared" si="23"/>
        <v xml:space="preserve"> </v>
      </c>
      <c r="P750">
        <v>747</v>
      </c>
    </row>
    <row r="751" spans="6:16">
      <c r="F751">
        <v>748</v>
      </c>
      <c r="M751" s="106" t="str">
        <f t="shared" si="23"/>
        <v xml:space="preserve"> </v>
      </c>
      <c r="P751">
        <v>748</v>
      </c>
    </row>
    <row r="752" spans="6:16">
      <c r="F752">
        <v>749</v>
      </c>
      <c r="M752" s="106" t="str">
        <f t="shared" si="23"/>
        <v xml:space="preserve"> </v>
      </c>
      <c r="P752">
        <v>749</v>
      </c>
    </row>
    <row r="753" spans="6:16">
      <c r="F753">
        <v>750</v>
      </c>
      <c r="M753" s="106" t="str">
        <f t="shared" si="23"/>
        <v xml:space="preserve"> </v>
      </c>
      <c r="P753">
        <v>750</v>
      </c>
    </row>
    <row r="754" spans="6:16">
      <c r="F754">
        <v>751</v>
      </c>
      <c r="M754" s="106" t="str">
        <f t="shared" si="23"/>
        <v xml:space="preserve"> </v>
      </c>
      <c r="P754">
        <v>751</v>
      </c>
    </row>
    <row r="755" spans="6:16">
      <c r="F755">
        <v>752</v>
      </c>
      <c r="M755" s="106" t="str">
        <f t="shared" si="23"/>
        <v xml:space="preserve"> </v>
      </c>
      <c r="P755">
        <v>752</v>
      </c>
    </row>
    <row r="756" spans="6:16">
      <c r="F756">
        <v>753</v>
      </c>
      <c r="M756" s="106" t="str">
        <f t="shared" si="23"/>
        <v xml:space="preserve"> </v>
      </c>
      <c r="P756">
        <v>753</v>
      </c>
    </row>
    <row r="757" spans="6:16">
      <c r="F757">
        <v>754</v>
      </c>
      <c r="M757" s="106" t="str">
        <f t="shared" si="23"/>
        <v xml:space="preserve"> </v>
      </c>
      <c r="P757">
        <v>754</v>
      </c>
    </row>
    <row r="758" spans="6:16">
      <c r="F758">
        <v>755</v>
      </c>
      <c r="M758" s="106" t="str">
        <f t="shared" si="23"/>
        <v xml:space="preserve"> </v>
      </c>
      <c r="P758">
        <v>755</v>
      </c>
    </row>
    <row r="759" spans="6:16">
      <c r="F759">
        <v>756</v>
      </c>
      <c r="M759" s="106" t="str">
        <f t="shared" si="23"/>
        <v xml:space="preserve"> </v>
      </c>
      <c r="P759">
        <v>756</v>
      </c>
    </row>
    <row r="760" spans="6:16">
      <c r="F760">
        <v>757</v>
      </c>
      <c r="M760" s="106" t="str">
        <f t="shared" si="23"/>
        <v xml:space="preserve"> </v>
      </c>
      <c r="P760">
        <v>757</v>
      </c>
    </row>
    <row r="761" spans="6:16">
      <c r="F761">
        <v>758</v>
      </c>
      <c r="M761" s="106" t="str">
        <f t="shared" si="23"/>
        <v xml:space="preserve"> </v>
      </c>
      <c r="P761">
        <v>758</v>
      </c>
    </row>
    <row r="762" spans="6:16">
      <c r="F762">
        <v>759</v>
      </c>
      <c r="M762" s="106" t="str">
        <f t="shared" si="23"/>
        <v xml:space="preserve"> </v>
      </c>
      <c r="P762">
        <v>759</v>
      </c>
    </row>
    <row r="763" spans="6:16">
      <c r="F763">
        <v>760</v>
      </c>
      <c r="M763" s="106" t="str">
        <f t="shared" si="23"/>
        <v xml:space="preserve"> </v>
      </c>
      <c r="P763">
        <v>760</v>
      </c>
    </row>
    <row r="764" spans="6:16">
      <c r="F764">
        <v>761</v>
      </c>
      <c r="M764" s="106" t="str">
        <f t="shared" si="23"/>
        <v xml:space="preserve"> </v>
      </c>
      <c r="P764">
        <v>761</v>
      </c>
    </row>
    <row r="765" spans="6:16">
      <c r="F765">
        <v>762</v>
      </c>
      <c r="M765" s="106" t="str">
        <f t="shared" si="23"/>
        <v xml:space="preserve"> </v>
      </c>
      <c r="P765">
        <v>762</v>
      </c>
    </row>
    <row r="766" spans="6:16">
      <c r="F766">
        <v>763</v>
      </c>
      <c r="M766" s="106" t="str">
        <f t="shared" si="23"/>
        <v xml:space="preserve"> </v>
      </c>
      <c r="P766">
        <v>763</v>
      </c>
    </row>
    <row r="767" spans="6:16">
      <c r="F767">
        <v>764</v>
      </c>
      <c r="M767" s="106" t="str">
        <f t="shared" si="23"/>
        <v xml:space="preserve"> </v>
      </c>
      <c r="P767">
        <v>764</v>
      </c>
    </row>
    <row r="768" spans="6:16">
      <c r="F768">
        <v>765</v>
      </c>
      <c r="M768" s="106" t="str">
        <f t="shared" si="23"/>
        <v xml:space="preserve"> </v>
      </c>
      <c r="P768">
        <v>765</v>
      </c>
    </row>
    <row r="769" spans="6:16">
      <c r="F769">
        <v>766</v>
      </c>
      <c r="M769" s="106" t="str">
        <f t="shared" si="23"/>
        <v xml:space="preserve"> </v>
      </c>
      <c r="P769">
        <v>766</v>
      </c>
    </row>
    <row r="770" spans="6:16">
      <c r="F770">
        <v>767</v>
      </c>
      <c r="M770" s="106" t="str">
        <f t="shared" si="23"/>
        <v xml:space="preserve"> </v>
      </c>
      <c r="P770">
        <v>767</v>
      </c>
    </row>
    <row r="771" spans="6:16">
      <c r="F771">
        <v>768</v>
      </c>
      <c r="M771" s="106" t="str">
        <f t="shared" si="23"/>
        <v xml:space="preserve"> </v>
      </c>
      <c r="P771">
        <v>768</v>
      </c>
    </row>
    <row r="772" spans="6:16">
      <c r="F772">
        <v>769</v>
      </c>
      <c r="M772" s="106" t="str">
        <f t="shared" si="23"/>
        <v xml:space="preserve"> </v>
      </c>
      <c r="P772">
        <v>769</v>
      </c>
    </row>
    <row r="773" spans="6:16">
      <c r="F773">
        <v>770</v>
      </c>
      <c r="M773" s="106" t="str">
        <f t="shared" si="23"/>
        <v xml:space="preserve"> </v>
      </c>
      <c r="P773">
        <v>770</v>
      </c>
    </row>
    <row r="774" spans="6:16">
      <c r="F774">
        <v>771</v>
      </c>
      <c r="M774" s="106" t="str">
        <f t="shared" si="23"/>
        <v xml:space="preserve"> </v>
      </c>
      <c r="P774">
        <v>771</v>
      </c>
    </row>
    <row r="775" spans="6:16">
      <c r="F775">
        <v>772</v>
      </c>
      <c r="M775" s="106" t="str">
        <f t="shared" si="23"/>
        <v xml:space="preserve"> </v>
      </c>
      <c r="P775">
        <v>772</v>
      </c>
    </row>
    <row r="776" spans="6:16">
      <c r="F776">
        <v>773</v>
      </c>
      <c r="M776" s="106" t="str">
        <f t="shared" si="23"/>
        <v xml:space="preserve"> </v>
      </c>
      <c r="P776">
        <v>773</v>
      </c>
    </row>
    <row r="777" spans="6:16">
      <c r="F777">
        <v>774</v>
      </c>
      <c r="M777" s="106" t="str">
        <f t="shared" si="23"/>
        <v xml:space="preserve"> </v>
      </c>
      <c r="P777">
        <v>774</v>
      </c>
    </row>
    <row r="778" spans="6:16">
      <c r="F778">
        <v>775</v>
      </c>
      <c r="M778" s="106" t="str">
        <f t="shared" si="23"/>
        <v xml:space="preserve"> </v>
      </c>
      <c r="P778">
        <v>775</v>
      </c>
    </row>
    <row r="779" spans="6:16">
      <c r="F779">
        <v>776</v>
      </c>
      <c r="M779" s="106" t="str">
        <f t="shared" si="23"/>
        <v xml:space="preserve"> </v>
      </c>
      <c r="P779">
        <v>776</v>
      </c>
    </row>
    <row r="780" spans="6:16">
      <c r="F780">
        <v>777</v>
      </c>
      <c r="M780" s="106" t="str">
        <f t="shared" si="23"/>
        <v xml:space="preserve"> </v>
      </c>
      <c r="P780">
        <v>777</v>
      </c>
    </row>
    <row r="781" spans="6:16">
      <c r="F781">
        <v>778</v>
      </c>
      <c r="M781" s="106" t="str">
        <f t="shared" si="23"/>
        <v xml:space="preserve"> </v>
      </c>
      <c r="P781">
        <v>778</v>
      </c>
    </row>
    <row r="782" spans="6:16">
      <c r="F782">
        <v>779</v>
      </c>
      <c r="M782" s="106" t="str">
        <f t="shared" si="23"/>
        <v xml:space="preserve"> </v>
      </c>
      <c r="P782">
        <v>779</v>
      </c>
    </row>
    <row r="783" spans="6:16">
      <c r="F783">
        <v>780</v>
      </c>
      <c r="M783" s="106" t="str">
        <f t="shared" si="23"/>
        <v xml:space="preserve"> </v>
      </c>
      <c r="P783">
        <v>780</v>
      </c>
    </row>
    <row r="784" spans="6:16">
      <c r="F784">
        <v>781</v>
      </c>
      <c r="M784" s="106" t="str">
        <f t="shared" si="23"/>
        <v xml:space="preserve"> </v>
      </c>
      <c r="P784">
        <v>781</v>
      </c>
    </row>
    <row r="785" spans="6:16">
      <c r="F785">
        <v>782</v>
      </c>
      <c r="M785" s="106" t="str">
        <f t="shared" si="23"/>
        <v xml:space="preserve"> </v>
      </c>
      <c r="P785">
        <v>782</v>
      </c>
    </row>
    <row r="786" spans="6:16">
      <c r="F786">
        <v>783</v>
      </c>
      <c r="M786" s="106" t="str">
        <f t="shared" si="23"/>
        <v xml:space="preserve"> </v>
      </c>
      <c r="P786">
        <v>783</v>
      </c>
    </row>
    <row r="787" spans="6:16">
      <c r="F787">
        <v>784</v>
      </c>
      <c r="M787" s="106" t="str">
        <f t="shared" si="23"/>
        <v xml:space="preserve"> </v>
      </c>
      <c r="P787">
        <v>784</v>
      </c>
    </row>
    <row r="788" spans="6:16">
      <c r="F788">
        <v>785</v>
      </c>
      <c r="M788" s="106" t="str">
        <f t="shared" si="23"/>
        <v xml:space="preserve"> </v>
      </c>
      <c r="P788">
        <v>785</v>
      </c>
    </row>
    <row r="789" spans="6:16">
      <c r="F789">
        <v>786</v>
      </c>
      <c r="M789" s="106" t="str">
        <f t="shared" si="23"/>
        <v xml:space="preserve"> </v>
      </c>
      <c r="P789">
        <v>786</v>
      </c>
    </row>
    <row r="790" spans="6:16">
      <c r="F790">
        <v>787</v>
      </c>
      <c r="M790" s="106" t="str">
        <f t="shared" si="23"/>
        <v xml:space="preserve"> </v>
      </c>
      <c r="P790">
        <v>787</v>
      </c>
    </row>
    <row r="791" spans="6:16">
      <c r="F791">
        <v>788</v>
      </c>
      <c r="M791" s="106" t="str">
        <f t="shared" si="23"/>
        <v xml:space="preserve"> </v>
      </c>
      <c r="P791">
        <v>788</v>
      </c>
    </row>
    <row r="792" spans="6:16">
      <c r="F792">
        <v>789</v>
      </c>
      <c r="M792" s="106" t="str">
        <f t="shared" si="23"/>
        <v xml:space="preserve"> </v>
      </c>
      <c r="P792">
        <v>789</v>
      </c>
    </row>
    <row r="793" spans="6:16">
      <c r="F793">
        <v>790</v>
      </c>
      <c r="M793" s="106" t="str">
        <f t="shared" si="23"/>
        <v xml:space="preserve"> </v>
      </c>
      <c r="P793">
        <v>790</v>
      </c>
    </row>
    <row r="794" spans="6:16">
      <c r="F794">
        <v>791</v>
      </c>
      <c r="M794" s="106" t="str">
        <f t="shared" si="23"/>
        <v xml:space="preserve"> </v>
      </c>
      <c r="P794">
        <v>791</v>
      </c>
    </row>
    <row r="795" spans="6:16">
      <c r="F795">
        <v>792</v>
      </c>
      <c r="M795" s="106" t="str">
        <f t="shared" si="23"/>
        <v xml:space="preserve"> </v>
      </c>
      <c r="P795">
        <v>792</v>
      </c>
    </row>
    <row r="796" spans="6:16">
      <c r="F796">
        <v>793</v>
      </c>
      <c r="M796" s="106" t="str">
        <f t="shared" si="23"/>
        <v xml:space="preserve"> </v>
      </c>
      <c r="P796">
        <v>793</v>
      </c>
    </row>
    <row r="797" spans="6:16">
      <c r="F797">
        <v>794</v>
      </c>
      <c r="M797" s="106" t="str">
        <f t="shared" si="23"/>
        <v xml:space="preserve"> </v>
      </c>
      <c r="P797">
        <v>794</v>
      </c>
    </row>
    <row r="798" spans="6:16">
      <c r="F798">
        <v>795</v>
      </c>
      <c r="M798" s="106" t="str">
        <f t="shared" si="23"/>
        <v xml:space="preserve"> </v>
      </c>
      <c r="P798">
        <v>795</v>
      </c>
    </row>
    <row r="799" spans="6:16">
      <c r="F799">
        <v>796</v>
      </c>
      <c r="M799" s="106" t="str">
        <f t="shared" si="23"/>
        <v xml:space="preserve"> </v>
      </c>
      <c r="P799">
        <v>796</v>
      </c>
    </row>
    <row r="800" spans="6:16">
      <c r="F800">
        <v>797</v>
      </c>
      <c r="M800" s="106" t="str">
        <f t="shared" si="23"/>
        <v xml:space="preserve"> </v>
      </c>
      <c r="P800">
        <v>797</v>
      </c>
    </row>
    <row r="801" spans="6:16">
      <c r="F801">
        <v>798</v>
      </c>
      <c r="M801" s="106" t="str">
        <f t="shared" si="23"/>
        <v xml:space="preserve"> </v>
      </c>
      <c r="P801">
        <v>798</v>
      </c>
    </row>
    <row r="802" spans="6:16">
      <c r="F802">
        <v>799</v>
      </c>
      <c r="M802" s="106" t="str">
        <f t="shared" si="23"/>
        <v xml:space="preserve"> </v>
      </c>
      <c r="P802">
        <v>799</v>
      </c>
    </row>
    <row r="803" spans="6:16">
      <c r="F803">
        <v>800</v>
      </c>
      <c r="M803" s="106" t="str">
        <f t="shared" si="23"/>
        <v xml:space="preserve"> </v>
      </c>
      <c r="P803">
        <v>800</v>
      </c>
    </row>
    <row r="804" spans="6:16">
      <c r="F804">
        <v>801</v>
      </c>
      <c r="M804" s="106" t="str">
        <f t="shared" si="23"/>
        <v xml:space="preserve"> </v>
      </c>
      <c r="P804">
        <v>801</v>
      </c>
    </row>
    <row r="805" spans="6:16">
      <c r="F805">
        <v>802</v>
      </c>
      <c r="M805" s="106" t="str">
        <f t="shared" si="23"/>
        <v xml:space="preserve"> </v>
      </c>
      <c r="P805">
        <v>802</v>
      </c>
    </row>
    <row r="806" spans="6:16">
      <c r="F806">
        <v>803</v>
      </c>
      <c r="M806" s="106" t="str">
        <f t="shared" si="23"/>
        <v xml:space="preserve"> </v>
      </c>
      <c r="P806">
        <v>803</v>
      </c>
    </row>
    <row r="807" spans="6:16">
      <c r="F807">
        <v>804</v>
      </c>
      <c r="M807" s="106" t="str">
        <f t="shared" si="23"/>
        <v xml:space="preserve"> </v>
      </c>
      <c r="P807">
        <v>804</v>
      </c>
    </row>
    <row r="808" spans="6:16">
      <c r="F808">
        <v>805</v>
      </c>
      <c r="M808" s="106" t="str">
        <f t="shared" si="23"/>
        <v xml:space="preserve"> </v>
      </c>
      <c r="P808">
        <v>805</v>
      </c>
    </row>
    <row r="809" spans="6:16">
      <c r="F809">
        <v>806</v>
      </c>
      <c r="M809" s="106" t="str">
        <f t="shared" ref="M809:M872" si="24">IF(ISNUMBER(SEARCH("Unit",$C$19)),F809," ")</f>
        <v xml:space="preserve"> </v>
      </c>
      <c r="P809">
        <v>806</v>
      </c>
    </row>
    <row r="810" spans="6:16">
      <c r="F810">
        <v>807</v>
      </c>
      <c r="M810" s="106" t="str">
        <f t="shared" si="24"/>
        <v xml:space="preserve"> </v>
      </c>
      <c r="P810">
        <v>807</v>
      </c>
    </row>
    <row r="811" spans="6:16">
      <c r="F811">
        <v>808</v>
      </c>
      <c r="M811" s="106" t="str">
        <f t="shared" si="24"/>
        <v xml:space="preserve"> </v>
      </c>
      <c r="P811">
        <v>808</v>
      </c>
    </row>
    <row r="812" spans="6:16">
      <c r="F812">
        <v>809</v>
      </c>
      <c r="M812" s="106" t="str">
        <f t="shared" si="24"/>
        <v xml:space="preserve"> </v>
      </c>
      <c r="P812">
        <v>809</v>
      </c>
    </row>
    <row r="813" spans="6:16">
      <c r="F813">
        <v>810</v>
      </c>
      <c r="M813" s="106" t="str">
        <f t="shared" si="24"/>
        <v xml:space="preserve"> </v>
      </c>
      <c r="P813">
        <v>810</v>
      </c>
    </row>
    <row r="814" spans="6:16">
      <c r="F814">
        <v>811</v>
      </c>
      <c r="M814" s="106" t="str">
        <f t="shared" si="24"/>
        <v xml:space="preserve"> </v>
      </c>
      <c r="P814">
        <v>811</v>
      </c>
    </row>
    <row r="815" spans="6:16">
      <c r="F815">
        <v>812</v>
      </c>
      <c r="M815" s="106" t="str">
        <f t="shared" si="24"/>
        <v xml:space="preserve"> </v>
      </c>
      <c r="P815">
        <v>812</v>
      </c>
    </row>
    <row r="816" spans="6:16">
      <c r="F816">
        <v>813</v>
      </c>
      <c r="M816" s="106" t="str">
        <f t="shared" si="24"/>
        <v xml:space="preserve"> </v>
      </c>
      <c r="P816">
        <v>813</v>
      </c>
    </row>
    <row r="817" spans="6:16">
      <c r="F817">
        <v>814</v>
      </c>
      <c r="M817" s="106" t="str">
        <f t="shared" si="24"/>
        <v xml:space="preserve"> </v>
      </c>
      <c r="P817">
        <v>814</v>
      </c>
    </row>
    <row r="818" spans="6:16">
      <c r="F818">
        <v>815</v>
      </c>
      <c r="M818" s="106" t="str">
        <f t="shared" si="24"/>
        <v xml:space="preserve"> </v>
      </c>
      <c r="P818">
        <v>815</v>
      </c>
    </row>
    <row r="819" spans="6:16">
      <c r="F819">
        <v>816</v>
      </c>
      <c r="M819" s="106" t="str">
        <f t="shared" si="24"/>
        <v xml:space="preserve"> </v>
      </c>
      <c r="P819">
        <v>816</v>
      </c>
    </row>
    <row r="820" spans="6:16">
      <c r="F820">
        <v>817</v>
      </c>
      <c r="M820" s="106" t="str">
        <f t="shared" si="24"/>
        <v xml:space="preserve"> </v>
      </c>
      <c r="P820">
        <v>817</v>
      </c>
    </row>
    <row r="821" spans="6:16">
      <c r="F821">
        <v>818</v>
      </c>
      <c r="M821" s="106" t="str">
        <f t="shared" si="24"/>
        <v xml:space="preserve"> </v>
      </c>
      <c r="P821">
        <v>818</v>
      </c>
    </row>
    <row r="822" spans="6:16">
      <c r="F822">
        <v>819</v>
      </c>
      <c r="M822" s="106" t="str">
        <f t="shared" si="24"/>
        <v xml:space="preserve"> </v>
      </c>
      <c r="P822">
        <v>819</v>
      </c>
    </row>
    <row r="823" spans="6:16">
      <c r="F823">
        <v>820</v>
      </c>
      <c r="M823" s="106" t="str">
        <f t="shared" si="24"/>
        <v xml:space="preserve"> </v>
      </c>
      <c r="P823">
        <v>820</v>
      </c>
    </row>
    <row r="824" spans="6:16">
      <c r="F824">
        <v>821</v>
      </c>
      <c r="M824" s="106" t="str">
        <f t="shared" si="24"/>
        <v xml:space="preserve"> </v>
      </c>
      <c r="P824">
        <v>821</v>
      </c>
    </row>
    <row r="825" spans="6:16">
      <c r="F825">
        <v>822</v>
      </c>
      <c r="M825" s="106" t="str">
        <f t="shared" si="24"/>
        <v xml:space="preserve"> </v>
      </c>
      <c r="P825">
        <v>822</v>
      </c>
    </row>
    <row r="826" spans="6:16">
      <c r="F826">
        <v>823</v>
      </c>
      <c r="M826" s="106" t="str">
        <f t="shared" si="24"/>
        <v xml:space="preserve"> </v>
      </c>
      <c r="P826">
        <v>823</v>
      </c>
    </row>
    <row r="827" spans="6:16">
      <c r="F827">
        <v>824</v>
      </c>
      <c r="M827" s="106" t="str">
        <f t="shared" si="24"/>
        <v xml:space="preserve"> </v>
      </c>
      <c r="P827">
        <v>824</v>
      </c>
    </row>
    <row r="828" spans="6:16">
      <c r="F828">
        <v>825</v>
      </c>
      <c r="M828" s="106" t="str">
        <f t="shared" si="24"/>
        <v xml:space="preserve"> </v>
      </c>
      <c r="P828">
        <v>825</v>
      </c>
    </row>
    <row r="829" spans="6:16">
      <c r="F829">
        <v>826</v>
      </c>
      <c r="M829" s="106" t="str">
        <f t="shared" si="24"/>
        <v xml:space="preserve"> </v>
      </c>
      <c r="P829">
        <v>826</v>
      </c>
    </row>
    <row r="830" spans="6:16">
      <c r="F830">
        <v>827</v>
      </c>
      <c r="M830" s="106" t="str">
        <f t="shared" si="24"/>
        <v xml:space="preserve"> </v>
      </c>
      <c r="P830">
        <v>827</v>
      </c>
    </row>
    <row r="831" spans="6:16">
      <c r="F831">
        <v>828</v>
      </c>
      <c r="M831" s="106" t="str">
        <f t="shared" si="24"/>
        <v xml:space="preserve"> </v>
      </c>
      <c r="P831">
        <v>828</v>
      </c>
    </row>
    <row r="832" spans="6:16">
      <c r="F832">
        <v>829</v>
      </c>
      <c r="M832" s="106" t="str">
        <f t="shared" si="24"/>
        <v xml:space="preserve"> </v>
      </c>
      <c r="P832">
        <v>829</v>
      </c>
    </row>
    <row r="833" spans="6:16">
      <c r="F833">
        <v>830</v>
      </c>
      <c r="M833" s="106" t="str">
        <f t="shared" si="24"/>
        <v xml:space="preserve"> </v>
      </c>
      <c r="P833">
        <v>830</v>
      </c>
    </row>
    <row r="834" spans="6:16">
      <c r="F834">
        <v>831</v>
      </c>
      <c r="M834" s="106" t="str">
        <f t="shared" si="24"/>
        <v xml:space="preserve"> </v>
      </c>
      <c r="P834">
        <v>831</v>
      </c>
    </row>
    <row r="835" spans="6:16">
      <c r="F835">
        <v>832</v>
      </c>
      <c r="M835" s="106" t="str">
        <f t="shared" si="24"/>
        <v xml:space="preserve"> </v>
      </c>
      <c r="P835">
        <v>832</v>
      </c>
    </row>
    <row r="836" spans="6:16">
      <c r="F836">
        <v>833</v>
      </c>
      <c r="M836" s="106" t="str">
        <f t="shared" si="24"/>
        <v xml:space="preserve"> </v>
      </c>
      <c r="P836">
        <v>833</v>
      </c>
    </row>
    <row r="837" spans="6:16">
      <c r="F837">
        <v>834</v>
      </c>
      <c r="M837" s="106" t="str">
        <f t="shared" si="24"/>
        <v xml:space="preserve"> </v>
      </c>
      <c r="P837">
        <v>834</v>
      </c>
    </row>
    <row r="838" spans="6:16">
      <c r="F838">
        <v>835</v>
      </c>
      <c r="M838" s="106" t="str">
        <f t="shared" si="24"/>
        <v xml:space="preserve"> </v>
      </c>
      <c r="P838">
        <v>835</v>
      </c>
    </row>
    <row r="839" spans="6:16">
      <c r="F839">
        <v>836</v>
      </c>
      <c r="M839" s="106" t="str">
        <f t="shared" si="24"/>
        <v xml:space="preserve"> </v>
      </c>
      <c r="P839">
        <v>836</v>
      </c>
    </row>
    <row r="840" spans="6:16">
      <c r="F840">
        <v>837</v>
      </c>
      <c r="M840" s="106" t="str">
        <f t="shared" si="24"/>
        <v xml:space="preserve"> </v>
      </c>
      <c r="P840">
        <v>837</v>
      </c>
    </row>
    <row r="841" spans="6:16">
      <c r="F841">
        <v>838</v>
      </c>
      <c r="M841" s="106" t="str">
        <f t="shared" si="24"/>
        <v xml:space="preserve"> </v>
      </c>
      <c r="P841">
        <v>838</v>
      </c>
    </row>
    <row r="842" spans="6:16">
      <c r="F842">
        <v>839</v>
      </c>
      <c r="M842" s="106" t="str">
        <f t="shared" si="24"/>
        <v xml:space="preserve"> </v>
      </c>
      <c r="P842">
        <v>839</v>
      </c>
    </row>
    <row r="843" spans="6:16">
      <c r="F843">
        <v>840</v>
      </c>
      <c r="M843" s="106" t="str">
        <f t="shared" si="24"/>
        <v xml:space="preserve"> </v>
      </c>
      <c r="P843">
        <v>840</v>
      </c>
    </row>
    <row r="844" spans="6:16">
      <c r="F844">
        <v>841</v>
      </c>
      <c r="M844" s="106" t="str">
        <f t="shared" si="24"/>
        <v xml:space="preserve"> </v>
      </c>
      <c r="P844">
        <v>841</v>
      </c>
    </row>
    <row r="845" spans="6:16">
      <c r="F845">
        <v>842</v>
      </c>
      <c r="M845" s="106" t="str">
        <f t="shared" si="24"/>
        <v xml:space="preserve"> </v>
      </c>
      <c r="P845">
        <v>842</v>
      </c>
    </row>
    <row r="846" spans="6:16">
      <c r="F846">
        <v>843</v>
      </c>
      <c r="M846" s="106" t="str">
        <f t="shared" si="24"/>
        <v xml:space="preserve"> </v>
      </c>
      <c r="P846">
        <v>843</v>
      </c>
    </row>
    <row r="847" spans="6:16">
      <c r="F847">
        <v>844</v>
      </c>
      <c r="M847" s="106" t="str">
        <f t="shared" si="24"/>
        <v xml:space="preserve"> </v>
      </c>
      <c r="P847">
        <v>844</v>
      </c>
    </row>
    <row r="848" spans="6:16">
      <c r="F848">
        <v>845</v>
      </c>
      <c r="M848" s="106" t="str">
        <f t="shared" si="24"/>
        <v xml:space="preserve"> </v>
      </c>
      <c r="P848">
        <v>845</v>
      </c>
    </row>
    <row r="849" spans="6:16">
      <c r="F849">
        <v>846</v>
      </c>
      <c r="M849" s="106" t="str">
        <f t="shared" si="24"/>
        <v xml:space="preserve"> </v>
      </c>
      <c r="P849">
        <v>846</v>
      </c>
    </row>
    <row r="850" spans="6:16">
      <c r="F850">
        <v>847</v>
      </c>
      <c r="M850" s="106" t="str">
        <f t="shared" si="24"/>
        <v xml:space="preserve"> </v>
      </c>
      <c r="P850">
        <v>847</v>
      </c>
    </row>
    <row r="851" spans="6:16">
      <c r="F851">
        <v>848</v>
      </c>
      <c r="M851" s="106" t="str">
        <f t="shared" si="24"/>
        <v xml:space="preserve"> </v>
      </c>
      <c r="P851">
        <v>848</v>
      </c>
    </row>
    <row r="852" spans="6:16">
      <c r="F852">
        <v>849</v>
      </c>
      <c r="M852" s="106" t="str">
        <f t="shared" si="24"/>
        <v xml:space="preserve"> </v>
      </c>
      <c r="P852">
        <v>849</v>
      </c>
    </row>
    <row r="853" spans="6:16">
      <c r="F853">
        <v>850</v>
      </c>
      <c r="M853" s="106" t="str">
        <f t="shared" si="24"/>
        <v xml:space="preserve"> </v>
      </c>
      <c r="P853">
        <v>850</v>
      </c>
    </row>
    <row r="854" spans="6:16">
      <c r="F854">
        <v>851</v>
      </c>
      <c r="M854" s="106" t="str">
        <f t="shared" si="24"/>
        <v xml:space="preserve"> </v>
      </c>
      <c r="P854">
        <v>851</v>
      </c>
    </row>
    <row r="855" spans="6:16">
      <c r="F855">
        <v>852</v>
      </c>
      <c r="M855" s="106" t="str">
        <f t="shared" si="24"/>
        <v xml:space="preserve"> </v>
      </c>
      <c r="P855">
        <v>852</v>
      </c>
    </row>
    <row r="856" spans="6:16">
      <c r="F856">
        <v>853</v>
      </c>
      <c r="M856" s="106" t="str">
        <f t="shared" si="24"/>
        <v xml:space="preserve"> </v>
      </c>
      <c r="P856">
        <v>853</v>
      </c>
    </row>
    <row r="857" spans="6:16">
      <c r="F857">
        <v>854</v>
      </c>
      <c r="M857" s="106" t="str">
        <f t="shared" si="24"/>
        <v xml:space="preserve"> </v>
      </c>
      <c r="P857">
        <v>854</v>
      </c>
    </row>
    <row r="858" spans="6:16">
      <c r="F858">
        <v>855</v>
      </c>
      <c r="M858" s="106" t="str">
        <f t="shared" si="24"/>
        <v xml:space="preserve"> </v>
      </c>
      <c r="P858">
        <v>855</v>
      </c>
    </row>
    <row r="859" spans="6:16">
      <c r="F859">
        <v>856</v>
      </c>
      <c r="M859" s="106" t="str">
        <f t="shared" si="24"/>
        <v xml:space="preserve"> </v>
      </c>
      <c r="P859">
        <v>856</v>
      </c>
    </row>
    <row r="860" spans="6:16">
      <c r="F860">
        <v>857</v>
      </c>
      <c r="M860" s="106" t="str">
        <f t="shared" si="24"/>
        <v xml:space="preserve"> </v>
      </c>
      <c r="P860">
        <v>857</v>
      </c>
    </row>
    <row r="861" spans="6:16">
      <c r="F861">
        <v>858</v>
      </c>
      <c r="M861" s="106" t="str">
        <f t="shared" si="24"/>
        <v xml:space="preserve"> </v>
      </c>
      <c r="P861">
        <v>858</v>
      </c>
    </row>
    <row r="862" spans="6:16">
      <c r="F862">
        <v>859</v>
      </c>
      <c r="M862" s="106" t="str">
        <f t="shared" si="24"/>
        <v xml:space="preserve"> </v>
      </c>
      <c r="P862">
        <v>859</v>
      </c>
    </row>
    <row r="863" spans="6:16">
      <c r="F863">
        <v>860</v>
      </c>
      <c r="M863" s="106" t="str">
        <f t="shared" si="24"/>
        <v xml:space="preserve"> </v>
      </c>
      <c r="P863">
        <v>860</v>
      </c>
    </row>
    <row r="864" spans="6:16">
      <c r="F864">
        <v>861</v>
      </c>
      <c r="M864" s="106" t="str">
        <f t="shared" si="24"/>
        <v xml:space="preserve"> </v>
      </c>
      <c r="P864">
        <v>861</v>
      </c>
    </row>
    <row r="865" spans="6:16">
      <c r="F865">
        <v>862</v>
      </c>
      <c r="M865" s="106" t="str">
        <f t="shared" si="24"/>
        <v xml:space="preserve"> </v>
      </c>
      <c r="P865">
        <v>862</v>
      </c>
    </row>
    <row r="866" spans="6:16">
      <c r="F866">
        <v>863</v>
      </c>
      <c r="M866" s="106" t="str">
        <f t="shared" si="24"/>
        <v xml:space="preserve"> </v>
      </c>
      <c r="P866">
        <v>863</v>
      </c>
    </row>
    <row r="867" spans="6:16">
      <c r="F867">
        <v>864</v>
      </c>
      <c r="M867" s="106" t="str">
        <f t="shared" si="24"/>
        <v xml:space="preserve"> </v>
      </c>
      <c r="P867">
        <v>864</v>
      </c>
    </row>
    <row r="868" spans="6:16">
      <c r="F868">
        <v>865</v>
      </c>
      <c r="M868" s="106" t="str">
        <f t="shared" si="24"/>
        <v xml:space="preserve"> </v>
      </c>
      <c r="P868">
        <v>865</v>
      </c>
    </row>
    <row r="869" spans="6:16">
      <c r="F869">
        <v>866</v>
      </c>
      <c r="M869" s="106" t="str">
        <f t="shared" si="24"/>
        <v xml:space="preserve"> </v>
      </c>
      <c r="P869">
        <v>866</v>
      </c>
    </row>
    <row r="870" spans="6:16">
      <c r="F870">
        <v>867</v>
      </c>
      <c r="M870" s="106" t="str">
        <f t="shared" si="24"/>
        <v xml:space="preserve"> </v>
      </c>
      <c r="P870">
        <v>867</v>
      </c>
    </row>
    <row r="871" spans="6:16">
      <c r="F871">
        <v>868</v>
      </c>
      <c r="M871" s="106" t="str">
        <f t="shared" si="24"/>
        <v xml:space="preserve"> </v>
      </c>
      <c r="P871">
        <v>868</v>
      </c>
    </row>
    <row r="872" spans="6:16">
      <c r="F872">
        <v>869</v>
      </c>
      <c r="M872" s="106" t="str">
        <f t="shared" si="24"/>
        <v xml:space="preserve"> </v>
      </c>
      <c r="P872">
        <v>869</v>
      </c>
    </row>
    <row r="873" spans="6:16">
      <c r="F873">
        <v>870</v>
      </c>
      <c r="M873" s="106" t="str">
        <f t="shared" ref="M873:M936" si="25">IF(ISNUMBER(SEARCH("Unit",$C$19)),F873," ")</f>
        <v xml:space="preserve"> </v>
      </c>
      <c r="P873">
        <v>870</v>
      </c>
    </row>
    <row r="874" spans="6:16">
      <c r="F874">
        <v>871</v>
      </c>
      <c r="M874" s="106" t="str">
        <f t="shared" si="25"/>
        <v xml:space="preserve"> </v>
      </c>
      <c r="P874">
        <v>871</v>
      </c>
    </row>
    <row r="875" spans="6:16">
      <c r="F875">
        <v>872</v>
      </c>
      <c r="M875" s="106" t="str">
        <f t="shared" si="25"/>
        <v xml:space="preserve"> </v>
      </c>
      <c r="P875">
        <v>872</v>
      </c>
    </row>
    <row r="876" spans="6:16">
      <c r="F876">
        <v>873</v>
      </c>
      <c r="M876" s="106" t="str">
        <f t="shared" si="25"/>
        <v xml:space="preserve"> </v>
      </c>
      <c r="P876">
        <v>873</v>
      </c>
    </row>
    <row r="877" spans="6:16">
      <c r="F877">
        <v>874</v>
      </c>
      <c r="M877" s="106" t="str">
        <f t="shared" si="25"/>
        <v xml:space="preserve"> </v>
      </c>
      <c r="P877">
        <v>874</v>
      </c>
    </row>
    <row r="878" spans="6:16">
      <c r="F878">
        <v>875</v>
      </c>
      <c r="M878" s="106" t="str">
        <f t="shared" si="25"/>
        <v xml:space="preserve"> </v>
      </c>
      <c r="P878">
        <v>875</v>
      </c>
    </row>
    <row r="879" spans="6:16">
      <c r="F879">
        <v>876</v>
      </c>
      <c r="M879" s="106" t="str">
        <f t="shared" si="25"/>
        <v xml:space="preserve"> </v>
      </c>
      <c r="P879">
        <v>876</v>
      </c>
    </row>
    <row r="880" spans="6:16">
      <c r="F880">
        <v>877</v>
      </c>
      <c r="M880" s="106" t="str">
        <f t="shared" si="25"/>
        <v xml:space="preserve"> </v>
      </c>
      <c r="P880">
        <v>877</v>
      </c>
    </row>
    <row r="881" spans="6:16">
      <c r="F881">
        <v>878</v>
      </c>
      <c r="M881" s="106" t="str">
        <f t="shared" si="25"/>
        <v xml:space="preserve"> </v>
      </c>
      <c r="P881">
        <v>878</v>
      </c>
    </row>
    <row r="882" spans="6:16">
      <c r="F882">
        <v>879</v>
      </c>
      <c r="M882" s="106" t="str">
        <f t="shared" si="25"/>
        <v xml:space="preserve"> </v>
      </c>
      <c r="P882">
        <v>879</v>
      </c>
    </row>
    <row r="883" spans="6:16">
      <c r="F883">
        <v>880</v>
      </c>
      <c r="M883" s="106" t="str">
        <f t="shared" si="25"/>
        <v xml:space="preserve"> </v>
      </c>
      <c r="P883">
        <v>880</v>
      </c>
    </row>
    <row r="884" spans="6:16">
      <c r="F884">
        <v>881</v>
      </c>
      <c r="M884" s="106" t="str">
        <f t="shared" si="25"/>
        <v xml:space="preserve"> </v>
      </c>
      <c r="P884">
        <v>881</v>
      </c>
    </row>
    <row r="885" spans="6:16">
      <c r="F885">
        <v>882</v>
      </c>
      <c r="M885" s="106" t="str">
        <f t="shared" si="25"/>
        <v xml:space="preserve"> </v>
      </c>
      <c r="P885">
        <v>882</v>
      </c>
    </row>
    <row r="886" spans="6:16">
      <c r="F886">
        <v>883</v>
      </c>
      <c r="M886" s="106" t="str">
        <f t="shared" si="25"/>
        <v xml:space="preserve"> </v>
      </c>
      <c r="P886">
        <v>883</v>
      </c>
    </row>
    <row r="887" spans="6:16">
      <c r="F887">
        <v>884</v>
      </c>
      <c r="M887" s="106" t="str">
        <f t="shared" si="25"/>
        <v xml:space="preserve"> </v>
      </c>
      <c r="P887">
        <v>884</v>
      </c>
    </row>
    <row r="888" spans="6:16">
      <c r="F888">
        <v>885</v>
      </c>
      <c r="M888" s="106" t="str">
        <f t="shared" si="25"/>
        <v xml:space="preserve"> </v>
      </c>
      <c r="P888">
        <v>885</v>
      </c>
    </row>
    <row r="889" spans="6:16">
      <c r="F889">
        <v>886</v>
      </c>
      <c r="M889" s="106" t="str">
        <f t="shared" si="25"/>
        <v xml:space="preserve"> </v>
      </c>
      <c r="P889">
        <v>886</v>
      </c>
    </row>
    <row r="890" spans="6:16">
      <c r="F890">
        <v>887</v>
      </c>
      <c r="M890" s="106" t="str">
        <f t="shared" si="25"/>
        <v xml:space="preserve"> </v>
      </c>
      <c r="P890">
        <v>887</v>
      </c>
    </row>
    <row r="891" spans="6:16">
      <c r="F891">
        <v>888</v>
      </c>
      <c r="M891" s="106" t="str">
        <f t="shared" si="25"/>
        <v xml:space="preserve"> </v>
      </c>
      <c r="P891">
        <v>888</v>
      </c>
    </row>
    <row r="892" spans="6:16">
      <c r="F892">
        <v>889</v>
      </c>
      <c r="M892" s="106" t="str">
        <f t="shared" si="25"/>
        <v xml:space="preserve"> </v>
      </c>
      <c r="P892">
        <v>889</v>
      </c>
    </row>
    <row r="893" spans="6:16">
      <c r="F893">
        <v>890</v>
      </c>
      <c r="M893" s="106" t="str">
        <f t="shared" si="25"/>
        <v xml:space="preserve"> </v>
      </c>
      <c r="P893">
        <v>890</v>
      </c>
    </row>
    <row r="894" spans="6:16">
      <c r="F894">
        <v>891</v>
      </c>
      <c r="M894" s="106" t="str">
        <f t="shared" si="25"/>
        <v xml:space="preserve"> </v>
      </c>
      <c r="P894">
        <v>891</v>
      </c>
    </row>
    <row r="895" spans="6:16">
      <c r="F895">
        <v>892</v>
      </c>
      <c r="M895" s="106" t="str">
        <f t="shared" si="25"/>
        <v xml:space="preserve"> </v>
      </c>
      <c r="P895">
        <v>892</v>
      </c>
    </row>
    <row r="896" spans="6:16">
      <c r="F896">
        <v>893</v>
      </c>
      <c r="M896" s="106" t="str">
        <f t="shared" si="25"/>
        <v xml:space="preserve"> </v>
      </c>
      <c r="P896">
        <v>893</v>
      </c>
    </row>
    <row r="897" spans="6:16">
      <c r="F897">
        <v>894</v>
      </c>
      <c r="M897" s="106" t="str">
        <f t="shared" si="25"/>
        <v xml:space="preserve"> </v>
      </c>
      <c r="P897">
        <v>894</v>
      </c>
    </row>
    <row r="898" spans="6:16">
      <c r="F898">
        <v>895</v>
      </c>
      <c r="M898" s="106" t="str">
        <f t="shared" si="25"/>
        <v xml:space="preserve"> </v>
      </c>
      <c r="P898">
        <v>895</v>
      </c>
    </row>
    <row r="899" spans="6:16">
      <c r="F899">
        <v>896</v>
      </c>
      <c r="M899" s="106" t="str">
        <f t="shared" si="25"/>
        <v xml:space="preserve"> </v>
      </c>
      <c r="P899">
        <v>896</v>
      </c>
    </row>
    <row r="900" spans="6:16">
      <c r="F900">
        <v>897</v>
      </c>
      <c r="M900" s="106" t="str">
        <f t="shared" si="25"/>
        <v xml:space="preserve"> </v>
      </c>
      <c r="P900">
        <v>897</v>
      </c>
    </row>
    <row r="901" spans="6:16">
      <c r="F901">
        <v>898</v>
      </c>
      <c r="M901" s="106" t="str">
        <f t="shared" si="25"/>
        <v xml:space="preserve"> </v>
      </c>
      <c r="P901">
        <v>898</v>
      </c>
    </row>
    <row r="902" spans="6:16">
      <c r="F902">
        <v>899</v>
      </c>
      <c r="M902" s="106" t="str">
        <f t="shared" si="25"/>
        <v xml:space="preserve"> </v>
      </c>
      <c r="P902">
        <v>899</v>
      </c>
    </row>
    <row r="903" spans="6:16">
      <c r="F903">
        <v>900</v>
      </c>
      <c r="M903" s="106" t="str">
        <f t="shared" si="25"/>
        <v xml:space="preserve"> </v>
      </c>
      <c r="P903">
        <v>900</v>
      </c>
    </row>
    <row r="904" spans="6:16">
      <c r="F904">
        <v>901</v>
      </c>
      <c r="M904" s="106" t="str">
        <f t="shared" si="25"/>
        <v xml:space="preserve"> </v>
      </c>
      <c r="P904">
        <v>901</v>
      </c>
    </row>
    <row r="905" spans="6:16">
      <c r="F905">
        <v>902</v>
      </c>
      <c r="M905" s="106" t="str">
        <f t="shared" si="25"/>
        <v xml:space="preserve"> </v>
      </c>
      <c r="P905">
        <v>902</v>
      </c>
    </row>
    <row r="906" spans="6:16">
      <c r="F906">
        <v>903</v>
      </c>
      <c r="M906" s="106" t="str">
        <f t="shared" si="25"/>
        <v xml:space="preserve"> </v>
      </c>
      <c r="P906">
        <v>903</v>
      </c>
    </row>
    <row r="907" spans="6:16">
      <c r="F907">
        <v>904</v>
      </c>
      <c r="M907" s="106" t="str">
        <f t="shared" si="25"/>
        <v xml:space="preserve"> </v>
      </c>
      <c r="P907">
        <v>904</v>
      </c>
    </row>
    <row r="908" spans="6:16">
      <c r="F908">
        <v>905</v>
      </c>
      <c r="M908" s="106" t="str">
        <f t="shared" si="25"/>
        <v xml:space="preserve"> </v>
      </c>
      <c r="P908">
        <v>905</v>
      </c>
    </row>
    <row r="909" spans="6:16">
      <c r="F909">
        <v>906</v>
      </c>
      <c r="M909" s="106" t="str">
        <f t="shared" si="25"/>
        <v xml:space="preserve"> </v>
      </c>
      <c r="P909">
        <v>906</v>
      </c>
    </row>
    <row r="910" spans="6:16">
      <c r="F910">
        <v>907</v>
      </c>
      <c r="M910" s="106" t="str">
        <f t="shared" si="25"/>
        <v xml:space="preserve"> </v>
      </c>
      <c r="P910">
        <v>907</v>
      </c>
    </row>
    <row r="911" spans="6:16">
      <c r="F911">
        <v>908</v>
      </c>
      <c r="M911" s="106" t="str">
        <f t="shared" si="25"/>
        <v xml:space="preserve"> </v>
      </c>
      <c r="P911">
        <v>908</v>
      </c>
    </row>
    <row r="912" spans="6:16">
      <c r="F912">
        <v>909</v>
      </c>
      <c r="M912" s="106" t="str">
        <f t="shared" si="25"/>
        <v xml:space="preserve"> </v>
      </c>
      <c r="P912">
        <v>909</v>
      </c>
    </row>
    <row r="913" spans="6:16">
      <c r="F913">
        <v>910</v>
      </c>
      <c r="M913" s="106" t="str">
        <f t="shared" si="25"/>
        <v xml:space="preserve"> </v>
      </c>
      <c r="P913">
        <v>910</v>
      </c>
    </row>
    <row r="914" spans="6:16">
      <c r="F914">
        <v>911</v>
      </c>
      <c r="M914" s="106" t="str">
        <f t="shared" si="25"/>
        <v xml:space="preserve"> </v>
      </c>
      <c r="P914">
        <v>911</v>
      </c>
    </row>
    <row r="915" spans="6:16">
      <c r="F915">
        <v>912</v>
      </c>
      <c r="M915" s="106" t="str">
        <f t="shared" si="25"/>
        <v xml:space="preserve"> </v>
      </c>
      <c r="P915">
        <v>912</v>
      </c>
    </row>
    <row r="916" spans="6:16">
      <c r="F916">
        <v>913</v>
      </c>
      <c r="M916" s="106" t="str">
        <f t="shared" si="25"/>
        <v xml:space="preserve"> </v>
      </c>
      <c r="P916">
        <v>913</v>
      </c>
    </row>
    <row r="917" spans="6:16">
      <c r="F917">
        <v>914</v>
      </c>
      <c r="M917" s="106" t="str">
        <f t="shared" si="25"/>
        <v xml:space="preserve"> </v>
      </c>
      <c r="P917">
        <v>914</v>
      </c>
    </row>
    <row r="918" spans="6:16">
      <c r="F918">
        <v>915</v>
      </c>
      <c r="M918" s="106" t="str">
        <f t="shared" si="25"/>
        <v xml:space="preserve"> </v>
      </c>
      <c r="P918">
        <v>915</v>
      </c>
    </row>
    <row r="919" spans="6:16">
      <c r="F919">
        <v>916</v>
      </c>
      <c r="M919" s="106" t="str">
        <f t="shared" si="25"/>
        <v xml:space="preserve"> </v>
      </c>
      <c r="P919">
        <v>916</v>
      </c>
    </row>
    <row r="920" spans="6:16">
      <c r="F920">
        <v>917</v>
      </c>
      <c r="M920" s="106" t="str">
        <f t="shared" si="25"/>
        <v xml:space="preserve"> </v>
      </c>
      <c r="P920">
        <v>917</v>
      </c>
    </row>
    <row r="921" spans="6:16">
      <c r="F921">
        <v>918</v>
      </c>
      <c r="M921" s="106" t="str">
        <f t="shared" si="25"/>
        <v xml:space="preserve"> </v>
      </c>
      <c r="P921">
        <v>918</v>
      </c>
    </row>
    <row r="922" spans="6:16">
      <c r="F922">
        <v>919</v>
      </c>
      <c r="M922" s="106" t="str">
        <f t="shared" si="25"/>
        <v xml:space="preserve"> </v>
      </c>
      <c r="P922">
        <v>919</v>
      </c>
    </row>
    <row r="923" spans="6:16">
      <c r="F923">
        <v>920</v>
      </c>
      <c r="M923" s="106" t="str">
        <f t="shared" si="25"/>
        <v xml:space="preserve"> </v>
      </c>
      <c r="P923">
        <v>920</v>
      </c>
    </row>
    <row r="924" spans="6:16">
      <c r="F924">
        <v>921</v>
      </c>
      <c r="M924" s="106" t="str">
        <f t="shared" si="25"/>
        <v xml:space="preserve"> </v>
      </c>
      <c r="P924">
        <v>921</v>
      </c>
    </row>
    <row r="925" spans="6:16">
      <c r="F925">
        <v>922</v>
      </c>
      <c r="M925" s="106" t="str">
        <f t="shared" si="25"/>
        <v xml:space="preserve"> </v>
      </c>
      <c r="P925">
        <v>922</v>
      </c>
    </row>
    <row r="926" spans="6:16">
      <c r="F926">
        <v>923</v>
      </c>
      <c r="M926" s="106" t="str">
        <f t="shared" si="25"/>
        <v xml:space="preserve"> </v>
      </c>
      <c r="P926">
        <v>923</v>
      </c>
    </row>
    <row r="927" spans="6:16">
      <c r="F927">
        <v>924</v>
      </c>
      <c r="M927" s="106" t="str">
        <f t="shared" si="25"/>
        <v xml:space="preserve"> </v>
      </c>
      <c r="P927">
        <v>924</v>
      </c>
    </row>
    <row r="928" spans="6:16">
      <c r="F928">
        <v>925</v>
      </c>
      <c r="M928" s="106" t="str">
        <f t="shared" si="25"/>
        <v xml:space="preserve"> </v>
      </c>
      <c r="P928">
        <v>925</v>
      </c>
    </row>
    <row r="929" spans="6:16">
      <c r="F929">
        <v>926</v>
      </c>
      <c r="M929" s="106" t="str">
        <f t="shared" si="25"/>
        <v xml:space="preserve"> </v>
      </c>
      <c r="P929">
        <v>926</v>
      </c>
    </row>
    <row r="930" spans="6:16">
      <c r="F930">
        <v>927</v>
      </c>
      <c r="M930" s="106" t="str">
        <f t="shared" si="25"/>
        <v xml:space="preserve"> </v>
      </c>
      <c r="P930">
        <v>927</v>
      </c>
    </row>
    <row r="931" spans="6:16">
      <c r="F931">
        <v>928</v>
      </c>
      <c r="M931" s="106" t="str">
        <f t="shared" si="25"/>
        <v xml:space="preserve"> </v>
      </c>
      <c r="P931">
        <v>928</v>
      </c>
    </row>
    <row r="932" spans="6:16">
      <c r="F932">
        <v>929</v>
      </c>
      <c r="M932" s="106" t="str">
        <f t="shared" si="25"/>
        <v xml:space="preserve"> </v>
      </c>
      <c r="P932">
        <v>929</v>
      </c>
    </row>
    <row r="933" spans="6:16">
      <c r="F933">
        <v>930</v>
      </c>
      <c r="M933" s="106" t="str">
        <f t="shared" si="25"/>
        <v xml:space="preserve"> </v>
      </c>
      <c r="P933">
        <v>930</v>
      </c>
    </row>
    <row r="934" spans="6:16">
      <c r="F934">
        <v>931</v>
      </c>
      <c r="M934" s="106" t="str">
        <f t="shared" si="25"/>
        <v xml:space="preserve"> </v>
      </c>
      <c r="P934">
        <v>931</v>
      </c>
    </row>
    <row r="935" spans="6:16">
      <c r="F935">
        <v>932</v>
      </c>
      <c r="M935" s="106" t="str">
        <f t="shared" si="25"/>
        <v xml:space="preserve"> </v>
      </c>
      <c r="P935">
        <v>932</v>
      </c>
    </row>
    <row r="936" spans="6:16">
      <c r="F936">
        <v>933</v>
      </c>
      <c r="M936" s="106" t="str">
        <f t="shared" si="25"/>
        <v xml:space="preserve"> </v>
      </c>
      <c r="P936">
        <v>933</v>
      </c>
    </row>
    <row r="937" spans="6:16">
      <c r="F937">
        <v>934</v>
      </c>
      <c r="M937" s="106" t="str">
        <f t="shared" ref="M937:M1000" si="26">IF(ISNUMBER(SEARCH("Unit",$C$19)),F937," ")</f>
        <v xml:space="preserve"> </v>
      </c>
      <c r="P937">
        <v>934</v>
      </c>
    </row>
    <row r="938" spans="6:16">
      <c r="F938">
        <v>935</v>
      </c>
      <c r="M938" s="106" t="str">
        <f t="shared" si="26"/>
        <v xml:space="preserve"> </v>
      </c>
      <c r="P938">
        <v>935</v>
      </c>
    </row>
    <row r="939" spans="6:16">
      <c r="F939">
        <v>936</v>
      </c>
      <c r="M939" s="106" t="str">
        <f t="shared" si="26"/>
        <v xml:space="preserve"> </v>
      </c>
      <c r="P939">
        <v>936</v>
      </c>
    </row>
    <row r="940" spans="6:16">
      <c r="F940">
        <v>937</v>
      </c>
      <c r="M940" s="106" t="str">
        <f t="shared" si="26"/>
        <v xml:space="preserve"> </v>
      </c>
      <c r="P940">
        <v>937</v>
      </c>
    </row>
    <row r="941" spans="6:16">
      <c r="F941">
        <v>938</v>
      </c>
      <c r="M941" s="106" t="str">
        <f t="shared" si="26"/>
        <v xml:space="preserve"> </v>
      </c>
      <c r="P941">
        <v>938</v>
      </c>
    </row>
    <row r="942" spans="6:16">
      <c r="F942">
        <v>939</v>
      </c>
      <c r="M942" s="106" t="str">
        <f t="shared" si="26"/>
        <v xml:space="preserve"> </v>
      </c>
      <c r="P942">
        <v>939</v>
      </c>
    </row>
    <row r="943" spans="6:16">
      <c r="F943">
        <v>940</v>
      </c>
      <c r="M943" s="106" t="str">
        <f t="shared" si="26"/>
        <v xml:space="preserve"> </v>
      </c>
      <c r="P943">
        <v>940</v>
      </c>
    </row>
    <row r="944" spans="6:16">
      <c r="F944">
        <v>941</v>
      </c>
      <c r="M944" s="106" t="str">
        <f t="shared" si="26"/>
        <v xml:space="preserve"> </v>
      </c>
      <c r="P944">
        <v>941</v>
      </c>
    </row>
    <row r="945" spans="6:16">
      <c r="F945">
        <v>942</v>
      </c>
      <c r="M945" s="106" t="str">
        <f t="shared" si="26"/>
        <v xml:space="preserve"> </v>
      </c>
      <c r="P945">
        <v>942</v>
      </c>
    </row>
    <row r="946" spans="6:16">
      <c r="F946">
        <v>943</v>
      </c>
      <c r="M946" s="106" t="str">
        <f t="shared" si="26"/>
        <v xml:space="preserve"> </v>
      </c>
      <c r="P946">
        <v>943</v>
      </c>
    </row>
    <row r="947" spans="6:16">
      <c r="F947">
        <v>944</v>
      </c>
      <c r="M947" s="106" t="str">
        <f t="shared" si="26"/>
        <v xml:space="preserve"> </v>
      </c>
      <c r="P947">
        <v>944</v>
      </c>
    </row>
    <row r="948" spans="6:16">
      <c r="F948">
        <v>945</v>
      </c>
      <c r="M948" s="106" t="str">
        <f t="shared" si="26"/>
        <v xml:space="preserve"> </v>
      </c>
      <c r="P948">
        <v>945</v>
      </c>
    </row>
    <row r="949" spans="6:16">
      <c r="F949">
        <v>946</v>
      </c>
      <c r="M949" s="106" t="str">
        <f t="shared" si="26"/>
        <v xml:space="preserve"> </v>
      </c>
      <c r="P949">
        <v>946</v>
      </c>
    </row>
    <row r="950" spans="6:16">
      <c r="F950">
        <v>947</v>
      </c>
      <c r="M950" s="106" t="str">
        <f t="shared" si="26"/>
        <v xml:space="preserve"> </v>
      </c>
      <c r="P950">
        <v>947</v>
      </c>
    </row>
    <row r="951" spans="6:16">
      <c r="F951">
        <v>948</v>
      </c>
      <c r="M951" s="106" t="str">
        <f t="shared" si="26"/>
        <v xml:space="preserve"> </v>
      </c>
      <c r="P951">
        <v>948</v>
      </c>
    </row>
    <row r="952" spans="6:16">
      <c r="F952">
        <v>949</v>
      </c>
      <c r="M952" s="106" t="str">
        <f t="shared" si="26"/>
        <v xml:space="preserve"> </v>
      </c>
      <c r="P952">
        <v>949</v>
      </c>
    </row>
    <row r="953" spans="6:16">
      <c r="F953">
        <v>950</v>
      </c>
      <c r="M953" s="106" t="str">
        <f t="shared" si="26"/>
        <v xml:space="preserve"> </v>
      </c>
      <c r="P953">
        <v>950</v>
      </c>
    </row>
    <row r="954" spans="6:16">
      <c r="F954">
        <v>951</v>
      </c>
      <c r="M954" s="106" t="str">
        <f t="shared" si="26"/>
        <v xml:space="preserve"> </v>
      </c>
      <c r="P954">
        <v>951</v>
      </c>
    </row>
    <row r="955" spans="6:16">
      <c r="F955">
        <v>952</v>
      </c>
      <c r="M955" s="106" t="str">
        <f t="shared" si="26"/>
        <v xml:space="preserve"> </v>
      </c>
      <c r="P955">
        <v>952</v>
      </c>
    </row>
    <row r="956" spans="6:16">
      <c r="F956">
        <v>953</v>
      </c>
      <c r="M956" s="106" t="str">
        <f t="shared" si="26"/>
        <v xml:space="preserve"> </v>
      </c>
      <c r="P956">
        <v>953</v>
      </c>
    </row>
    <row r="957" spans="6:16">
      <c r="F957">
        <v>954</v>
      </c>
      <c r="M957" s="106" t="str">
        <f t="shared" si="26"/>
        <v xml:space="preserve"> </v>
      </c>
      <c r="P957">
        <v>954</v>
      </c>
    </row>
    <row r="958" spans="6:16">
      <c r="F958">
        <v>955</v>
      </c>
      <c r="M958" s="106" t="str">
        <f t="shared" si="26"/>
        <v xml:space="preserve"> </v>
      </c>
      <c r="P958">
        <v>955</v>
      </c>
    </row>
    <row r="959" spans="6:16">
      <c r="F959">
        <v>956</v>
      </c>
      <c r="M959" s="106" t="str">
        <f t="shared" si="26"/>
        <v xml:space="preserve"> </v>
      </c>
      <c r="P959">
        <v>956</v>
      </c>
    </row>
    <row r="960" spans="6:16">
      <c r="F960">
        <v>957</v>
      </c>
      <c r="M960" s="106" t="str">
        <f t="shared" si="26"/>
        <v xml:space="preserve"> </v>
      </c>
      <c r="P960">
        <v>957</v>
      </c>
    </row>
    <row r="961" spans="6:16">
      <c r="F961">
        <v>958</v>
      </c>
      <c r="M961" s="106" t="str">
        <f t="shared" si="26"/>
        <v xml:space="preserve"> </v>
      </c>
      <c r="P961">
        <v>958</v>
      </c>
    </row>
    <row r="962" spans="6:16">
      <c r="F962">
        <v>959</v>
      </c>
      <c r="M962" s="106" t="str">
        <f t="shared" si="26"/>
        <v xml:space="preserve"> </v>
      </c>
      <c r="P962">
        <v>959</v>
      </c>
    </row>
    <row r="963" spans="6:16">
      <c r="F963">
        <v>960</v>
      </c>
      <c r="M963" s="106" t="str">
        <f t="shared" si="26"/>
        <v xml:space="preserve"> </v>
      </c>
      <c r="P963">
        <v>960</v>
      </c>
    </row>
    <row r="964" spans="6:16">
      <c r="F964">
        <v>961</v>
      </c>
      <c r="M964" s="106" t="str">
        <f t="shared" si="26"/>
        <v xml:space="preserve"> </v>
      </c>
      <c r="P964">
        <v>961</v>
      </c>
    </row>
    <row r="965" spans="6:16">
      <c r="F965">
        <v>962</v>
      </c>
      <c r="M965" s="106" t="str">
        <f t="shared" si="26"/>
        <v xml:space="preserve"> </v>
      </c>
      <c r="P965">
        <v>962</v>
      </c>
    </row>
    <row r="966" spans="6:16">
      <c r="F966">
        <v>963</v>
      </c>
      <c r="M966" s="106" t="str">
        <f t="shared" si="26"/>
        <v xml:space="preserve"> </v>
      </c>
      <c r="P966">
        <v>963</v>
      </c>
    </row>
    <row r="967" spans="6:16">
      <c r="F967">
        <v>964</v>
      </c>
      <c r="M967" s="106" t="str">
        <f t="shared" si="26"/>
        <v xml:space="preserve"> </v>
      </c>
      <c r="P967">
        <v>964</v>
      </c>
    </row>
    <row r="968" spans="6:16">
      <c r="F968">
        <v>965</v>
      </c>
      <c r="M968" s="106" t="str">
        <f t="shared" si="26"/>
        <v xml:space="preserve"> </v>
      </c>
      <c r="P968">
        <v>965</v>
      </c>
    </row>
    <row r="969" spans="6:16">
      <c r="F969">
        <v>966</v>
      </c>
      <c r="M969" s="106" t="str">
        <f t="shared" si="26"/>
        <v xml:space="preserve"> </v>
      </c>
      <c r="P969">
        <v>966</v>
      </c>
    </row>
    <row r="970" spans="6:16">
      <c r="F970">
        <v>967</v>
      </c>
      <c r="M970" s="106" t="str">
        <f t="shared" si="26"/>
        <v xml:space="preserve"> </v>
      </c>
      <c r="P970">
        <v>967</v>
      </c>
    </row>
    <row r="971" spans="6:16">
      <c r="F971">
        <v>968</v>
      </c>
      <c r="M971" s="106" t="str">
        <f t="shared" si="26"/>
        <v xml:space="preserve"> </v>
      </c>
      <c r="P971">
        <v>968</v>
      </c>
    </row>
    <row r="972" spans="6:16">
      <c r="F972">
        <v>969</v>
      </c>
      <c r="M972" s="106" t="str">
        <f t="shared" si="26"/>
        <v xml:space="preserve"> </v>
      </c>
      <c r="P972">
        <v>969</v>
      </c>
    </row>
    <row r="973" spans="6:16">
      <c r="F973">
        <v>970</v>
      </c>
      <c r="M973" s="106" t="str">
        <f t="shared" si="26"/>
        <v xml:space="preserve"> </v>
      </c>
      <c r="P973">
        <v>970</v>
      </c>
    </row>
    <row r="974" spans="6:16">
      <c r="F974">
        <v>971</v>
      </c>
      <c r="M974" s="106" t="str">
        <f t="shared" si="26"/>
        <v xml:space="preserve"> </v>
      </c>
      <c r="P974">
        <v>971</v>
      </c>
    </row>
    <row r="975" spans="6:16">
      <c r="F975">
        <v>972</v>
      </c>
      <c r="M975" s="106" t="str">
        <f t="shared" si="26"/>
        <v xml:space="preserve"> </v>
      </c>
      <c r="P975">
        <v>972</v>
      </c>
    </row>
    <row r="976" spans="6:16">
      <c r="F976">
        <v>973</v>
      </c>
      <c r="M976" s="106" t="str">
        <f t="shared" si="26"/>
        <v xml:space="preserve"> </v>
      </c>
      <c r="P976">
        <v>973</v>
      </c>
    </row>
    <row r="977" spans="6:16">
      <c r="F977">
        <v>974</v>
      </c>
      <c r="M977" s="106" t="str">
        <f t="shared" si="26"/>
        <v xml:space="preserve"> </v>
      </c>
      <c r="P977">
        <v>974</v>
      </c>
    </row>
    <row r="978" spans="6:16">
      <c r="F978">
        <v>975</v>
      </c>
      <c r="M978" s="106" t="str">
        <f t="shared" si="26"/>
        <v xml:space="preserve"> </v>
      </c>
      <c r="P978">
        <v>975</v>
      </c>
    </row>
    <row r="979" spans="6:16">
      <c r="F979">
        <v>976</v>
      </c>
      <c r="M979" s="106" t="str">
        <f t="shared" si="26"/>
        <v xml:space="preserve"> </v>
      </c>
      <c r="P979">
        <v>976</v>
      </c>
    </row>
    <row r="980" spans="6:16">
      <c r="F980">
        <v>977</v>
      </c>
      <c r="M980" s="106" t="str">
        <f t="shared" si="26"/>
        <v xml:space="preserve"> </v>
      </c>
      <c r="P980">
        <v>977</v>
      </c>
    </row>
    <row r="981" spans="6:16">
      <c r="F981">
        <v>978</v>
      </c>
      <c r="M981" s="106" t="str">
        <f t="shared" si="26"/>
        <v xml:space="preserve"> </v>
      </c>
      <c r="P981">
        <v>978</v>
      </c>
    </row>
    <row r="982" spans="6:16">
      <c r="F982">
        <v>979</v>
      </c>
      <c r="M982" s="106" t="str">
        <f t="shared" si="26"/>
        <v xml:space="preserve"> </v>
      </c>
      <c r="P982">
        <v>979</v>
      </c>
    </row>
    <row r="983" spans="6:16">
      <c r="F983">
        <v>980</v>
      </c>
      <c r="M983" s="106" t="str">
        <f t="shared" si="26"/>
        <v xml:space="preserve"> </v>
      </c>
      <c r="P983">
        <v>980</v>
      </c>
    </row>
    <row r="984" spans="6:16">
      <c r="F984">
        <v>981</v>
      </c>
      <c r="M984" s="106" t="str">
        <f t="shared" si="26"/>
        <v xml:space="preserve"> </v>
      </c>
      <c r="P984">
        <v>981</v>
      </c>
    </row>
    <row r="985" spans="6:16">
      <c r="F985">
        <v>982</v>
      </c>
      <c r="M985" s="106" t="str">
        <f t="shared" si="26"/>
        <v xml:space="preserve"> </v>
      </c>
      <c r="P985">
        <v>982</v>
      </c>
    </row>
    <row r="986" spans="6:16">
      <c r="F986">
        <v>983</v>
      </c>
      <c r="M986" s="106" t="str">
        <f t="shared" si="26"/>
        <v xml:space="preserve"> </v>
      </c>
      <c r="P986">
        <v>983</v>
      </c>
    </row>
    <row r="987" spans="6:16">
      <c r="F987">
        <v>984</v>
      </c>
      <c r="M987" s="106" t="str">
        <f t="shared" si="26"/>
        <v xml:space="preserve"> </v>
      </c>
      <c r="P987">
        <v>984</v>
      </c>
    </row>
    <row r="988" spans="6:16">
      <c r="F988">
        <v>985</v>
      </c>
      <c r="M988" s="106" t="str">
        <f t="shared" si="26"/>
        <v xml:space="preserve"> </v>
      </c>
      <c r="P988">
        <v>985</v>
      </c>
    </row>
    <row r="989" spans="6:16">
      <c r="F989">
        <v>986</v>
      </c>
      <c r="M989" s="106" t="str">
        <f t="shared" si="26"/>
        <v xml:space="preserve"> </v>
      </c>
      <c r="P989">
        <v>986</v>
      </c>
    </row>
    <row r="990" spans="6:16">
      <c r="F990">
        <v>987</v>
      </c>
      <c r="M990" s="106" t="str">
        <f t="shared" si="26"/>
        <v xml:space="preserve"> </v>
      </c>
      <c r="P990">
        <v>987</v>
      </c>
    </row>
    <row r="991" spans="6:16">
      <c r="F991">
        <v>988</v>
      </c>
      <c r="M991" s="106" t="str">
        <f t="shared" si="26"/>
        <v xml:space="preserve"> </v>
      </c>
      <c r="P991">
        <v>988</v>
      </c>
    </row>
    <row r="992" spans="6:16">
      <c r="F992">
        <v>989</v>
      </c>
      <c r="M992" s="106" t="str">
        <f t="shared" si="26"/>
        <v xml:space="preserve"> </v>
      </c>
      <c r="P992">
        <v>989</v>
      </c>
    </row>
    <row r="993" spans="6:16">
      <c r="F993">
        <v>990</v>
      </c>
      <c r="M993" s="106" t="str">
        <f t="shared" si="26"/>
        <v xml:space="preserve"> </v>
      </c>
      <c r="P993">
        <v>990</v>
      </c>
    </row>
    <row r="994" spans="6:16">
      <c r="F994">
        <v>991</v>
      </c>
      <c r="M994" s="106" t="str">
        <f t="shared" si="26"/>
        <v xml:space="preserve"> </v>
      </c>
      <c r="P994">
        <v>991</v>
      </c>
    </row>
    <row r="995" spans="6:16">
      <c r="F995">
        <v>992</v>
      </c>
      <c r="M995" s="106" t="str">
        <f t="shared" si="26"/>
        <v xml:space="preserve"> </v>
      </c>
      <c r="P995">
        <v>992</v>
      </c>
    </row>
    <row r="996" spans="6:16">
      <c r="F996">
        <v>993</v>
      </c>
      <c r="M996" s="106" t="str">
        <f t="shared" si="26"/>
        <v xml:space="preserve"> </v>
      </c>
      <c r="P996">
        <v>993</v>
      </c>
    </row>
    <row r="997" spans="6:16">
      <c r="F997">
        <v>994</v>
      </c>
      <c r="M997" s="106" t="str">
        <f t="shared" si="26"/>
        <v xml:space="preserve"> </v>
      </c>
      <c r="P997">
        <v>994</v>
      </c>
    </row>
    <row r="998" spans="6:16">
      <c r="F998">
        <v>995</v>
      </c>
      <c r="M998" s="106" t="str">
        <f t="shared" si="26"/>
        <v xml:space="preserve"> </v>
      </c>
      <c r="P998">
        <v>995</v>
      </c>
    </row>
    <row r="999" spans="6:16">
      <c r="F999">
        <v>996</v>
      </c>
      <c r="M999" s="106" t="str">
        <f t="shared" si="26"/>
        <v xml:space="preserve"> </v>
      </c>
      <c r="P999">
        <v>996</v>
      </c>
    </row>
    <row r="1000" spans="6:16">
      <c r="F1000">
        <v>997</v>
      </c>
      <c r="M1000" s="106" t="str">
        <f t="shared" si="26"/>
        <v xml:space="preserve"> </v>
      </c>
      <c r="P1000">
        <v>997</v>
      </c>
    </row>
    <row r="1001" spans="6:16">
      <c r="F1001">
        <v>998</v>
      </c>
      <c r="M1001" s="106" t="str">
        <f t="shared" ref="M1001:M1003" si="27">IF(ISNUMBER(SEARCH("Unit",$C$19)),F1001," ")</f>
        <v xml:space="preserve"> </v>
      </c>
      <c r="P1001">
        <v>998</v>
      </c>
    </row>
    <row r="1002" spans="6:16">
      <c r="F1002">
        <v>999</v>
      </c>
      <c r="M1002" s="106" t="str">
        <f t="shared" si="27"/>
        <v xml:space="preserve"> </v>
      </c>
      <c r="P1002">
        <v>999</v>
      </c>
    </row>
    <row r="1003" spans="6:16">
      <c r="F1003">
        <v>1000</v>
      </c>
      <c r="M1003" s="106" t="str">
        <f t="shared" si="27"/>
        <v xml:space="preserve"> </v>
      </c>
      <c r="P1003">
        <v>1000</v>
      </c>
    </row>
  </sheetData>
  <mergeCells count="3">
    <mergeCell ref="V7:Y7"/>
    <mergeCell ref="Z7:AC7"/>
    <mergeCell ref="AD7:AG7"/>
  </mergeCells>
  <phoneticPr fontId="4" type="noConversion"/>
  <dataValidations count="7">
    <dataValidation type="list" allowBlank="1" showInputMessage="1" showErrorMessage="1" sqref="C32 C21" xr:uid="{339A1D36-4141-49D6-B4B1-B9631910E844}">
      <formula1>$M$4:$M$1003</formula1>
    </dataValidation>
    <dataValidation type="list" allowBlank="1" showInputMessage="1" showErrorMessage="1" sqref="C33" xr:uid="{BCCD6811-05D8-4483-B07B-F018757E93F1}">
      <formula1>$N$4:$N$103</formula1>
    </dataValidation>
    <dataValidation type="list" allowBlank="1" showInputMessage="1" showErrorMessage="1" sqref="C35" xr:uid="{79D63997-03EB-4102-91E7-A43FEB6B10E3}">
      <formula1>$S$4:$S$5</formula1>
    </dataValidation>
    <dataValidation type="list" allowBlank="1" showInputMessage="1" showErrorMessage="1" sqref="C20" xr:uid="{5E830DCB-A338-44A7-A644-4399FD97C466}">
      <formula1>$T$4:$T$11</formula1>
    </dataValidation>
    <dataValidation type="list" allowBlank="1" showInputMessage="1" showErrorMessage="1" sqref="C19" xr:uid="{0ADFF515-1876-4D1B-A628-D9D2CDDFF84F}">
      <formula1>$K$20:$K$31</formula1>
    </dataValidation>
    <dataValidation type="list" allowBlank="1" showInputMessage="1" showErrorMessage="1" sqref="C22" xr:uid="{D4933FCE-B059-4B2D-8A71-85E97BD161C7}">
      <formula1>$R$4:$R$38</formula1>
    </dataValidation>
    <dataValidation type="list" allowBlank="1" showInputMessage="1" showErrorMessage="1" sqref="C34" xr:uid="{BD5FA261-5673-4311-A468-DAF64BE80D11}">
      <formula1>$Q$42:$Q$75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451E3-8798-45B1-B187-7DBB195197AD}">
  <dimension ref="A1:AE45"/>
  <sheetViews>
    <sheetView zoomScale="85" zoomScaleNormal="85" workbookViewId="0">
      <selection activeCell="F10" sqref="F10"/>
    </sheetView>
  </sheetViews>
  <sheetFormatPr defaultRowHeight="15"/>
  <cols>
    <col min="2" max="2" width="53.85546875" bestFit="1" customWidth="1"/>
    <col min="3" max="3" width="37.7109375" bestFit="1" customWidth="1"/>
    <col min="5" max="5" width="11.5703125" bestFit="1" customWidth="1"/>
    <col min="9" max="9" width="10.5703125" bestFit="1" customWidth="1"/>
    <col min="13" max="13" width="11" bestFit="1" customWidth="1"/>
    <col min="17" max="17" width="10" bestFit="1" customWidth="1"/>
    <col min="19" max="19" width="17.85546875" bestFit="1" customWidth="1"/>
    <col min="20" max="20" width="9.42578125" bestFit="1" customWidth="1"/>
    <col min="21" max="21" width="9.7109375" bestFit="1" customWidth="1"/>
    <col min="22" max="22" width="15.7109375" bestFit="1" customWidth="1"/>
    <col min="23" max="23" width="27.5703125" bestFit="1" customWidth="1"/>
    <col min="24" max="25" width="13.7109375" bestFit="1" customWidth="1"/>
    <col min="26" max="26" width="14.140625" bestFit="1" customWidth="1"/>
    <col min="27" max="27" width="33.7109375" bestFit="1" customWidth="1"/>
    <col min="28" max="28" width="24.140625" customWidth="1"/>
    <col min="29" max="29" width="22.42578125" customWidth="1"/>
    <col min="30" max="30" width="15.28515625" customWidth="1"/>
  </cols>
  <sheetData>
    <row r="1" spans="1:29" ht="15.75" thickBot="1">
      <c r="A1" s="57"/>
      <c r="B1" s="57"/>
      <c r="C1" s="58"/>
      <c r="D1" s="58"/>
      <c r="E1" s="58"/>
      <c r="F1" s="57"/>
      <c r="G1" s="57"/>
      <c r="H1" s="57"/>
      <c r="I1" s="57"/>
      <c r="J1" s="58"/>
      <c r="K1" s="58"/>
      <c r="L1" s="58"/>
      <c r="M1" s="58"/>
      <c r="N1" s="57"/>
      <c r="O1" s="57"/>
      <c r="P1" s="57"/>
      <c r="Q1" s="57"/>
      <c r="R1" s="57"/>
      <c r="S1" s="59"/>
      <c r="T1" s="57"/>
      <c r="U1" s="57"/>
      <c r="V1" s="57"/>
      <c r="W1" s="57"/>
      <c r="X1" s="57"/>
      <c r="Y1" s="57"/>
      <c r="Z1" s="57" t="s">
        <v>94</v>
      </c>
      <c r="AA1" s="57" t="s">
        <v>95</v>
      </c>
    </row>
    <row r="2" spans="1:29" ht="17.25" thickTop="1" thickBot="1">
      <c r="A2" s="59"/>
      <c r="B2" s="57" t="s">
        <v>121</v>
      </c>
      <c r="C2" s="57">
        <v>1</v>
      </c>
      <c r="D2" s="57"/>
      <c r="E2" s="57" t="s">
        <v>129</v>
      </c>
      <c r="F2" s="57"/>
      <c r="G2" s="57">
        <f>Calculator!$C$34</f>
        <v>2016</v>
      </c>
      <c r="H2" s="57"/>
      <c r="I2" s="57"/>
      <c r="J2" s="58"/>
      <c r="K2" s="58"/>
      <c r="L2" s="58"/>
      <c r="M2" s="110" t="s">
        <v>96</v>
      </c>
      <c r="N2" s="111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</row>
    <row r="3" spans="1:29" ht="15.75" thickTop="1">
      <c r="A3" s="59"/>
      <c r="B3" s="57" t="s">
        <v>120</v>
      </c>
      <c r="C3" s="57">
        <f>Calculator!C32</f>
        <v>20</v>
      </c>
      <c r="D3" s="57"/>
      <c r="E3" s="57" t="s">
        <v>130</v>
      </c>
      <c r="F3" s="57"/>
      <c r="G3" s="57">
        <f>Calculator!$C$22</f>
        <v>2001</v>
      </c>
      <c r="H3" s="57"/>
      <c r="I3" s="57" t="s">
        <v>131</v>
      </c>
      <c r="J3" s="60"/>
      <c r="K3" s="61">
        <f>G2-G3</f>
        <v>15</v>
      </c>
      <c r="L3" s="57">
        <f>K3*5%</f>
        <v>0.75</v>
      </c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</row>
    <row r="4" spans="1:29" ht="15.75" thickBot="1">
      <c r="A4" s="59"/>
      <c r="B4" s="57" t="s">
        <v>122</v>
      </c>
      <c r="C4" s="57">
        <f>C2/C3</f>
        <v>0.05</v>
      </c>
      <c r="D4" s="57"/>
      <c r="E4" s="57"/>
      <c r="F4" s="57"/>
      <c r="G4" s="57"/>
      <c r="H4" s="57"/>
      <c r="I4" s="57"/>
      <c r="J4" s="60"/>
      <c r="K4" s="61"/>
      <c r="L4" s="57"/>
      <c r="M4" s="57"/>
      <c r="N4" s="57"/>
      <c r="O4" s="62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</row>
    <row r="5" spans="1:29" ht="45.75" thickTop="1">
      <c r="A5" s="63" t="s">
        <v>97</v>
      </c>
      <c r="B5" s="64"/>
      <c r="C5" s="65" t="s">
        <v>98</v>
      </c>
      <c r="D5" s="64"/>
      <c r="E5" s="66"/>
      <c r="F5" s="64"/>
      <c r="G5" s="67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8" t="s">
        <v>99</v>
      </c>
      <c r="X5" s="68"/>
      <c r="Y5" s="68"/>
      <c r="Z5" s="68"/>
      <c r="AA5" s="68"/>
    </row>
    <row r="6" spans="1:29" ht="15.75">
      <c r="A6" s="112" t="s">
        <v>81</v>
      </c>
      <c r="B6" s="69"/>
      <c r="C6" s="69">
        <v>2</v>
      </c>
      <c r="D6" s="69"/>
      <c r="E6" s="69"/>
      <c r="F6" s="69"/>
      <c r="G6" s="70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 t="s">
        <v>100</v>
      </c>
      <c r="W6" s="71">
        <f>Calculator!$E$34</f>
        <v>42552</v>
      </c>
      <c r="X6" s="71">
        <f>W6+366</f>
        <v>42918</v>
      </c>
      <c r="Y6" s="71">
        <f>X6+365</f>
        <v>43283</v>
      </c>
      <c r="Z6" s="71">
        <f>Y6+365</f>
        <v>43648</v>
      </c>
      <c r="AA6" s="71">
        <f>Z6+365</f>
        <v>44013</v>
      </c>
    </row>
    <row r="7" spans="1:29" ht="16.5" thickBot="1">
      <c r="A7" s="113"/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 t="s">
        <v>101</v>
      </c>
      <c r="W7" s="71">
        <f>Calculator!$E$34+365</f>
        <v>42917</v>
      </c>
      <c r="X7" s="73">
        <f>DATE(YEAR(X6),MONTH(X6)+MOD((6-MONTH(X6)),12),30)</f>
        <v>43281</v>
      </c>
      <c r="Y7" s="73">
        <f>DATE(YEAR(Y6),MONTH(Y6)+MOD((6-MONTH(Y6)),12),30)</f>
        <v>43646</v>
      </c>
      <c r="Z7" s="73">
        <f t="shared" ref="Z7:AA7" si="0">DATE(YEAR(Z6),MONTH(Z6)+MOD((6-MONTH(Z6)),12),30)</f>
        <v>44012</v>
      </c>
      <c r="AA7" s="73">
        <f t="shared" si="0"/>
        <v>44377</v>
      </c>
    </row>
    <row r="8" spans="1:29" ht="75.75" thickTop="1">
      <c r="A8" s="23">
        <v>1</v>
      </c>
      <c r="B8" s="24" t="s">
        <v>63</v>
      </c>
      <c r="C8" s="24" t="s">
        <v>64</v>
      </c>
      <c r="D8" s="24" t="s">
        <v>60</v>
      </c>
      <c r="E8" s="24" t="s">
        <v>61</v>
      </c>
      <c r="F8" s="24" t="s">
        <v>65</v>
      </c>
      <c r="G8" s="24" t="s">
        <v>66</v>
      </c>
      <c r="H8" s="24" t="s">
        <v>62</v>
      </c>
      <c r="I8" s="24" t="s">
        <v>67</v>
      </c>
      <c r="J8" s="25" t="s">
        <v>68</v>
      </c>
      <c r="K8" s="25" t="s">
        <v>69</v>
      </c>
      <c r="L8" s="25" t="s">
        <v>70</v>
      </c>
      <c r="M8" s="25" t="s">
        <v>71</v>
      </c>
      <c r="N8" s="25" t="s">
        <v>72</v>
      </c>
      <c r="O8" s="25" t="s">
        <v>73</v>
      </c>
      <c r="P8" s="25" t="s">
        <v>74</v>
      </c>
      <c r="Q8" s="24" t="s">
        <v>75</v>
      </c>
      <c r="R8" s="24" t="s">
        <v>76</v>
      </c>
      <c r="S8" s="24" t="s">
        <v>77</v>
      </c>
      <c r="T8" s="24" t="s">
        <v>78</v>
      </c>
      <c r="U8" s="24" t="s">
        <v>79</v>
      </c>
      <c r="V8" s="24" t="s">
        <v>80</v>
      </c>
      <c r="W8" s="24">
        <v>1</v>
      </c>
      <c r="X8" s="24">
        <v>2</v>
      </c>
      <c r="Y8" s="24">
        <v>3</v>
      </c>
      <c r="Z8" s="24">
        <v>4</v>
      </c>
      <c r="AA8" s="24">
        <v>5</v>
      </c>
    </row>
    <row r="9" spans="1:29" ht="15.75">
      <c r="A9" s="26" t="s">
        <v>81</v>
      </c>
      <c r="B9" s="27" t="s">
        <v>82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9"/>
      <c r="R9" s="28"/>
      <c r="S9" s="28"/>
      <c r="T9" s="28"/>
      <c r="U9" s="28"/>
      <c r="V9" s="28"/>
      <c r="W9" s="28"/>
      <c r="X9" s="28"/>
      <c r="Y9" s="28"/>
      <c r="Z9" s="28"/>
      <c r="AA9" s="28"/>
      <c r="AB9" s="28" t="s">
        <v>109</v>
      </c>
      <c r="AC9" s="28" t="s">
        <v>110</v>
      </c>
    </row>
    <row r="10" spans="1:29" ht="16.5">
      <c r="A10" s="30" t="str">
        <f ca="1">IF($Q10&lt;=301,"Y","N")</f>
        <v>N</v>
      </c>
      <c r="B10" s="31" t="s">
        <v>83</v>
      </c>
      <c r="C10" s="32">
        <f>Calculator!$E$34</f>
        <v>42552</v>
      </c>
      <c r="D10" s="33" t="str">
        <f>IF(SUM(COUNTIF(B10,{"*Blinds*","*Curtains*"})),"50","1")</f>
        <v>1</v>
      </c>
      <c r="E10" s="34">
        <f>Calculator!$C$21*0.4</f>
        <v>56</v>
      </c>
      <c r="F10" s="35" t="str">
        <f>IF(ISNUMBER(SEARCH("Medium",Calculator!$C$19)),"60",IF(ISNUMBER(SEARCH("Low",Calculator!$C$19)),"50","75"))</f>
        <v>50</v>
      </c>
      <c r="G10" s="36" t="s">
        <v>84</v>
      </c>
      <c r="H10" s="37">
        <v>10</v>
      </c>
      <c r="I10" s="38">
        <f>E10*F10</f>
        <v>2800</v>
      </c>
      <c r="J10" s="39">
        <v>0</v>
      </c>
      <c r="K10" s="39">
        <f t="shared" ref="K10:K19" ca="1" si="1">Q10/D10</f>
        <v>386.51234567901236</v>
      </c>
      <c r="L10" s="40">
        <v>0</v>
      </c>
      <c r="M10" s="41">
        <f>I10+L10</f>
        <v>2800</v>
      </c>
      <c r="N10" s="42">
        <f ca="1">Calculator!$J$7</f>
        <v>0.55216049382716048</v>
      </c>
      <c r="O10" s="43">
        <f ca="1">Q10/D10</f>
        <v>386.51234567901236</v>
      </c>
      <c r="P10" s="44">
        <f>IF($L$3&gt;=1,5%,100%-$L$3)</f>
        <v>0.25</v>
      </c>
      <c r="Q10" s="45">
        <f ca="1">IF(G10="Y",I10*S10,((M10+J10)*P10)*N10*S10)</f>
        <v>386.51234567901236</v>
      </c>
      <c r="R10" s="46">
        <v>100</v>
      </c>
      <c r="S10" s="47">
        <v>1</v>
      </c>
      <c r="T10" s="48">
        <v>0.2</v>
      </c>
      <c r="U10" s="48">
        <f>(100/H10)/100</f>
        <v>0.1</v>
      </c>
      <c r="V10" s="49">
        <f ca="1">IF(G10="Y",I10,(I10+L10)*P10*N10)</f>
        <v>386.51234567901236</v>
      </c>
      <c r="W10" s="50">
        <f ca="1">IF(OR(H10=1,H10=2),Q10,ROUND(IF(AND(A10="Y",C10&lt;=W$7+1,$C10&gt;=W$6),$Q10,IF(BM10="Y",$Q10*0.1875,IF($C10&lt;=$W$7+1,$Q10*$T10*($W$7+1-$C10)/365,0))),$C$6))</f>
        <v>77.510000000000005</v>
      </c>
      <c r="X10" s="50">
        <f ca="1">ROUND(IF(BN10="Y",IF($C10&gt;X$6,$Q10*0.1875,($Q10-SUM($W10:W10))*0.375),IF($C10&lt;X$6,($Q10-SUM($W10:W10))*$T10,IF($C10&lt;=X$7,$Q10*$T10*(X$7-$C10)/365,0))),$C$6)</f>
        <v>61.8</v>
      </c>
      <c r="Y10" s="50">
        <f ca="1">ROUND(IF(BO10="Y",IF($C10&gt;Y$6,$Q10*0.1875,($Q10-SUM($W10:X10))*0.375),IF($C10&lt;Y$6,($Q10-SUM($W10:X10))*$T10,IF($C10&lt;=Y$7,$Q10*$T10*(Y$7-$C10)/365,0))),$C$6)</f>
        <v>49.44</v>
      </c>
      <c r="Z10" s="50">
        <f ca="1">ROUND(IF(BP10="Y",IF($C10&gt;Z$6,$Q10*0.1875,($Q10-SUM($W10:Y10))*0.375),IF($C10&lt;Z$6,($Q10-SUM($W10:Y10))*$T10,IF($C10&lt;=Z$7,$Q10*$T10*(Z$7-$C10)/365,0))),$C$6)</f>
        <v>39.549999999999997</v>
      </c>
      <c r="AA10" s="50">
        <f ca="1">ROUND(IF(BQ10="Y",IF($C10&gt;AA$6,$Q10*0.1875,($Q10-SUM($W10:Z10))*0.375),IF($C10&lt;AA$6,($Q10-SUM($W10:Z10))*$T10,IF($C10&lt;=AA$7,$Q10*$T10*(AA$7-$C10)/365,0))),$C$6)</f>
        <v>31.64</v>
      </c>
      <c r="AB10" s="100">
        <f ca="1">W10+X10+Y10+Z10+AA10</f>
        <v>259.94</v>
      </c>
      <c r="AC10" s="100">
        <f ca="1">SUM(AB10:AB25)</f>
        <v>2550.4800000000005</v>
      </c>
    </row>
    <row r="11" spans="1:29" ht="16.5">
      <c r="A11" s="30" t="str">
        <f ca="1">IF($Q11&lt;=301,"Y","N")</f>
        <v>Y</v>
      </c>
      <c r="B11" s="31" t="s">
        <v>102</v>
      </c>
      <c r="C11" s="32">
        <f>Calculator!$E$34</f>
        <v>42552</v>
      </c>
      <c r="D11" s="34">
        <f>Calculator!C21/10</f>
        <v>14</v>
      </c>
      <c r="E11" s="34">
        <f>Calculator!$C$21/10</f>
        <v>14</v>
      </c>
      <c r="F11" s="35" t="str">
        <f>IF(ISNUMBER(SEARCH("Medium",Calculator!$C$19)),"55",IF(ISNUMBER(SEARCH("Low",Calculator!$C$19)),"45","65"))</f>
        <v>45</v>
      </c>
      <c r="G11" s="36" t="s">
        <v>84</v>
      </c>
      <c r="H11" s="37">
        <v>5</v>
      </c>
      <c r="I11" s="38">
        <f t="shared" ref="I11:I19" si="2">E11*F11</f>
        <v>630</v>
      </c>
      <c r="J11" s="39">
        <v>0</v>
      </c>
      <c r="K11" s="39">
        <f t="shared" ca="1" si="1"/>
        <v>6.2118055555555554</v>
      </c>
      <c r="L11" s="40">
        <v>0</v>
      </c>
      <c r="M11" s="41">
        <f t="shared" ref="M11:M19" si="3">I11+L11</f>
        <v>630</v>
      </c>
      <c r="N11" s="42">
        <f ca="1">Calculator!$J$7</f>
        <v>0.55216049382716048</v>
      </c>
      <c r="O11" s="43">
        <f t="shared" ref="O11:O19" ca="1" si="4">Q11/D11</f>
        <v>6.2118055555555554</v>
      </c>
      <c r="P11" s="44">
        <f t="shared" ref="P11:P25" si="5">IF($L$3&gt;=1,5%,100%-$L$3)</f>
        <v>0.25</v>
      </c>
      <c r="Q11" s="45">
        <f ca="1">IF(G11="Y",I11*S11,((M11+J11)*P11)*N11*S11)</f>
        <v>86.965277777777771</v>
      </c>
      <c r="R11" s="46">
        <v>100</v>
      </c>
      <c r="S11" s="47">
        <v>1</v>
      </c>
      <c r="T11" s="48">
        <v>0.4</v>
      </c>
      <c r="U11" s="48">
        <f>(100/H11)/100</f>
        <v>0.2</v>
      </c>
      <c r="V11" s="49">
        <f t="shared" ref="V11:V19" ca="1" si="6">IF(G11="Y",I11,(I11+L11)*P11*N11)</f>
        <v>86.965277777777771</v>
      </c>
      <c r="W11" s="50">
        <f ca="1">IF(OR(H11=1,H11=2),Q11,ROUND(IF(AND(A11="Y",C11&lt;=W$7+1,$C11&gt;=W$6),$Q11,IF(BM11="Y",$Q11*0.1875,IF($C11&lt;=$W$7+1,$Q11*$T11*($W$7+1-$C11)/365,0))),$C$6))</f>
        <v>86.97</v>
      </c>
      <c r="X11" s="50">
        <f ca="1">ROUND(IF(BN11="Y",IF($C11&gt;X$6,$Q11*0.1875,($Q11-SUM($W11:W11))*0.375),IF($C11&lt;X$6,($Q11-SUM($W11:W11))*$T11,IF($C11&lt;=X$7,$Q11*$T11*(X$7-$C11)/365,0))),$C$6)</f>
        <v>0</v>
      </c>
      <c r="Y11" s="50">
        <f ca="1">ROUND(IF(BO11="Y",IF($C11&gt;Y$6,$Q11*0.1875,($Q11-SUM($W11:X11))*0.375),IF($C11&lt;Y$6,($Q11-SUM($W11:X11))*$T11,IF($C11&lt;=Y$7,$Q11*$T11*(Y$7-$C11)/365,0))),$C$6)</f>
        <v>0</v>
      </c>
      <c r="Z11" s="50">
        <f ca="1">ROUND(IF(BP11="Y",IF($C11&gt;Z$6,$Q11*0.1875,($Q11-SUM($W11:Y11))*0.375),IF($C11&lt;Z$6,($Q11-SUM($W11:Y11))*$T11,IF($C11&lt;=Z$7,$Q11*$T11*(Z$7-$C11)/365,0))),$C$6)</f>
        <v>0</v>
      </c>
      <c r="AA11" s="50">
        <f ca="1">ROUND(IF(BQ11="Y",IF($C11&gt;AA$6,$Q11*0.1875,($Q11-SUM($W11:Z11))*0.375),IF($C11&lt;AA$6,($Q11-SUM($W11:Z11))*$T11,IF($C11&lt;=AA$7,$Q11*$T11*(AA$7-$C11)/365,0))),$C$6)</f>
        <v>0</v>
      </c>
      <c r="AB11" s="100">
        <f t="shared" ref="AB11:AB25" ca="1" si="7">W11+X11+Y11+Z11+AA11</f>
        <v>86.97</v>
      </c>
      <c r="AC11" s="105"/>
    </row>
    <row r="12" spans="1:29" ht="16.5">
      <c r="A12" s="30" t="str">
        <f t="shared" ref="A12:A25" ca="1" si="8">IF($Q12&lt;=301,"Y","N")</f>
        <v>N</v>
      </c>
      <c r="B12" s="31" t="s">
        <v>85</v>
      </c>
      <c r="C12" s="32">
        <f>Calculator!$E$34</f>
        <v>42552</v>
      </c>
      <c r="D12" s="33" t="str">
        <f>IF(SUM(COUNTIF(B12,{"*Blinds*","*Curtains*"})),"50","1")</f>
        <v>1</v>
      </c>
      <c r="E12" s="34">
        <f>Calculator!$C$21*0.25</f>
        <v>35</v>
      </c>
      <c r="F12" s="35" t="str">
        <f>IF(ISNUMBER(SEARCH("Medium",Calculator!$C$19)),"99",IF(ISNUMBER(SEARCH("Low",Calculator!$C$19)),"88","110"))</f>
        <v>88</v>
      </c>
      <c r="G12" s="36" t="s">
        <v>84</v>
      </c>
      <c r="H12" s="37">
        <v>15</v>
      </c>
      <c r="I12" s="38">
        <f>E12*F12</f>
        <v>3080</v>
      </c>
      <c r="J12" s="39">
        <v>0</v>
      </c>
      <c r="K12" s="39">
        <f t="shared" ca="1" si="1"/>
        <v>425.16358024691357</v>
      </c>
      <c r="L12" s="40">
        <v>0</v>
      </c>
      <c r="M12" s="41">
        <f t="shared" si="3"/>
        <v>3080</v>
      </c>
      <c r="N12" s="42">
        <f ca="1">Calculator!$J$7</f>
        <v>0.55216049382716048</v>
      </c>
      <c r="O12" s="43">
        <f t="shared" ca="1" si="4"/>
        <v>425.16358024691357</v>
      </c>
      <c r="P12" s="44">
        <f t="shared" si="5"/>
        <v>0.25</v>
      </c>
      <c r="Q12" s="45">
        <f ca="1">IF(G12="Y",I12*S12,((M12+J12)*P12)*N12*S12)</f>
        <v>425.16358024691357</v>
      </c>
      <c r="R12" s="46">
        <v>100</v>
      </c>
      <c r="S12" s="47">
        <v>1</v>
      </c>
      <c r="T12" s="48">
        <v>0.1333</v>
      </c>
      <c r="U12" s="48">
        <f t="shared" ref="U12:U19" si="9">(100/H12)/100</f>
        <v>6.6666666666666666E-2</v>
      </c>
      <c r="V12" s="49">
        <f t="shared" ca="1" si="6"/>
        <v>425.16358024691357</v>
      </c>
      <c r="W12" s="50">
        <f ca="1">IF(OR(H12=1,H12=2),Q12,ROUND(IF(AND(A12="Y",C12&lt;=W$7+1,$C12&gt;=W$6),$Q12,IF(BM12="Y",$Q12*0.1875,IF($C12&lt;=$W$7+1,$Q12*$T12*($W$7+1-$C12)/365,0))),$C$6))</f>
        <v>56.83</v>
      </c>
      <c r="X12" s="50">
        <f ca="1">ROUND(IF(BN12="Y",IF($C12&gt;X$6,$Q12*0.1875,($Q12-SUM($W12:W12))*0.375),IF($C12&lt;X$6,($Q12-SUM($W12:W12))*$T12,IF($C12&lt;=X$7,$Q12*$T12*(X$7-$C12)/365,0))),$C$6)</f>
        <v>49.1</v>
      </c>
      <c r="Y12" s="50">
        <f ca="1">ROUND(IF(BO12="Y",IF($C12&gt;Y$6,$Q12*0.1875,($Q12-SUM($W12:X12))*0.375),IF($C12&lt;Y$6,($Q12-SUM($W12:X12))*$T12,IF($C12&lt;=Y$7,$Q12*$T12*(Y$7-$C12)/365,0))),$C$6)</f>
        <v>42.55</v>
      </c>
      <c r="Z12" s="50">
        <f ca="1">ROUND(IF(BP12="Y",IF($C12&gt;Z$6,$Q12*0.1875,($Q12-SUM($W12:Y12))*0.375),IF($C12&lt;Z$6,($Q12-SUM($W12:Y12))*$T12,IF($C12&lt;=Z$7,$Q12*$T12*(Z$7-$C12)/365,0))),$C$6)</f>
        <v>36.880000000000003</v>
      </c>
      <c r="AA12" s="50">
        <f ca="1">ROUND(IF(BQ12="Y",IF($C12&gt;AA$6,$Q12*0.1875,($Q12-SUM($W12:Z12))*0.375),IF($C12&lt;AA$6,($Q12-SUM($W12:Z12))*$T12,IF($C12&lt;=AA$7,$Q12*$T12*(AA$7-$C12)/365,0))),$C$6)</f>
        <v>31.97</v>
      </c>
      <c r="AB12" s="100">
        <f t="shared" ca="1" si="7"/>
        <v>217.33</v>
      </c>
      <c r="AC12" s="105"/>
    </row>
    <row r="13" spans="1:29" ht="16.5">
      <c r="A13" s="30" t="str">
        <f t="shared" ca="1" si="8"/>
        <v>Y</v>
      </c>
      <c r="B13" s="31" t="s">
        <v>86</v>
      </c>
      <c r="C13" s="32">
        <f>Calculator!$E$34</f>
        <v>42552</v>
      </c>
      <c r="D13" s="35" t="str">
        <f>IF(ISNUMBER(SEARCH("Medium",Calculator!$C$19)),"2",IF(ISNUMBER(SEARCH("Low",Calculator!$C$19)),"1","3"))</f>
        <v>1</v>
      </c>
      <c r="E13" s="35" t="str">
        <f>IF(ISNUMBER(SEARCH("Medium",Calculator!$C$19)),"2",IF(ISNUMBER(SEARCH("Low",Calculator!$C$19)),"1","3"))</f>
        <v>1</v>
      </c>
      <c r="F13" s="35" t="str">
        <f>IF(ISNUMBER(SEARCH("Medium",Calculator!$C$19)),"115",IF(ISNUMBER(SEARCH("Low",Calculator!$C$19)),"100","135"))</f>
        <v>100</v>
      </c>
      <c r="G13" s="36" t="s">
        <v>84</v>
      </c>
      <c r="H13" s="37">
        <v>5</v>
      </c>
      <c r="I13" s="38">
        <f>E13*F13</f>
        <v>100</v>
      </c>
      <c r="J13" s="39">
        <v>0</v>
      </c>
      <c r="K13" s="39">
        <f t="shared" ca="1" si="1"/>
        <v>13.804012345679013</v>
      </c>
      <c r="L13" s="40">
        <v>0</v>
      </c>
      <c r="M13" s="41">
        <f t="shared" si="3"/>
        <v>100</v>
      </c>
      <c r="N13" s="42">
        <f ca="1">Calculator!$J$7</f>
        <v>0.55216049382716048</v>
      </c>
      <c r="O13" s="43">
        <f t="shared" ca="1" si="4"/>
        <v>13.804012345679013</v>
      </c>
      <c r="P13" s="44">
        <f t="shared" si="5"/>
        <v>0.25</v>
      </c>
      <c r="Q13" s="45">
        <f t="shared" ref="Q13:Q19" ca="1" si="10">IF(G13="Y",I13*S13,((M13+J13)*P13)*N13*S13)</f>
        <v>13.804012345679013</v>
      </c>
      <c r="R13" s="46">
        <v>100</v>
      </c>
      <c r="S13" s="47">
        <v>1</v>
      </c>
      <c r="T13" s="48">
        <v>0.4</v>
      </c>
      <c r="U13" s="48">
        <f t="shared" si="9"/>
        <v>0.2</v>
      </c>
      <c r="V13" s="49">
        <f t="shared" ca="1" si="6"/>
        <v>13.804012345679013</v>
      </c>
      <c r="W13" s="50">
        <f t="shared" ref="W13:W19" ca="1" si="11">IF(OR(H13=1,H13=2),Q13,ROUND(IF(AND(A13="Y",C13&lt;=W$7+1,$C13&gt;=W$6),$Q13,IF(BM13="Y",$Q13*0.1875,IF($C13&lt;=$W$7+1,$Q13*$T13*($W$7+1-$C13)/365,0))),$C$6))</f>
        <v>13.8</v>
      </c>
      <c r="X13" s="50">
        <f ca="1">ROUND(IF(BN13="Y",IF($C13&gt;X$6,$Q13*0.1875,($Q13-SUM($W13:W13))*0.375),IF($C13&lt;X$6,($Q13-SUM($W13:W13))*$T13,IF($C13&lt;=X$7,$Q13*$T13*(X$7-$C13)/365,0))),$C$6)</f>
        <v>0</v>
      </c>
      <c r="Y13" s="50">
        <f ca="1">ROUND(IF(BO13="Y",IF($C13&gt;Y$6,$Q13*0.1875,($Q13-SUM($W13:X13))*0.375),IF($C13&lt;Y$6,($Q13-SUM($W13:X13))*$T13,IF($C13&lt;=Y$7,$Q13*$T13*(Y$7-$C13)/365,0))),$C$6)</f>
        <v>0</v>
      </c>
      <c r="Z13" s="50">
        <f ca="1">ROUND(IF(BP13="Y",IF($C13&gt;Z$6,$Q13*0.1875,($Q13-SUM($W13:Y13))*0.375),IF($C13&lt;Z$6,($Q13-SUM($W13:Y13))*$T13,IF($C13&lt;=Z$7,$Q13*$T13*(Z$7-$C13)/365,0))),$C$6)</f>
        <v>0</v>
      </c>
      <c r="AA13" s="50">
        <f ca="1">ROUND(IF(BQ13="Y",IF($C13&gt;AA$6,$Q13*0.1875,($Q13-SUM($W13:Z13))*0.375),IF($C13&lt;AA$6,($Q13-SUM($W13:Z13))*$T13,IF($C13&lt;=AA$7,$Q13*$T13*(AA$7-$C13)/365,0))),$C$6)</f>
        <v>0</v>
      </c>
      <c r="AB13" s="100">
        <f t="shared" ca="1" si="7"/>
        <v>13.8</v>
      </c>
      <c r="AC13" s="105"/>
    </row>
    <row r="14" spans="1:29" ht="16.5">
      <c r="A14" s="30" t="str">
        <f t="shared" ca="1" si="8"/>
        <v>Y</v>
      </c>
      <c r="B14" s="31" t="s">
        <v>87</v>
      </c>
      <c r="C14" s="32">
        <f>Calculator!$E$34</f>
        <v>42552</v>
      </c>
      <c r="D14" s="35" t="str">
        <f>IF(ISNUMBER(SEARCH("Medium",Calculator!$C$19)),"2",IF(ISNUMBER(SEARCH("Low",Calculator!$C$19)),"1","3"))</f>
        <v>1</v>
      </c>
      <c r="E14" s="35" t="str">
        <f>IF(ISNUMBER(SEARCH("Medium",Calculator!$C$19)),"2",IF(ISNUMBER(SEARCH("Low",Calculator!$C$19)),"1","3"))</f>
        <v>1</v>
      </c>
      <c r="F14" s="35" t="str">
        <f>IF(ISNUMBER(SEARCH("Medium",Calculator!$C$19)),"235",IF(ISNUMBER(SEARCH("Low",Calculator!$C$19)),"215","270"))</f>
        <v>215</v>
      </c>
      <c r="G14" s="51" t="s">
        <v>84</v>
      </c>
      <c r="H14" s="37">
        <v>10</v>
      </c>
      <c r="I14" s="52">
        <f t="shared" si="2"/>
        <v>215</v>
      </c>
      <c r="J14" s="53">
        <v>0</v>
      </c>
      <c r="K14" s="53">
        <f t="shared" ca="1" si="1"/>
        <v>29.678626543209877</v>
      </c>
      <c r="L14" s="54">
        <v>0</v>
      </c>
      <c r="M14" s="55">
        <f t="shared" si="3"/>
        <v>215</v>
      </c>
      <c r="N14" s="42">
        <f ca="1">Calculator!$J$7</f>
        <v>0.55216049382716048</v>
      </c>
      <c r="O14" s="56">
        <f t="shared" ca="1" si="4"/>
        <v>29.678626543209877</v>
      </c>
      <c r="P14" s="44">
        <f t="shared" si="5"/>
        <v>0.25</v>
      </c>
      <c r="Q14" s="45">
        <f t="shared" ca="1" si="10"/>
        <v>29.678626543209877</v>
      </c>
      <c r="R14" s="46">
        <v>100</v>
      </c>
      <c r="S14" s="47">
        <v>1</v>
      </c>
      <c r="T14" s="48">
        <v>0.2</v>
      </c>
      <c r="U14" s="48">
        <f t="shared" si="9"/>
        <v>0.1</v>
      </c>
      <c r="V14" s="49">
        <f t="shared" ca="1" si="6"/>
        <v>29.678626543209877</v>
      </c>
      <c r="W14" s="50">
        <f t="shared" ca="1" si="11"/>
        <v>29.68</v>
      </c>
      <c r="X14" s="50">
        <f ca="1">ROUND(IF(BN14="Y",IF($C14&gt;X$6,$Q14*0.1875,($Q14-SUM($W14:W14))*0.375),IF($C14&lt;X$6,($Q14-SUM($W14:W14))*$T14,IF($C14&lt;=X$7,$Q14*$T14*(X$7-$C14)/365,0))),$C$6)</f>
        <v>0</v>
      </c>
      <c r="Y14" s="50">
        <f ca="1">ROUND(IF(BO14="Y",IF($C14&gt;Y$6,$Q14*0.1875,($Q14-SUM($W14:X14))*0.375),IF($C14&lt;Y$6,($Q14-SUM($W14:X14))*$T14,IF($C14&lt;=Y$7,$Q14*$T14*(Y$7-$C14)/365,0))),$C$6)</f>
        <v>0</v>
      </c>
      <c r="Z14" s="50">
        <f ca="1">ROUND(IF(BP14="Y",IF($C14&gt;Z$6,$Q14*0.1875,($Q14-SUM($W14:Y14))*0.375),IF($C14&lt;Z$6,($Q14-SUM($W14:Y14))*$T14,IF($C14&lt;=Z$7,$Q14*$T14*(Z$7-$C14)/365,0))),$C$6)</f>
        <v>0</v>
      </c>
      <c r="AA14" s="50">
        <f ca="1">ROUND(IF(BQ14="Y",IF($C14&gt;AA$6,$Q14*0.1875,($Q14-SUM($W14:Z14))*0.375),IF($C14&lt;AA$6,($Q14-SUM($W14:Z14))*$T14,IF($C14&lt;=AA$7,$Q14*$T14*(AA$7-$C14)/365,0))),$C$6)</f>
        <v>0</v>
      </c>
      <c r="AB14" s="100">
        <f t="shared" ca="1" si="7"/>
        <v>29.68</v>
      </c>
      <c r="AC14" s="105"/>
    </row>
    <row r="15" spans="1:29" ht="16.5">
      <c r="A15" s="30" t="str">
        <f t="shared" ca="1" si="8"/>
        <v>Y</v>
      </c>
      <c r="B15" s="31" t="s">
        <v>103</v>
      </c>
      <c r="C15" s="32">
        <f>Calculator!$E$34</f>
        <v>42552</v>
      </c>
      <c r="D15" s="35" t="str">
        <f>IF(ISNUMBER(SEARCH("Medium",Calculator!$C$19)),"2",IF(ISNUMBER(SEARCH("Low",Calculator!$C$19)),"1","3"))</f>
        <v>1</v>
      </c>
      <c r="E15" s="35" t="str">
        <f>IF(ISNUMBER(SEARCH("Medium",Calculator!$C$19)),"2",IF(ISNUMBER(SEARCH("Low",Calculator!$C$19)),"1","3"))</f>
        <v>1</v>
      </c>
      <c r="F15" s="35" t="str">
        <f>IF(ISNUMBER(SEARCH("Medium",Calculator!$C$19)),"2250",IF(ISNUMBER(SEARCH("Low",Calculator!$C$19)),"1850","2550"))</f>
        <v>1850</v>
      </c>
      <c r="G15" s="36" t="s">
        <v>84</v>
      </c>
      <c r="H15" s="37">
        <v>10</v>
      </c>
      <c r="I15" s="38">
        <f t="shared" si="2"/>
        <v>1850</v>
      </c>
      <c r="J15" s="39">
        <v>0</v>
      </c>
      <c r="K15" s="39">
        <f t="shared" ca="1" si="1"/>
        <v>255.37422839506172</v>
      </c>
      <c r="L15" s="40">
        <v>0</v>
      </c>
      <c r="M15" s="41">
        <f t="shared" si="3"/>
        <v>1850</v>
      </c>
      <c r="N15" s="42">
        <f ca="1">Calculator!$J$7</f>
        <v>0.55216049382716048</v>
      </c>
      <c r="O15" s="43">
        <f t="shared" ca="1" si="4"/>
        <v>255.37422839506172</v>
      </c>
      <c r="P15" s="44">
        <f t="shared" si="5"/>
        <v>0.25</v>
      </c>
      <c r="Q15" s="45">
        <f t="shared" ca="1" si="10"/>
        <v>255.37422839506172</v>
      </c>
      <c r="R15" s="46">
        <v>100</v>
      </c>
      <c r="S15" s="47">
        <v>1</v>
      </c>
      <c r="T15" s="48">
        <v>0.2</v>
      </c>
      <c r="U15" s="48">
        <f t="shared" si="9"/>
        <v>0.1</v>
      </c>
      <c r="V15" s="49">
        <f t="shared" ca="1" si="6"/>
        <v>255.37422839506172</v>
      </c>
      <c r="W15" s="50">
        <f t="shared" ca="1" si="11"/>
        <v>255.37</v>
      </c>
      <c r="X15" s="50">
        <f ca="1">ROUND(IF(BN15="Y",IF($C15&gt;X$6,$Q15*0.1875,($Q15-SUM($W15:W15))*0.375),IF($C15&lt;X$6,($Q15-SUM($W15:W15))*$T15,IF($C15&lt;=X$7,$Q15*$T15*(X$7-$C15)/365,0))),$C$6)</f>
        <v>0</v>
      </c>
      <c r="Y15" s="50">
        <f ca="1">ROUND(IF(BO15="Y",IF($C15&gt;Y$6,$Q15*0.1875,($Q15-SUM($W15:X15))*0.375),IF($C15&lt;Y$6,($Q15-SUM($W15:X15))*$T15,IF($C15&lt;=Y$7,$Q15*$T15*(Y$7-$C15)/365,0))),$C$6)</f>
        <v>0</v>
      </c>
      <c r="Z15" s="50">
        <f ca="1">ROUND(IF(BP15="Y",IF($C15&gt;Z$6,$Q15*0.1875,($Q15-SUM($W15:Y15))*0.375),IF($C15&lt;Z$6,($Q15-SUM($W15:Y15))*$T15,IF($C15&lt;=Z$7,$Q15*$T15*(Z$7-$C15)/365,0))),$C$6)</f>
        <v>0</v>
      </c>
      <c r="AA15" s="50">
        <f ca="1">ROUND(IF(BQ15="Y",IF($C15&gt;AA$6,$Q15*0.1875,($Q15-SUM($W15:Z15))*0.375),IF($C15&lt;AA$6,($Q15-SUM($W15:Z15))*$T15,IF($C15&lt;=AA$7,$Q15*$T15*(AA$7-$C15)/365,0))),$C$6)</f>
        <v>0</v>
      </c>
      <c r="AB15" s="100">
        <f t="shared" ca="1" si="7"/>
        <v>255.37</v>
      </c>
      <c r="AC15" s="105"/>
    </row>
    <row r="16" spans="1:29" ht="16.5">
      <c r="A16" s="30" t="str">
        <f t="shared" ca="1" si="8"/>
        <v>Y</v>
      </c>
      <c r="B16" s="31" t="s">
        <v>104</v>
      </c>
      <c r="C16" s="32">
        <f>Calculator!$E$34</f>
        <v>42552</v>
      </c>
      <c r="D16" s="33" t="str">
        <f>IF(SUM(COUNTIF(B16,{"*Blinds*","*Curtains*"})),"50","1")</f>
        <v>1</v>
      </c>
      <c r="E16" s="35">
        <v>1</v>
      </c>
      <c r="F16" s="35" t="str">
        <f>IF(ISNUMBER(SEARCH("Medium",Calculator!$C$19)),"2150",IF(ISNUMBER(SEARCH("Low",Calculator!$C$19)),"1785","2650"))</f>
        <v>1785</v>
      </c>
      <c r="G16" s="36" t="s">
        <v>84</v>
      </c>
      <c r="H16" s="37">
        <v>12</v>
      </c>
      <c r="I16" s="38">
        <f t="shared" si="2"/>
        <v>1785</v>
      </c>
      <c r="J16" s="39">
        <v>0</v>
      </c>
      <c r="K16" s="39">
        <f t="shared" ca="1" si="1"/>
        <v>246.40162037037035</v>
      </c>
      <c r="L16" s="40">
        <v>0</v>
      </c>
      <c r="M16" s="41">
        <f t="shared" si="3"/>
        <v>1785</v>
      </c>
      <c r="N16" s="42">
        <f ca="1">Calculator!$J$7</f>
        <v>0.55216049382716048</v>
      </c>
      <c r="O16" s="43">
        <f t="shared" ca="1" si="4"/>
        <v>246.40162037037035</v>
      </c>
      <c r="P16" s="44">
        <f t="shared" si="5"/>
        <v>0.25</v>
      </c>
      <c r="Q16" s="45">
        <f t="shared" ca="1" si="10"/>
        <v>246.40162037037035</v>
      </c>
      <c r="R16" s="46">
        <v>100</v>
      </c>
      <c r="S16" s="47">
        <v>1</v>
      </c>
      <c r="T16" s="48">
        <v>0.1</v>
      </c>
      <c r="U16" s="48">
        <f t="shared" si="9"/>
        <v>8.3333333333333343E-2</v>
      </c>
      <c r="V16" s="49">
        <f t="shared" ca="1" si="6"/>
        <v>246.40162037037035</v>
      </c>
      <c r="W16" s="50">
        <f t="shared" ca="1" si="11"/>
        <v>246.4</v>
      </c>
      <c r="X16" s="50">
        <f ca="1">ROUND(IF(BN16="Y",IF($C16&gt;X$6,$Q16*0.1875,($Q16-SUM($W16:W16))*0.375),IF($C16&lt;X$6,($Q16-SUM($W16:W16))*$T16,IF($C16&lt;=X$7,$Q16*$T16*(X$7-$C16)/365,0))),$C$6)</f>
        <v>0</v>
      </c>
      <c r="Y16" s="50">
        <f ca="1">ROUND(IF(BO16="Y",IF($C16&gt;Y$6,$Q16*0.1875,($Q16-SUM($W16:X16))*0.375),IF($C16&lt;Y$6,($Q16-SUM($W16:X16))*$T16,IF($C16&lt;=Y$7,$Q16*$T16*(Y$7-$C16)/365,0))),$C$6)</f>
        <v>0</v>
      </c>
      <c r="Z16" s="50">
        <f ca="1">ROUND(IF(BP16="Y",IF($C16&gt;Z$6,$Q16*0.1875,($Q16-SUM($W16:Y16))*0.375),IF($C16&lt;Z$6,($Q16-SUM($W16:Y16))*$T16,IF($C16&lt;=Z$7,$Q16*$T16*(Z$7-$C16)/365,0))),$C$6)</f>
        <v>0</v>
      </c>
      <c r="AA16" s="50">
        <f ca="1">ROUND(IF(BQ16="Y",IF($C16&gt;AA$6,$Q16*0.1875,($Q16-SUM($W16:Z16))*0.375),IF($C16&lt;AA$6,($Q16-SUM($W16:Z16))*$T16,IF($C16&lt;=AA$7,$Q16*$T16*(AA$7-$C16)/365,0))),$C$6)</f>
        <v>0</v>
      </c>
      <c r="AB16" s="100">
        <f t="shared" ca="1" si="7"/>
        <v>246.4</v>
      </c>
      <c r="AC16" s="105"/>
    </row>
    <row r="17" spans="1:31" ht="16.5">
      <c r="A17" s="30" t="str">
        <f t="shared" ca="1" si="8"/>
        <v>Y</v>
      </c>
      <c r="B17" s="31" t="s">
        <v>88</v>
      </c>
      <c r="C17" s="32">
        <f>Calculator!$E$34</f>
        <v>42552</v>
      </c>
      <c r="D17" s="35" t="str">
        <f>IF(ISNUMBER(SEARCH("Medium",Calculator!$C$19)),"2",IF(ISNUMBER(SEARCH("Low",Calculator!$C$19)),"1","3"))</f>
        <v>1</v>
      </c>
      <c r="E17" s="35" t="str">
        <f>IF(ISNUMBER(SEARCH("Medium",Calculator!$C$19)),"2",IF(ISNUMBER(SEARCH("Low",Calculator!$C$19)),"1","3"))</f>
        <v>1</v>
      </c>
      <c r="F17" s="35" t="str">
        <f>IF(ISNUMBER(SEARCH("Medium",Calculator!$C$19)),"235",IF(ISNUMBER(SEARCH("Low",Calculator!$C$19)),"215","255"))</f>
        <v>215</v>
      </c>
      <c r="G17" s="36" t="s">
        <v>84</v>
      </c>
      <c r="H17" s="37">
        <v>5</v>
      </c>
      <c r="I17" s="38">
        <f t="shared" si="2"/>
        <v>215</v>
      </c>
      <c r="J17" s="39">
        <v>0</v>
      </c>
      <c r="K17" s="39">
        <f t="shared" ca="1" si="1"/>
        <v>29.678626543209877</v>
      </c>
      <c r="L17" s="40">
        <v>0</v>
      </c>
      <c r="M17" s="41">
        <f t="shared" si="3"/>
        <v>215</v>
      </c>
      <c r="N17" s="42">
        <f ca="1">Calculator!$J$7</f>
        <v>0.55216049382716048</v>
      </c>
      <c r="O17" s="43">
        <f t="shared" ca="1" si="4"/>
        <v>29.678626543209877</v>
      </c>
      <c r="P17" s="44">
        <f t="shared" si="5"/>
        <v>0.25</v>
      </c>
      <c r="Q17" s="45">
        <f t="shared" ca="1" si="10"/>
        <v>29.678626543209877</v>
      </c>
      <c r="R17" s="46">
        <v>100</v>
      </c>
      <c r="S17" s="47">
        <v>1</v>
      </c>
      <c r="T17" s="48">
        <v>0.4</v>
      </c>
      <c r="U17" s="48">
        <f t="shared" si="9"/>
        <v>0.2</v>
      </c>
      <c r="V17" s="49">
        <f t="shared" ca="1" si="6"/>
        <v>29.678626543209877</v>
      </c>
      <c r="W17" s="50">
        <f t="shared" ca="1" si="11"/>
        <v>29.68</v>
      </c>
      <c r="X17" s="50">
        <f ca="1">ROUND(IF(BN17="Y",IF($C17&gt;X$6,$Q17*0.1875,($Q17-SUM($W17:W17))*0.375),IF($C17&lt;X$6,($Q17-SUM($W17:W17))*$T17,IF($C17&lt;=X$7,$Q17*$T17*(X$7-$C17)/365,0))),$C$6)</f>
        <v>0</v>
      </c>
      <c r="Y17" s="50">
        <f ca="1">ROUND(IF(BO17="Y",IF($C17&gt;Y$6,$Q17*0.1875,($Q17-SUM($W17:X17))*0.375),IF($C17&lt;Y$6,($Q17-SUM($W17:X17))*$T17,IF($C17&lt;=Y$7,$Q17*$T17*(Y$7-$C17)/365,0))),$C$6)</f>
        <v>0</v>
      </c>
      <c r="Z17" s="50">
        <f ca="1">ROUND(IF(BP17="Y",IF($C17&gt;Z$6,$Q17*0.1875,($Q17-SUM($W17:Y17))*0.375),IF($C17&lt;Z$6,($Q17-SUM($W17:Y17))*$T17,IF($C17&lt;=Z$7,$Q17*$T17*(Z$7-$C17)/365,0))),$C$6)</f>
        <v>0</v>
      </c>
      <c r="AA17" s="50">
        <f ca="1">ROUND(IF(BQ17="Y",IF($C17&gt;AA$6,$Q17*0.1875,($Q17-SUM($W17:Z17))*0.375),IF($C17&lt;AA$6,($Q17-SUM($W17:Z17))*$T17,IF($C17&lt;=AA$7,$Q17*$T17*(AA$7-$C17)/365,0))),$C$6)</f>
        <v>0</v>
      </c>
      <c r="AB17" s="100">
        <f t="shared" ca="1" si="7"/>
        <v>29.68</v>
      </c>
      <c r="AC17" s="105"/>
    </row>
    <row r="18" spans="1:31" ht="16.5">
      <c r="A18" s="30" t="str">
        <f t="shared" ca="1" si="8"/>
        <v>Y</v>
      </c>
      <c r="B18" s="31" t="s">
        <v>89</v>
      </c>
      <c r="C18" s="32">
        <f>Calculator!$E$34</f>
        <v>42552</v>
      </c>
      <c r="D18" s="33" t="str">
        <f>IF(SUM(COUNTIF(B18,{"*Blinds*","*Curtains*"})),"50","1")</f>
        <v>1</v>
      </c>
      <c r="E18" s="35">
        <v>1</v>
      </c>
      <c r="F18" s="35" t="str">
        <f>IF(ISNUMBER(SEARCH("Medium",Calculator!$C$19)),"200",IF(ISNUMBER(SEARCH("Low",Calculator!$C$19)),"200","200"))</f>
        <v>200</v>
      </c>
      <c r="G18" s="36" t="s">
        <v>84</v>
      </c>
      <c r="H18" s="37">
        <v>10</v>
      </c>
      <c r="I18" s="38">
        <f t="shared" si="2"/>
        <v>200</v>
      </c>
      <c r="J18" s="39">
        <v>0</v>
      </c>
      <c r="K18" s="39">
        <f t="shared" ca="1" si="1"/>
        <v>27.608024691358025</v>
      </c>
      <c r="L18" s="40">
        <v>0</v>
      </c>
      <c r="M18" s="41">
        <f t="shared" si="3"/>
        <v>200</v>
      </c>
      <c r="N18" s="42">
        <f ca="1">Calculator!$J$7</f>
        <v>0.55216049382716048</v>
      </c>
      <c r="O18" s="43">
        <f t="shared" ca="1" si="4"/>
        <v>27.608024691358025</v>
      </c>
      <c r="P18" s="44">
        <f t="shared" si="5"/>
        <v>0.25</v>
      </c>
      <c r="Q18" s="45">
        <f t="shared" ca="1" si="10"/>
        <v>27.608024691358025</v>
      </c>
      <c r="R18" s="46">
        <v>100</v>
      </c>
      <c r="S18" s="47">
        <v>1</v>
      </c>
      <c r="T18" s="48">
        <v>0.2</v>
      </c>
      <c r="U18" s="48">
        <f t="shared" si="9"/>
        <v>0.1</v>
      </c>
      <c r="V18" s="49">
        <f t="shared" ca="1" si="6"/>
        <v>27.608024691358025</v>
      </c>
      <c r="W18" s="50">
        <f t="shared" ca="1" si="11"/>
        <v>27.61</v>
      </c>
      <c r="X18" s="50">
        <f ca="1">ROUND(IF(BN18="Y",IF($C18&gt;X$6,$Q18*0.1875,($Q18-SUM($W18:W18))*0.375),IF($C18&lt;X$6,($Q18-SUM($W18:W18))*$T18,IF($C18&lt;=X$7,$Q18*$T18*(X$7-$C18)/365,0))),$C$6)</f>
        <v>0</v>
      </c>
      <c r="Y18" s="50">
        <f ca="1">ROUND(IF(BO18="Y",IF($C18&gt;Y$6,$Q18*0.1875,($Q18-SUM($W18:X18))*0.375),IF($C18&lt;Y$6,($Q18-SUM($W18:X18))*$T18,IF($C18&lt;=Y$7,$Q18*$T18*(Y$7-$C18)/365,0))),$C$6)</f>
        <v>0</v>
      </c>
      <c r="Z18" s="50">
        <f ca="1">ROUND(IF(BP18="Y",IF($C18&gt;Z$6,$Q18*0.1875,($Q18-SUM($W18:Y18))*0.375),IF($C18&lt;Z$6,($Q18-SUM($W18:Y18))*$T18,IF($C18&lt;=Z$7,$Q18*$T18*(Z$7-$C18)/365,0))),$C$6)</f>
        <v>0</v>
      </c>
      <c r="AA18" s="50">
        <f ca="1">ROUND(IF(BQ18="Y",IF($C18&gt;AA$6,$Q18*0.1875,($Q18-SUM($W18:Z18))*0.375),IF($C18&lt;AA$6,($Q18-SUM($W18:Z18))*$T18,IF($C18&lt;=AA$7,$Q18*$T18*(AA$7-$C18)/365,0))),$C$6)</f>
        <v>0</v>
      </c>
      <c r="AB18" s="100">
        <f t="shared" ca="1" si="7"/>
        <v>27.61</v>
      </c>
      <c r="AC18" s="105"/>
    </row>
    <row r="19" spans="1:31" ht="16.5">
      <c r="A19" s="30" t="str">
        <f t="shared" ca="1" si="8"/>
        <v>Y</v>
      </c>
      <c r="B19" s="31" t="s">
        <v>90</v>
      </c>
      <c r="C19" s="32">
        <f>Calculator!$E$34</f>
        <v>42552</v>
      </c>
      <c r="D19" s="34">
        <f>Calculator!$C$21/25</f>
        <v>5.6</v>
      </c>
      <c r="E19" s="34">
        <f>Calculator!$C$21/25</f>
        <v>5.6</v>
      </c>
      <c r="F19" s="35" t="str">
        <f>IF(ISNUMBER(SEARCH("Medium",Calculator!$C$19)),"275",IF(ISNUMBER(SEARCH("Low",Calculator!$C$19)),"265","285"))</f>
        <v>265</v>
      </c>
      <c r="G19" s="36" t="s">
        <v>84</v>
      </c>
      <c r="H19" s="37">
        <v>6</v>
      </c>
      <c r="I19" s="38">
        <f t="shared" si="2"/>
        <v>1484</v>
      </c>
      <c r="J19" s="39">
        <v>0</v>
      </c>
      <c r="K19" s="39">
        <f t="shared" ca="1" si="1"/>
        <v>36.580632716049379</v>
      </c>
      <c r="L19" s="40">
        <v>0</v>
      </c>
      <c r="M19" s="41">
        <f t="shared" si="3"/>
        <v>1484</v>
      </c>
      <c r="N19" s="42">
        <f ca="1">Calculator!$J$7</f>
        <v>0.55216049382716048</v>
      </c>
      <c r="O19" s="43">
        <f t="shared" ca="1" si="4"/>
        <v>36.580632716049379</v>
      </c>
      <c r="P19" s="44">
        <f t="shared" si="5"/>
        <v>0.25</v>
      </c>
      <c r="Q19" s="45">
        <f t="shared" ca="1" si="10"/>
        <v>204.85154320987652</v>
      </c>
      <c r="R19" s="46">
        <v>100</v>
      </c>
      <c r="S19" s="47">
        <v>1</v>
      </c>
      <c r="T19" s="48">
        <v>0.33329999999999999</v>
      </c>
      <c r="U19" s="48">
        <f t="shared" si="9"/>
        <v>0.16666666666666669</v>
      </c>
      <c r="V19" s="49">
        <f t="shared" ca="1" si="6"/>
        <v>204.85154320987652</v>
      </c>
      <c r="W19" s="50">
        <f t="shared" ca="1" si="11"/>
        <v>204.85</v>
      </c>
      <c r="X19" s="50">
        <f ca="1">ROUND(IF(BN19="Y",IF($C19&gt;X$6,$Q19*0.1875,($Q19-SUM($W19:W19))*0.375),IF($C19&lt;X$6,($Q19-SUM($W19:W19))*$T19,IF($C19&lt;=X$7,$Q19*$T19*(X$7-$C19)/365,0))),$C$6)</f>
        <v>0</v>
      </c>
      <c r="Y19" s="50">
        <f ca="1">ROUND(IF(BO19="Y",IF($C19&gt;Y$6,$Q19*0.1875,($Q19-SUM($W19:X19))*0.375),IF($C19&lt;Y$6,($Q19-SUM($W19:X19))*$T19,IF($C19&lt;=Y$7,$Q19*$T19*(Y$7-$C19)/365,0))),$C$6)</f>
        <v>0</v>
      </c>
      <c r="Z19" s="50">
        <f ca="1">ROUND(IF(BP19="Y",IF($C19&gt;Z$6,$Q19*0.1875,($Q19-SUM($W19:Y19))*0.375),IF($C19&lt;Z$6,($Q19-SUM($W19:Y19))*$T19,IF($C19&lt;=Z$7,$Q19*$T19*(Z$7-$C19)/365,0))),$C$6)</f>
        <v>0</v>
      </c>
      <c r="AA19" s="50">
        <f ca="1">ROUND(IF(BQ19="Y",IF($C19&gt;AA$6,$Q19*0.1875,($Q19-SUM($W19:Z19))*0.375),IF($C19&lt;AA$6,($Q19-SUM($W19:Z19))*$T19,IF($C19&lt;=AA$7,$Q19*$T19*(AA$7-$C19)/365,0))),$C$6)</f>
        <v>0</v>
      </c>
      <c r="AB19" s="100">
        <f t="shared" ca="1" si="7"/>
        <v>204.85</v>
      </c>
      <c r="AC19" s="105"/>
    </row>
    <row r="20" spans="1:31" ht="16.5">
      <c r="A20" s="30" t="str">
        <f t="shared" ca="1" si="8"/>
        <v>Y</v>
      </c>
      <c r="B20" s="31" t="s">
        <v>105</v>
      </c>
      <c r="C20" s="32">
        <f>Calculator!$E$34</f>
        <v>42552</v>
      </c>
      <c r="D20" s="33" t="str">
        <f>IF(SUM(COUNTIF(B20,{"*Blinds*","*Curtains*"})),"50","1")</f>
        <v>1</v>
      </c>
      <c r="E20" s="35">
        <v>1</v>
      </c>
      <c r="F20" s="35" t="str">
        <f>IF(ISNUMBER(SEARCH("Medium",Calculator!$C$19)),"2000",IF(ISNUMBER(SEARCH("Low",Calculator!$C$19)),"1450","2500"))</f>
        <v>1450</v>
      </c>
      <c r="G20" s="36" t="s">
        <v>84</v>
      </c>
      <c r="H20" s="37">
        <v>12</v>
      </c>
      <c r="I20" s="38">
        <f t="shared" ref="I20:I23" si="12">E20*F20</f>
        <v>1450</v>
      </c>
      <c r="J20" s="39">
        <v>0</v>
      </c>
      <c r="K20" s="39">
        <f t="shared" ref="K20:K23" ca="1" si="13">Q20/D20</f>
        <v>200.15817901234567</v>
      </c>
      <c r="L20" s="40">
        <v>0</v>
      </c>
      <c r="M20" s="41">
        <f t="shared" ref="M20:M23" si="14">I20+L20</f>
        <v>1450</v>
      </c>
      <c r="N20" s="42">
        <f ca="1">Calculator!$J$7</f>
        <v>0.55216049382716048</v>
      </c>
      <c r="O20" s="43">
        <f t="shared" ref="O20:O23" ca="1" si="15">Q20/D20</f>
        <v>200.15817901234567</v>
      </c>
      <c r="P20" s="44">
        <f t="shared" si="5"/>
        <v>0.25</v>
      </c>
      <c r="Q20" s="45">
        <f t="shared" ref="Q20:Q23" ca="1" si="16">IF(G20="Y",I20*S20,((M20+J20)*P20)*N20*S20)</f>
        <v>200.15817901234567</v>
      </c>
      <c r="R20" s="46">
        <v>100</v>
      </c>
      <c r="S20" s="47">
        <v>1</v>
      </c>
      <c r="T20" s="48">
        <v>0.2</v>
      </c>
      <c r="U20" s="48">
        <f t="shared" ref="U20:U23" si="17">(100/H20)/100</f>
        <v>8.3333333333333343E-2</v>
      </c>
      <c r="V20" s="49">
        <f t="shared" ref="V20:V23" ca="1" si="18">IF(G20="Y",I20,(I20+L20)*P20*N20)</f>
        <v>200.15817901234567</v>
      </c>
      <c r="W20" s="50">
        <f t="shared" ref="W20:W23" ca="1" si="19">IF(OR(H20=1,H20=2),Q20,ROUND(IF(AND(A20="Y",C20&lt;=W$7+1,$C20&gt;=W$6),$Q20,IF(BM20="Y",$Q20*0.1875,IF($C20&lt;=$W$7+1,$Q20*$T20*($W$7+1-$C20)/365,0))),$C$6))</f>
        <v>200.16</v>
      </c>
      <c r="X20" s="50">
        <f ca="1">ROUND(IF(BN20="Y",IF($C20&gt;X$6,$Q20*0.1875,($Q20-SUM($W20:W20))*0.375),IF($C20&lt;X$6,($Q20-SUM($W20:W20))*$T20,IF($C20&lt;=X$7,$Q20*$T20*(X$7-$C20)/365,0))),$C$6)</f>
        <v>0</v>
      </c>
      <c r="Y20" s="50">
        <f ca="1">ROUND(IF(BO20="Y",IF($C20&gt;Y$6,$Q20*0.1875,($Q20-SUM($W20:X20))*0.375),IF($C20&lt;Y$6,($Q20-SUM($W20:X20))*$T20,IF($C20&lt;=Y$7,$Q20*$T20*(Y$7-$C20)/365,0))),$C$6)</f>
        <v>0</v>
      </c>
      <c r="Z20" s="50">
        <f ca="1">ROUND(IF(BP20="Y",IF($C20&gt;Z$6,$Q20*0.1875,($Q20-SUM($W20:Y20))*0.375),IF($C20&lt;Z$6,($Q20-SUM($W20:Y20))*$T20,IF($C20&lt;=Z$7,$Q20*$T20*(Z$7-$C20)/365,0))),$C$6)</f>
        <v>0</v>
      </c>
      <c r="AA20" s="50">
        <f ca="1">ROUND(IF(BQ20="Y",IF($C20&gt;AA$6,$Q20*0.1875,($Q20-SUM($W20:Z20))*0.375),IF($C20&lt;AA$6,($Q20-SUM($W20:Z20))*$T20,IF($C20&lt;=AA$7,$Q20*$T20*(AA$7-$C20)/365,0))),$C$6)</f>
        <v>0</v>
      </c>
      <c r="AB20" s="100">
        <f t="shared" ca="1" si="7"/>
        <v>200.16</v>
      </c>
      <c r="AC20" s="105"/>
    </row>
    <row r="21" spans="1:31" ht="16.5">
      <c r="A21" s="30" t="str">
        <f t="shared" ca="1" si="8"/>
        <v>Y</v>
      </c>
      <c r="B21" s="31" t="s">
        <v>106</v>
      </c>
      <c r="C21" s="32">
        <f>Calculator!$E$34</f>
        <v>42552</v>
      </c>
      <c r="D21" s="33" t="str">
        <f>IF(SUM(COUNTIF(B21,{"*Blinds*","*Curtains*"})),"50","1")</f>
        <v>1</v>
      </c>
      <c r="E21" s="35">
        <v>1</v>
      </c>
      <c r="F21" s="35" t="str">
        <f>IF(ISNUMBER(SEARCH("Medium",Calculator!$C$19)),"1650",IF(ISNUMBER(SEARCH("Low",Calculator!$C$19)),"900","2250"))</f>
        <v>900</v>
      </c>
      <c r="G21" s="36" t="s">
        <v>84</v>
      </c>
      <c r="H21" s="37">
        <v>12</v>
      </c>
      <c r="I21" s="38">
        <f t="shared" si="12"/>
        <v>900</v>
      </c>
      <c r="J21" s="39">
        <v>0</v>
      </c>
      <c r="K21" s="39">
        <f t="shared" ca="1" si="13"/>
        <v>124.23611111111111</v>
      </c>
      <c r="L21" s="40">
        <v>0</v>
      </c>
      <c r="M21" s="41">
        <f t="shared" si="14"/>
        <v>900</v>
      </c>
      <c r="N21" s="42">
        <f ca="1">Calculator!$J$7</f>
        <v>0.55216049382716048</v>
      </c>
      <c r="O21" s="43">
        <f t="shared" ca="1" si="15"/>
        <v>124.23611111111111</v>
      </c>
      <c r="P21" s="44">
        <f t="shared" si="5"/>
        <v>0.25</v>
      </c>
      <c r="Q21" s="45">
        <f t="shared" ca="1" si="16"/>
        <v>124.23611111111111</v>
      </c>
      <c r="R21" s="46">
        <v>100</v>
      </c>
      <c r="S21" s="47">
        <v>1</v>
      </c>
      <c r="T21" s="48">
        <v>0.33329999999999999</v>
      </c>
      <c r="U21" s="48">
        <f t="shared" si="17"/>
        <v>8.3333333333333343E-2</v>
      </c>
      <c r="V21" s="49">
        <f t="shared" ca="1" si="18"/>
        <v>124.23611111111111</v>
      </c>
      <c r="W21" s="50">
        <f t="shared" ca="1" si="19"/>
        <v>124.24</v>
      </c>
      <c r="X21" s="50">
        <f ca="1">ROUND(IF(BN21="Y",IF($C21&gt;X$6,$Q21*0.1875,($Q21-SUM($W21:W21))*0.375),IF($C21&lt;X$6,($Q21-SUM($W21:W21))*$T21,IF($C21&lt;=X$7,$Q21*$T21*(X$7-$C21)/365,0))),$C$6)</f>
        <v>0</v>
      </c>
      <c r="Y21" s="50">
        <f ca="1">ROUND(IF(BO21="Y",IF($C21&gt;Y$6,$Q21*0.1875,($Q21-SUM($W21:X21))*0.375),IF($C21&lt;Y$6,($Q21-SUM($W21:X21))*$T21,IF($C21&lt;=Y$7,$Q21*$T21*(Y$7-$C21)/365,0))),$C$6)</f>
        <v>0</v>
      </c>
      <c r="Z21" s="50">
        <f ca="1">ROUND(IF(BP21="Y",IF($C21&gt;Z$6,$Q21*0.1875,($Q21-SUM($W21:Y21))*0.375),IF($C21&lt;Z$6,($Q21-SUM($W21:Y21))*$T21,IF($C21&lt;=Z$7,$Q21*$T21*(Z$7-$C21)/365,0))),$C$6)</f>
        <v>0</v>
      </c>
      <c r="AA21" s="50">
        <f ca="1">ROUND(IF(BQ21="Y",IF($C21&gt;AA$6,$Q21*0.1875,($Q21-SUM($W21:Z21))*0.375),IF($C21&lt;AA$6,($Q21-SUM($W21:Z21))*$T21,IF($C21&lt;=AA$7,$Q21*$T21*(AA$7-$C21)/365,0))),$C$6)</f>
        <v>0</v>
      </c>
      <c r="AB21" s="100">
        <f t="shared" ca="1" si="7"/>
        <v>124.24</v>
      </c>
      <c r="AC21" s="105"/>
    </row>
    <row r="22" spans="1:31" ht="16.5">
      <c r="A22" s="30" t="str">
        <f t="shared" ca="1" si="8"/>
        <v>Y</v>
      </c>
      <c r="B22" s="31" t="s">
        <v>107</v>
      </c>
      <c r="C22" s="32">
        <f>Calculator!$E$34</f>
        <v>42552</v>
      </c>
      <c r="D22" s="33" t="str">
        <f>IF(SUM(COUNTIF(B22,{"*Blinds*","*Curtains*"})),"50","1")</f>
        <v>1</v>
      </c>
      <c r="E22" s="35">
        <v>1</v>
      </c>
      <c r="F22" s="35" t="str">
        <f>IF(ISNUMBER(SEARCH("Medium",Calculator!$C$19)),"1150",IF(ISNUMBER(SEARCH("Low",Calculator!$C$19)),"666","1525"))</f>
        <v>666</v>
      </c>
      <c r="G22" s="36" t="s">
        <v>84</v>
      </c>
      <c r="H22" s="37">
        <v>12</v>
      </c>
      <c r="I22" s="38">
        <f t="shared" si="12"/>
        <v>666</v>
      </c>
      <c r="J22" s="39">
        <v>0</v>
      </c>
      <c r="K22" s="39">
        <f t="shared" ca="1" si="13"/>
        <v>91.93472222222222</v>
      </c>
      <c r="L22" s="40">
        <v>0</v>
      </c>
      <c r="M22" s="41">
        <f t="shared" si="14"/>
        <v>666</v>
      </c>
      <c r="N22" s="42">
        <f ca="1">Calculator!$J$7</f>
        <v>0.55216049382716048</v>
      </c>
      <c r="O22" s="43">
        <f t="shared" ca="1" si="15"/>
        <v>91.93472222222222</v>
      </c>
      <c r="P22" s="44">
        <f t="shared" si="5"/>
        <v>0.25</v>
      </c>
      <c r="Q22" s="45">
        <f t="shared" ca="1" si="16"/>
        <v>91.93472222222222</v>
      </c>
      <c r="R22" s="46">
        <v>100</v>
      </c>
      <c r="S22" s="47">
        <v>1</v>
      </c>
      <c r="T22" s="48">
        <v>0.4</v>
      </c>
      <c r="U22" s="48">
        <f t="shared" si="17"/>
        <v>8.3333333333333343E-2</v>
      </c>
      <c r="V22" s="49">
        <f t="shared" ca="1" si="18"/>
        <v>91.93472222222222</v>
      </c>
      <c r="W22" s="50">
        <f t="shared" ca="1" si="19"/>
        <v>91.93</v>
      </c>
      <c r="X22" s="50">
        <f ca="1">ROUND(IF(BN22="Y",IF($C22&gt;X$6,$Q22*0.1875,($Q22-SUM($W22:W22))*0.375),IF($C22&lt;X$6,($Q22-SUM($W22:W22))*$T22,IF($C22&lt;=X$7,$Q22*$T22*(X$7-$C22)/365,0))),$C$6)</f>
        <v>0</v>
      </c>
      <c r="Y22" s="50">
        <f ca="1">ROUND(IF(BO22="Y",IF($C22&gt;Y$6,$Q22*0.1875,($Q22-SUM($W22:X22))*0.375),IF($C22&lt;Y$6,($Q22-SUM($W22:X22))*$T22,IF($C22&lt;=Y$7,$Q22*$T22*(Y$7-$C22)/365,0))),$C$6)</f>
        <v>0</v>
      </c>
      <c r="Z22" s="50">
        <f ca="1">ROUND(IF(BP22="Y",IF($C22&gt;Z$6,$Q22*0.1875,($Q22-SUM($W22:Y22))*0.375),IF($C22&lt;Z$6,($Q22-SUM($W22:Y22))*$T22,IF($C22&lt;=Z$7,$Q22*$T22*(Z$7-$C22)/365,0))),$C$6)</f>
        <v>0</v>
      </c>
      <c r="AA22" s="50">
        <f ca="1">ROUND(IF(BQ22="Y",IF($C22&gt;AA$6,$Q22*0.1875,($Q22-SUM($W22:Z22))*0.375),IF($C22&lt;AA$6,($Q22-SUM($W22:Z22))*$T22,IF($C22&lt;=AA$7,$Q22*$T22*(AA$7-$C22)/365,0))),$C$6)</f>
        <v>0</v>
      </c>
      <c r="AB22" s="100">
        <f t="shared" ca="1" si="7"/>
        <v>91.93</v>
      </c>
      <c r="AC22" s="105"/>
    </row>
    <row r="23" spans="1:31" ht="16.5">
      <c r="A23" s="30" t="str">
        <f t="shared" ca="1" si="8"/>
        <v>Y</v>
      </c>
      <c r="B23" s="31" t="s">
        <v>108</v>
      </c>
      <c r="C23" s="32">
        <f>Calculator!$E$34</f>
        <v>42552</v>
      </c>
      <c r="D23" s="33" t="str">
        <f>IF(SUM(COUNTIF(B23,{"*Blinds*","*Curtains*"})),"50","1")</f>
        <v>1</v>
      </c>
      <c r="E23" s="35">
        <v>1</v>
      </c>
      <c r="F23" s="35" t="str">
        <f>IF(ISNUMBER(SEARCH("Medium",Calculator!$C$19)),"1600",IF(ISNUMBER(SEARCH("Low",Calculator!$C$19)),"925","2200"))</f>
        <v>925</v>
      </c>
      <c r="G23" s="36" t="s">
        <v>84</v>
      </c>
      <c r="H23" s="37">
        <v>10</v>
      </c>
      <c r="I23" s="38">
        <f t="shared" si="12"/>
        <v>925</v>
      </c>
      <c r="J23" s="39">
        <v>0</v>
      </c>
      <c r="K23" s="39">
        <f t="shared" ca="1" si="13"/>
        <v>127.68711419753086</v>
      </c>
      <c r="L23" s="40">
        <v>0</v>
      </c>
      <c r="M23" s="41">
        <f t="shared" si="14"/>
        <v>925</v>
      </c>
      <c r="N23" s="42">
        <f ca="1">Calculator!$J$7</f>
        <v>0.55216049382716048</v>
      </c>
      <c r="O23" s="43">
        <f t="shared" ca="1" si="15"/>
        <v>127.68711419753086</v>
      </c>
      <c r="P23" s="44">
        <f t="shared" si="5"/>
        <v>0.25</v>
      </c>
      <c r="Q23" s="45">
        <f t="shared" ca="1" si="16"/>
        <v>127.68711419753086</v>
      </c>
      <c r="R23" s="46">
        <v>100</v>
      </c>
      <c r="S23" s="47">
        <v>1</v>
      </c>
      <c r="T23" s="48">
        <v>0.2</v>
      </c>
      <c r="U23" s="48">
        <f t="shared" si="17"/>
        <v>0.1</v>
      </c>
      <c r="V23" s="49">
        <f t="shared" ca="1" si="18"/>
        <v>127.68711419753086</v>
      </c>
      <c r="W23" s="50">
        <f t="shared" ca="1" si="19"/>
        <v>127.69</v>
      </c>
      <c r="X23" s="50">
        <f ca="1">ROUND(IF(BN23="Y",IF($C23&gt;X$6,$Q23*0.1875,($Q23-SUM($W23:W23))*0.375),IF($C23&lt;X$6,($Q23-SUM($W23:W23))*$T23,IF($C23&lt;=X$7,$Q23*$T23*(X$7-$C23)/365,0))),$C$6)</f>
        <v>0</v>
      </c>
      <c r="Y23" s="50">
        <f ca="1">ROUND(IF(BO23="Y",IF($C23&gt;Y$6,$Q23*0.1875,($Q23-SUM($W23:X23))*0.375),IF($C23&lt;Y$6,($Q23-SUM($W23:X23))*$T23,IF($C23&lt;=Y$7,$Q23*$T23*(Y$7-$C23)/365,0))),$C$6)</f>
        <v>0</v>
      </c>
      <c r="Z23" s="50">
        <f ca="1">ROUND(IF(BP23="Y",IF($C23&gt;Z$6,$Q23*0.1875,($Q23-SUM($W23:Y23))*0.375),IF($C23&lt;Z$6,($Q23-SUM($W23:Y23))*$T23,IF($C23&lt;=Z$7,$Q23*$T23*(Z$7-$C23)/365,0))),$C$6)</f>
        <v>0</v>
      </c>
      <c r="AA23" s="50">
        <f ca="1">ROUND(IF(BQ23="Y",IF($C23&gt;AA$6,$Q23*0.1875,($Q23-SUM($W23:Z23))*0.375),IF($C23&lt;AA$6,($Q23-SUM($W23:Z23))*$T23,IF($C23&lt;=AA$7,$Q23*$T23*(AA$7-$C23)/365,0))),$C$6)</f>
        <v>0</v>
      </c>
      <c r="AB23" s="100">
        <f t="shared" ca="1" si="7"/>
        <v>127.69</v>
      </c>
      <c r="AC23" s="105"/>
    </row>
    <row r="24" spans="1:31" ht="16.5">
      <c r="A24" s="30" t="str">
        <f t="shared" ca="1" si="8"/>
        <v>N</v>
      </c>
      <c r="B24" s="31" t="s">
        <v>93</v>
      </c>
      <c r="C24" s="32">
        <f>Calculator!$E$34</f>
        <v>42552</v>
      </c>
      <c r="D24" s="33" t="str">
        <f>IF(SUM(COUNTIF(B24,{"*Blinds*","*Curtains*"})),"50","1")</f>
        <v>1</v>
      </c>
      <c r="E24" s="34">
        <f>Calculator!$C$21</f>
        <v>140</v>
      </c>
      <c r="F24" s="35" t="str">
        <f>IF(ISNUMBER(SEARCH("Medium",Calculator!$C$19)),"55",IF(ISNUMBER(SEARCH("Low",Calculator!$C$19)),"20","75"))</f>
        <v>20</v>
      </c>
      <c r="G24" s="36" t="s">
        <v>84</v>
      </c>
      <c r="H24" s="37">
        <v>15</v>
      </c>
      <c r="I24" s="38">
        <f t="shared" ref="I24" si="20">E24*F24</f>
        <v>2800</v>
      </c>
      <c r="J24" s="39">
        <v>1</v>
      </c>
      <c r="K24" s="39">
        <f t="shared" ref="K24" ca="1" si="21">Q24/D24</f>
        <v>773.30077160493829</v>
      </c>
      <c r="L24" s="40">
        <v>0</v>
      </c>
      <c r="M24" s="41">
        <f t="shared" ref="M24" si="22">I24+L24</f>
        <v>2800</v>
      </c>
      <c r="N24" s="42">
        <f ca="1">Calculator!$J$7</f>
        <v>0.55216049382716048</v>
      </c>
      <c r="O24" s="43">
        <f t="shared" ref="O24" ca="1" si="23">Q24/D24</f>
        <v>773.30077160493829</v>
      </c>
      <c r="P24" s="44">
        <f t="shared" si="5"/>
        <v>0.25</v>
      </c>
      <c r="Q24" s="45">
        <f t="shared" ref="Q24" ca="1" si="24">IF(G24="Y",I24*S24,((M24+J24)*P24)*N24*S24)</f>
        <v>773.30077160493829</v>
      </c>
      <c r="R24" s="46">
        <v>100</v>
      </c>
      <c r="S24" s="47">
        <v>2</v>
      </c>
      <c r="T24" s="48">
        <v>0.1333</v>
      </c>
      <c r="U24" s="48">
        <v>6.6699999999999995E-2</v>
      </c>
      <c r="V24" s="49">
        <f t="shared" ref="V24" ca="1" si="25">IF(G24="Y",I24,(I24+L24)*P24*N24)</f>
        <v>386.51234567901236</v>
      </c>
      <c r="W24" s="50">
        <f t="shared" ref="W24" ca="1" si="26">IF(OR(H24=1,H24=2),Q24,ROUND(IF(AND(A24="Y",C24&lt;=W$7+1,$C24&gt;=W$6),$Q24,IF(BM24="Y",$Q24*0.1875,IF($C24&lt;=$W$7+1,$Q24*$T24*($W$7+1-$C24)/365,0))),$C$6))</f>
        <v>103.36</v>
      </c>
      <c r="X24" s="50">
        <f ca="1">ROUND(IF(BN24="Y",IF($C24&gt;X$6,$Q24*0.1875,($Q24-SUM($W24:W24))*0.375),IF($C24&lt;X$6,($Q24-SUM($W24:W24))*$T24,IF($C24&lt;=X$7,$Q24*$T24*(X$7-$C24)/365,0))),$C$6)</f>
        <v>89.3</v>
      </c>
      <c r="Y24" s="50">
        <f ca="1">ROUND(IF(BO24="Y",IF($C24&gt;Y$6,$Q24*0.1875,($Q24-SUM($W24:X24))*0.375),IF($C24&lt;Y$6,($Q24-SUM($W24:X24))*$T24,IF($C24&lt;=Y$7,$Q24*$T24*(Y$7-$C24)/365,0))),$C$6)</f>
        <v>77.400000000000006</v>
      </c>
      <c r="Z24" s="50">
        <f ca="1">ROUND(IF(BP24="Y",IF($C24&gt;Z$6,$Q24*0.1875,($Q24-SUM($W24:Y24))*0.375),IF($C24&lt;Z$6,($Q24-SUM($W24:Y24))*$T24,IF($C24&lt;=Z$7,$Q24*$T24*(Z$7-$C24)/365,0))),$C$6)</f>
        <v>67.08</v>
      </c>
      <c r="AA24" s="50">
        <f ca="1">ROUND(IF(BQ24="Y",IF($C24&gt;AA$6,$Q24*0.1875,($Q24-SUM($W24:Z24))*0.375),IF($C24&lt;AA$6,($Q24-SUM($W24:Z24))*$T24,IF($C24&lt;=AA$7,$Q24*$T24*(AA$7-$C24)/365,0))),$C$6)</f>
        <v>58.14</v>
      </c>
      <c r="AB24" s="100">
        <f t="shared" ca="1" si="7"/>
        <v>395.28</v>
      </c>
      <c r="AC24" s="105"/>
    </row>
    <row r="25" spans="1:31" ht="16.5">
      <c r="A25" s="30" t="str">
        <f t="shared" ca="1" si="8"/>
        <v>N</v>
      </c>
      <c r="B25" s="31" t="s">
        <v>92</v>
      </c>
      <c r="C25" s="32">
        <f>Calculator!$E$34</f>
        <v>42552</v>
      </c>
      <c r="D25" s="33" t="str">
        <f>IF(SUM(COUNTIF(B25,{"*Blinds*","*Curtains*"})),"50","1")</f>
        <v>50</v>
      </c>
      <c r="E25" s="34">
        <f>Calculator!$C$21*0.19</f>
        <v>26.6</v>
      </c>
      <c r="F25" s="35" t="str">
        <f>IF(ISNUMBER(SEARCH("Medium",Calculator!$C$19)),"107",IF(ISNUMBER(SEARCH("Low",Calculator!$C$19)),"97","117"))</f>
        <v>97</v>
      </c>
      <c r="G25" s="36" t="s">
        <v>84</v>
      </c>
      <c r="H25" s="37">
        <v>10</v>
      </c>
      <c r="I25" s="38">
        <f t="shared" ref="I25" si="27">E25*F25</f>
        <v>2580.2000000000003</v>
      </c>
      <c r="J25" s="39">
        <v>0</v>
      </c>
      <c r="K25" s="39">
        <f t="shared" ref="K25" ca="1" si="28">Q25/D25</f>
        <v>7.1234225308641976</v>
      </c>
      <c r="L25" s="40">
        <v>0</v>
      </c>
      <c r="M25" s="41">
        <f t="shared" ref="M25" si="29">I25+L25</f>
        <v>2580.2000000000003</v>
      </c>
      <c r="N25" s="42">
        <f ca="1">Calculator!$J$7</f>
        <v>0.55216049382716048</v>
      </c>
      <c r="O25" s="43">
        <f t="shared" ref="O25" ca="1" si="30">Q25/D25</f>
        <v>7.1234225308641976</v>
      </c>
      <c r="P25" s="44">
        <f t="shared" si="5"/>
        <v>0.25</v>
      </c>
      <c r="Q25" s="45">
        <f t="shared" ref="Q25" ca="1" si="31">IF(G25="Y",I25*S25,((M25+J25)*P25)*N25*S25)</f>
        <v>356.17112654320988</v>
      </c>
      <c r="R25" s="46">
        <v>100</v>
      </c>
      <c r="S25" s="47">
        <v>1</v>
      </c>
      <c r="T25" s="48">
        <v>0.2</v>
      </c>
      <c r="U25" s="48">
        <f t="shared" ref="U25" si="32">(100/H25)/100</f>
        <v>0.1</v>
      </c>
      <c r="V25" s="49">
        <f t="shared" ref="V25" ca="1" si="33">IF(G25="Y",I25,(I25+L25)*P25*N25)</f>
        <v>356.17112654320988</v>
      </c>
      <c r="W25" s="50">
        <f t="shared" ref="W25" ca="1" si="34">IF(OR(H25=1,H25=2),Q25,ROUND(IF(AND(A25="Y",C25&lt;=W$7+1,$C25&gt;=W$6),$Q25,IF(BM25="Y",$Q25*0.1875,IF($C25&lt;=$W$7+1,$Q25*$T25*($W$7+1-$C25)/365,0))),$C$6))</f>
        <v>71.430000000000007</v>
      </c>
      <c r="X25" s="50">
        <f ca="1">ROUND(IF(BN25="Y",IF($C25&gt;X$6,$Q25*0.1875,($Q25-SUM($W25:W25))*0.375),IF($C25&lt;X$6,($Q25-SUM($W25:W25))*$T25,IF($C25&lt;=X$7,$Q25*$T25*(X$7-$C25)/365,0))),$C$6)</f>
        <v>56.95</v>
      </c>
      <c r="Y25" s="50">
        <f ca="1">ROUND(IF(BO25="Y",IF($C25&gt;Y$6,$Q25*0.1875,($Q25-SUM($W25:X25))*0.375),IF($C25&lt;Y$6,($Q25-SUM($W25:X25))*$T25,IF($C25&lt;=Y$7,$Q25*$T25*(Y$7-$C25)/365,0))),$C$6)</f>
        <v>45.56</v>
      </c>
      <c r="Z25" s="50">
        <f ca="1">ROUND(IF(BP25="Y",IF($C25&gt;Z$6,$Q25*0.1875,($Q25-SUM($W25:Y25))*0.375),IF($C25&lt;Z$6,($Q25-SUM($W25:Y25))*$T25,IF($C25&lt;=Z$7,$Q25*$T25*(Z$7-$C25)/365,0))),$C$6)</f>
        <v>36.450000000000003</v>
      </c>
      <c r="AA25" s="50">
        <f ca="1">ROUND(IF(BQ25="Y",IF($C25&gt;AA$6,$Q25*0.1875,($Q25-SUM($W25:Z25))*0.375),IF($C25&lt;AA$6,($Q25-SUM($W25:Z25))*$T25,IF($C25&lt;=AA$7,$Q25*$T25*(AA$7-$C25)/365,0))),$C$6)</f>
        <v>29.16</v>
      </c>
      <c r="AB25" s="100">
        <f t="shared" ca="1" si="7"/>
        <v>239.54999999999998</v>
      </c>
      <c r="AC25" s="105"/>
    </row>
    <row r="26" spans="1:31" ht="15.75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100"/>
      <c r="AC26" s="100"/>
      <c r="AD26" s="75"/>
      <c r="AE26" s="75"/>
    </row>
    <row r="27" spans="1:31" s="91" customFormat="1" ht="16.5">
      <c r="A27" s="74"/>
      <c r="B27" s="75"/>
      <c r="C27" s="76"/>
      <c r="D27" s="77"/>
      <c r="E27" s="78"/>
      <c r="F27" s="78"/>
      <c r="G27" s="79"/>
      <c r="H27" s="79"/>
      <c r="I27" s="78"/>
      <c r="J27" s="80"/>
      <c r="K27" s="80"/>
      <c r="L27" s="81"/>
      <c r="M27" s="78"/>
      <c r="N27" s="82"/>
      <c r="O27" s="83"/>
      <c r="P27" s="84"/>
      <c r="Q27" s="85"/>
      <c r="R27" s="86"/>
      <c r="S27" s="87"/>
      <c r="T27" s="88"/>
      <c r="U27" s="88"/>
      <c r="V27" s="89"/>
      <c r="W27" s="90"/>
      <c r="X27" s="90"/>
      <c r="Y27" s="90"/>
      <c r="Z27" s="90"/>
      <c r="AA27" s="90"/>
      <c r="AB27" s="100"/>
      <c r="AC27" s="100"/>
    </row>
    <row r="28" spans="1:31" s="91" customFormat="1" ht="16.5">
      <c r="A28" s="74"/>
      <c r="B28" s="75"/>
      <c r="C28" s="76"/>
      <c r="D28" s="77"/>
      <c r="E28" s="78"/>
      <c r="F28" s="78"/>
      <c r="G28" s="79"/>
      <c r="H28" s="79"/>
      <c r="I28" s="78"/>
      <c r="J28" s="80"/>
      <c r="K28" s="80"/>
      <c r="L28" s="81"/>
      <c r="M28" s="78"/>
      <c r="N28" s="82"/>
      <c r="O28" s="83"/>
      <c r="P28" s="84"/>
      <c r="Q28" s="85"/>
      <c r="R28" s="86"/>
      <c r="S28" s="87"/>
      <c r="T28" s="88"/>
      <c r="U28" s="88"/>
      <c r="V28" s="89"/>
      <c r="W28" s="90"/>
      <c r="X28" s="90"/>
      <c r="Y28" s="90"/>
      <c r="Z28" s="90"/>
      <c r="AA28" s="90"/>
      <c r="AB28" s="100" t="s">
        <v>109</v>
      </c>
      <c r="AC28" s="100" t="s">
        <v>110</v>
      </c>
      <c r="AD28" s="92"/>
    </row>
    <row r="29" spans="1:31" ht="16.5">
      <c r="A29" s="30" t="str">
        <f ca="1">IF($Q29&lt;=301,"Y","N")</f>
        <v>Y</v>
      </c>
      <c r="B29" s="31" t="s">
        <v>111</v>
      </c>
      <c r="C29" s="32">
        <f>Calculator!$E$34</f>
        <v>42552</v>
      </c>
      <c r="D29" s="33" t="str">
        <f>IF(SUM(COUNTIF(B29,{"*Blinds*","*Curtains*"})),"50","1")</f>
        <v>1</v>
      </c>
      <c r="E29" s="35">
        <f>IF(ISNUMBER(SEARCH("Unit",Calculator!$C$19)),Calculator!$C$33,0)</f>
        <v>0</v>
      </c>
      <c r="F29" s="35" t="str">
        <f>IF(ISNUMBER(SEARCH("Medium",Calculator!$C$19)),"4000",IF(ISNUMBER(SEARCH("Low",Calculator!$C$19)),"3000","5000"))</f>
        <v>3000</v>
      </c>
      <c r="G29" s="36" t="s">
        <v>84</v>
      </c>
      <c r="H29" s="37">
        <v>12</v>
      </c>
      <c r="I29" s="38">
        <f t="shared" ref="I29:I40" si="35">E29*F29</f>
        <v>0</v>
      </c>
      <c r="J29" s="39">
        <v>0</v>
      </c>
      <c r="K29" s="39">
        <f t="shared" ref="K29:K40" ca="1" si="36">Q29/D29</f>
        <v>0</v>
      </c>
      <c r="L29" s="40">
        <v>0</v>
      </c>
      <c r="M29" s="41">
        <f t="shared" ref="M29:M40" si="37">I29+L29</f>
        <v>0</v>
      </c>
      <c r="N29" s="42">
        <f ca="1">Calculator!$J$7</f>
        <v>0.55216049382716048</v>
      </c>
      <c r="O29" s="43">
        <f t="shared" ref="O29:O32" ca="1" si="38">Q29/D29</f>
        <v>0</v>
      </c>
      <c r="P29" s="44">
        <f t="shared" ref="P29:P40" si="39">IF($L$3&gt;=1,5%,100%-$L$3)</f>
        <v>0.25</v>
      </c>
      <c r="Q29" s="45">
        <f ca="1">IF(G29="Y",I29*S29,(((M29+J29)*P29)*N29*S29))*$C$4</f>
        <v>0</v>
      </c>
      <c r="R29" s="46">
        <v>100</v>
      </c>
      <c r="S29" s="47">
        <v>1</v>
      </c>
      <c r="T29" s="48">
        <v>0.16669999999999999</v>
      </c>
      <c r="U29" s="48">
        <v>8.3333333333333343E-2</v>
      </c>
      <c r="V29" s="49">
        <f t="shared" ref="V29:V40" ca="1" si="40">IF(G29="Y",I29,(I29+L29)*P29*N29)</f>
        <v>0</v>
      </c>
      <c r="W29" s="50">
        <f t="shared" ref="W29:W40" ca="1" si="41">IF(OR(H29=1,H29=2),Q29,ROUND(IF(AND(A29="Y",C29&lt;=W$7+1,$C29&gt;=W$6),$Q29,IF(BM29="Y",$Q29*0.1875,IF($C29&lt;=$W$7+1,$Q29*$T29*($W$7+1-$C29)/365,0))),$C$6))</f>
        <v>0</v>
      </c>
      <c r="X29" s="50">
        <f ca="1">ROUND(IF(BN29="Y",IF($C29&gt;X$6,$Q29*0.1875,($Q29-SUM($W29:W29))*0.375),IF($C29&lt;X$6,($Q29-SUM($W29:W29))*$T29,IF($C29&lt;=X$7,$Q29*$T29*(X$7-$C29)/365,0))),$C$6)</f>
        <v>0</v>
      </c>
      <c r="Y29" s="50">
        <f ca="1">ROUND(IF(BO29="Y",IF($C29&gt;Y$6,$Q29*0.1875,($Q29-SUM($W29:X29))*0.375),IF($C29&lt;Y$6,($Q29-SUM($W29:X29))*$T29,IF($C29&lt;=Y$7,$Q29*$T29*(Y$7-$C29)/365,0))),$C$6)</f>
        <v>0</v>
      </c>
      <c r="Z29" s="50">
        <f ca="1">ROUND(IF(BP29="Y",IF($C29&gt;Z$6,$Q29*0.1875,($Q29-SUM($W29:Y29))*0.375),IF($C29&lt;Z$6,($Q29-SUM($W29:Y29))*$T29,IF($C29&lt;=Z$7,$Q29*$T29*(Z$7-$C29)/365,0))),$C$6)</f>
        <v>0</v>
      </c>
      <c r="AA29" s="50">
        <f ca="1">ROUND(IF(BQ29="Y",IF($C29&gt;AA$6,$Q29*0.1875,($Q29-SUM($W29:Z29))*0.375),IF($C29&lt;AA$6,($Q29-SUM($W29:Z29))*$T29,IF($C29&lt;=AA$7,$Q29*$T29*(AA$7-$C29)/365,0))),$C$6)</f>
        <v>0</v>
      </c>
      <c r="AB29" s="100">
        <f ca="1">W29+X29+Y29+Z29+AA29</f>
        <v>0</v>
      </c>
      <c r="AC29" s="100">
        <f ca="1">SUM(AB29:AB40)</f>
        <v>0</v>
      </c>
    </row>
    <row r="30" spans="1:31" ht="16.5">
      <c r="A30" s="30" t="str">
        <f t="shared" ref="A30:A40" ca="1" si="42">IF($Q30&lt;=301,"Y","N")</f>
        <v>Y</v>
      </c>
      <c r="B30" s="31" t="s">
        <v>112</v>
      </c>
      <c r="C30" s="32">
        <f>Calculator!$E$34</f>
        <v>42552</v>
      </c>
      <c r="D30" s="33" t="str">
        <f>IF(SUM(COUNTIF(B30,{"*Blinds*","*Curtains*"})),"50","1")</f>
        <v>1</v>
      </c>
      <c r="E30" s="35">
        <f>IF(ISNUMBER(SEARCH("Unit",Calculator!$C$19)),Calculator!$C$33,0)*2</f>
        <v>0</v>
      </c>
      <c r="F30" s="35" t="str">
        <f>IF(ISNUMBER(SEARCH("Medium",Calculator!$C$19)),"250",IF(ISNUMBER(SEARCH("Low",Calculator!$C$19)),"150","350"))</f>
        <v>150</v>
      </c>
      <c r="G30" s="36" t="s">
        <v>84</v>
      </c>
      <c r="H30" s="37">
        <v>12</v>
      </c>
      <c r="I30" s="38">
        <f t="shared" si="35"/>
        <v>0</v>
      </c>
      <c r="J30" s="39">
        <v>0</v>
      </c>
      <c r="K30" s="39">
        <f t="shared" ca="1" si="36"/>
        <v>0</v>
      </c>
      <c r="L30" s="40">
        <v>0</v>
      </c>
      <c r="M30" s="41">
        <f t="shared" si="37"/>
        <v>0</v>
      </c>
      <c r="N30" s="42">
        <f ca="1">Calculator!$J$7</f>
        <v>0.55216049382716048</v>
      </c>
      <c r="O30" s="43">
        <f t="shared" ca="1" si="38"/>
        <v>0</v>
      </c>
      <c r="P30" s="44">
        <f t="shared" si="39"/>
        <v>0.25</v>
      </c>
      <c r="Q30" s="45">
        <f t="shared" ref="Q30:Q38" ca="1" si="43">IF(G30="Y",I30*S30,(((M30+J30)*P30)*N30*S30))*$C$4</f>
        <v>0</v>
      </c>
      <c r="R30" s="46">
        <v>100</v>
      </c>
      <c r="S30" s="47">
        <v>1</v>
      </c>
      <c r="T30" s="48">
        <v>0.16669999999999999</v>
      </c>
      <c r="U30" s="48">
        <v>8.3333333333333343E-2</v>
      </c>
      <c r="V30" s="49">
        <f t="shared" ca="1" si="40"/>
        <v>0</v>
      </c>
      <c r="W30" s="50">
        <f t="shared" ca="1" si="41"/>
        <v>0</v>
      </c>
      <c r="X30" s="50">
        <f ca="1">ROUND(IF(BN30="Y",IF($C30&gt;X$6,$Q30*0.1875,($Q30-SUM($W30:W30))*0.375),IF($C30&lt;X$6,($Q30-SUM($W30:W30))*$T30,IF($C30&lt;=X$7,$Q30*$T30*(X$7-$C30)/365,0))),$C$6)</f>
        <v>0</v>
      </c>
      <c r="Y30" s="50">
        <f ca="1">ROUND(IF(BO30="Y",IF($C30&gt;Y$6,$Q30*0.1875,($Q30-SUM($W30:X30))*0.375),IF($C30&lt;Y$6,($Q30-SUM($W30:X30))*$T30,IF($C30&lt;=Y$7,$Q30*$T30*(Y$7-$C30)/365,0))),$C$6)</f>
        <v>0</v>
      </c>
      <c r="Z30" s="50">
        <f ca="1">ROUND(IF(BP30="Y",IF($C30&gt;Z$6,$Q30*0.1875,($Q30-SUM($W30:Y30))*0.375),IF($C30&lt;Z$6,($Q30-SUM($W30:Y30))*$T30,IF($C30&lt;=Z$7,$Q30*$T30*(Z$7-$C30)/365,0))),$C$6)</f>
        <v>0</v>
      </c>
      <c r="AA30" s="50">
        <f ca="1">ROUND(IF(BQ30="Y",IF($C30&gt;AA$6,$Q30*0.1875,($Q30-SUM($W30:Z30))*0.375),IF($C30&lt;AA$6,($Q30-SUM($W30:Z30))*$T30,IF($C30&lt;=AA$7,$Q30*$T30*(AA$7-$C30)/365,0))),$C$6)</f>
        <v>0</v>
      </c>
      <c r="AB30" s="100">
        <f t="shared" ref="AB30:AB40" ca="1" si="44">W30+X30+Y30+Z30+AA30</f>
        <v>0</v>
      </c>
      <c r="AC30" s="100"/>
    </row>
    <row r="31" spans="1:31" ht="16.5">
      <c r="A31" s="30" t="str">
        <f t="shared" ca="1" si="42"/>
        <v>Y</v>
      </c>
      <c r="B31" s="31" t="s">
        <v>113</v>
      </c>
      <c r="C31" s="32">
        <f>Calculator!$E$34</f>
        <v>42552</v>
      </c>
      <c r="D31" s="33" t="str">
        <f>IF(SUM(COUNTIF(B31,{"*Blinds*","*Curtains*"})),"50","1")</f>
        <v>1</v>
      </c>
      <c r="E31" s="35">
        <f>IF(ISNUMBER(SEARCH("Unit",Calculator!$C$19)),Calculator!$C$33,0)</f>
        <v>0</v>
      </c>
      <c r="F31" s="35" t="str">
        <f>IF(ISNUMBER(SEARCH("Medium",Calculator!$C$19)),"7000",IF(ISNUMBER(SEARCH("Low",Calculator!$C$19)),"5000","9000"))</f>
        <v>5000</v>
      </c>
      <c r="G31" s="36" t="s">
        <v>84</v>
      </c>
      <c r="H31" s="37">
        <v>25</v>
      </c>
      <c r="I31" s="38">
        <f t="shared" si="35"/>
        <v>0</v>
      </c>
      <c r="J31" s="39">
        <v>0</v>
      </c>
      <c r="K31" s="39">
        <f t="shared" ca="1" si="36"/>
        <v>0</v>
      </c>
      <c r="L31" s="40">
        <v>0</v>
      </c>
      <c r="M31" s="41">
        <f t="shared" si="37"/>
        <v>0</v>
      </c>
      <c r="N31" s="42">
        <f ca="1">Calculator!$J$7</f>
        <v>0.55216049382716048</v>
      </c>
      <c r="O31" s="43">
        <f t="shared" ca="1" si="38"/>
        <v>0</v>
      </c>
      <c r="P31" s="44">
        <f t="shared" si="39"/>
        <v>0.25</v>
      </c>
      <c r="Q31" s="45">
        <f t="shared" ca="1" si="43"/>
        <v>0</v>
      </c>
      <c r="R31" s="46">
        <v>100</v>
      </c>
      <c r="S31" s="47">
        <v>1</v>
      </c>
      <c r="T31" s="48">
        <v>0.08</v>
      </c>
      <c r="U31" s="48">
        <v>0.04</v>
      </c>
      <c r="V31" s="49">
        <f t="shared" ca="1" si="40"/>
        <v>0</v>
      </c>
      <c r="W31" s="50">
        <f t="shared" ca="1" si="41"/>
        <v>0</v>
      </c>
      <c r="X31" s="50">
        <f ca="1">ROUND(IF(BN31="Y",IF($C31&gt;X$6,$Q31*0.1875,($Q31-SUM($W31:W31))*0.375),IF($C31&lt;X$6,($Q31-SUM($W31:W31))*$T31,IF($C31&lt;=X$7,$Q31*$T31*(X$7-$C31)/365,0))),$C$6)</f>
        <v>0</v>
      </c>
      <c r="Y31" s="50">
        <f ca="1">ROUND(IF(BO31="Y",IF($C31&gt;Y$6,$Q31*0.1875,($Q31-SUM($W31:X31))*0.375),IF($C31&lt;Y$6,($Q31-SUM($W31:X31))*$T31,IF($C31&lt;=Y$7,$Q31*$T31*(Y$7-$C31)/365,0))),$C$6)</f>
        <v>0</v>
      </c>
      <c r="Z31" s="50">
        <f ca="1">ROUND(IF(BP31="Y",IF($C31&gt;Z$6,$Q31*0.1875,($Q31-SUM($W31:Y31))*0.375),IF($C31&lt;Z$6,($Q31-SUM($W31:Y31))*$T31,IF($C31&lt;=Z$7,$Q31*$T31*(Z$7-$C31)/365,0))),$C$6)</f>
        <v>0</v>
      </c>
      <c r="AA31" s="50">
        <f ca="1">ROUND(IF(BQ31="Y",IF($C31&gt;AA$6,$Q31*0.1875,($Q31-SUM($W31:Z31))*0.375),IF($C31&lt;AA$6,($Q31-SUM($W31:Z31))*$T31,IF($C31&lt;=AA$7,$Q31*$T31*(AA$7-$C31)/365,0))),$C$6)</f>
        <v>0</v>
      </c>
      <c r="AB31" s="100">
        <f t="shared" ca="1" si="44"/>
        <v>0</v>
      </c>
      <c r="AC31" s="100"/>
    </row>
    <row r="32" spans="1:31" ht="16.5">
      <c r="A32" s="30" t="str">
        <f t="shared" ca="1" si="42"/>
        <v>Y</v>
      </c>
      <c r="B32" s="31" t="s">
        <v>114</v>
      </c>
      <c r="C32" s="32">
        <f>Calculator!$E$34</f>
        <v>42552</v>
      </c>
      <c r="D32" s="33" t="str">
        <f>IF(SUM(COUNTIF(B32,{"*Blinds*","*Curtains*"})),"50","1")</f>
        <v>1</v>
      </c>
      <c r="E32" s="35">
        <f>IF(ISNUMBER(SEARCH("Unit",Calculator!$C$19)),Calculator!$C$33,0)</f>
        <v>0</v>
      </c>
      <c r="F32" s="35" t="str">
        <f>IF(ISNUMBER(SEARCH("Medium",Calculator!$C$19)),"4500",IF(ISNUMBER(SEARCH("Low",Calculator!$C$19)),"3500","5500"))</f>
        <v>3500</v>
      </c>
      <c r="G32" s="36" t="s">
        <v>84</v>
      </c>
      <c r="H32" s="37">
        <v>20</v>
      </c>
      <c r="I32" s="38">
        <f t="shared" si="35"/>
        <v>0</v>
      </c>
      <c r="J32" s="39">
        <v>0</v>
      </c>
      <c r="K32" s="39">
        <f t="shared" ca="1" si="36"/>
        <v>0</v>
      </c>
      <c r="L32" s="40">
        <v>0</v>
      </c>
      <c r="M32" s="41">
        <f t="shared" si="37"/>
        <v>0</v>
      </c>
      <c r="N32" s="42">
        <f ca="1">Calculator!$J$7</f>
        <v>0.55216049382716048</v>
      </c>
      <c r="O32" s="43">
        <f t="shared" ca="1" si="38"/>
        <v>0</v>
      </c>
      <c r="P32" s="44">
        <f t="shared" si="39"/>
        <v>0.25</v>
      </c>
      <c r="Q32" s="45">
        <f t="shared" ca="1" si="43"/>
        <v>0</v>
      </c>
      <c r="R32" s="46">
        <v>100</v>
      </c>
      <c r="S32" s="47">
        <v>1</v>
      </c>
      <c r="T32" s="48">
        <v>0.1</v>
      </c>
      <c r="U32" s="48">
        <v>0.05</v>
      </c>
      <c r="V32" s="49">
        <f t="shared" ca="1" si="40"/>
        <v>0</v>
      </c>
      <c r="W32" s="50">
        <f t="shared" ca="1" si="41"/>
        <v>0</v>
      </c>
      <c r="X32" s="50">
        <f ca="1">ROUND(IF(BN32="Y",IF($C32&gt;X$6,$Q32*0.1875,($Q32-SUM($W32:W32))*0.375),IF($C32&lt;X$6,($Q32-SUM($W32:W32))*$T32,IF($C32&lt;=X$7,$Q32*$T32*(X$7-$C32)/365,0))),$C$6)</f>
        <v>0</v>
      </c>
      <c r="Y32" s="50">
        <f ca="1">ROUND(IF(BO32="Y",IF($C32&gt;Y$6,$Q32*0.1875,($Q32-SUM($W32:X32))*0.375),IF($C32&lt;Y$6,($Q32-SUM($W32:X32))*$T32,IF($C32&lt;=Y$7,$Q32*$T32*(Y$7-$C32)/365,0))),$C$6)</f>
        <v>0</v>
      </c>
      <c r="Z32" s="50">
        <f ca="1">ROUND(IF(BP32="Y",IF($C32&gt;Z$6,$Q32*0.1875,($Q32-SUM($W32:Y32))*0.375),IF($C32&lt;Z$6,($Q32-SUM($W32:Y32))*$T32,IF($C32&lt;=Z$7,$Q32*$T32*(Z$7-$C32)/365,0))),$C$6)</f>
        <v>0</v>
      </c>
      <c r="AA32" s="50">
        <f ca="1">ROUND(IF(BQ32="Y",IF($C32&gt;AA$6,$Q32*0.1875,($Q32-SUM($W32:Z32))*0.375),IF($C32&lt;AA$6,($Q32-SUM($W32:Z32))*$T32,IF($C32&lt;=AA$7,$Q32*$T32*(AA$7-$C32)/365,0))),$C$6)</f>
        <v>0</v>
      </c>
      <c r="AB32" s="100">
        <f t="shared" ca="1" si="44"/>
        <v>0</v>
      </c>
      <c r="AC32" s="105"/>
    </row>
    <row r="33" spans="1:29" ht="16.5">
      <c r="A33" s="30" t="str">
        <f t="shared" ca="1" si="42"/>
        <v>Y</v>
      </c>
      <c r="B33" s="31" t="s">
        <v>115</v>
      </c>
      <c r="C33" s="32">
        <f>Calculator!$E$34</f>
        <v>42552</v>
      </c>
      <c r="D33" s="33" t="str">
        <f>IF(SUM(COUNTIF(B33,{"*Blinds*","*Curtains*"})),"50","1")</f>
        <v>1</v>
      </c>
      <c r="E33" s="35">
        <f>IF(ISNUMBER(SEARCH("Unit",Calculator!$C$19)),Calculator!$C$33,0)*2</f>
        <v>0</v>
      </c>
      <c r="F33" s="35" t="str">
        <f>IF(ISNUMBER(SEARCH("Medium",Calculator!$C$19)),"450",IF(ISNUMBER(SEARCH("Low",Calculator!$C$19)),"350","550"))</f>
        <v>350</v>
      </c>
      <c r="G33" s="36" t="s">
        <v>84</v>
      </c>
      <c r="H33" s="37">
        <v>15</v>
      </c>
      <c r="I33" s="38">
        <f t="shared" si="35"/>
        <v>0</v>
      </c>
      <c r="J33" s="39">
        <v>0</v>
      </c>
      <c r="K33" s="39">
        <f t="shared" ca="1" si="36"/>
        <v>0</v>
      </c>
      <c r="L33" s="40">
        <v>0</v>
      </c>
      <c r="M33" s="41">
        <f t="shared" si="37"/>
        <v>0</v>
      </c>
      <c r="N33" s="42">
        <f ca="1">Calculator!$J$7</f>
        <v>0.55216049382716048</v>
      </c>
      <c r="O33" s="43">
        <v>0</v>
      </c>
      <c r="P33" s="44">
        <f t="shared" si="39"/>
        <v>0.25</v>
      </c>
      <c r="Q33" s="45">
        <f t="shared" ca="1" si="43"/>
        <v>0</v>
      </c>
      <c r="R33" s="46">
        <v>100</v>
      </c>
      <c r="S33" s="47">
        <v>1</v>
      </c>
      <c r="T33" s="48">
        <v>0.1333</v>
      </c>
      <c r="U33" s="48">
        <v>6.6666666666666666E-2</v>
      </c>
      <c r="V33" s="49">
        <f t="shared" ca="1" si="40"/>
        <v>0</v>
      </c>
      <c r="W33" s="50">
        <f t="shared" ca="1" si="41"/>
        <v>0</v>
      </c>
      <c r="X33" s="50">
        <f ca="1">ROUND(IF(BN33="Y",IF($C33&gt;X$6,$Q33*0.1875,($Q33-SUM($W33:W33))*0.375),IF($C33&lt;X$6,($Q33-SUM($W33:W33))*$T33,IF($C33&lt;=X$7,$Q33*$T33*(X$7-$C33)/365,0))),$C$6)</f>
        <v>0</v>
      </c>
      <c r="Y33" s="50">
        <f ca="1">ROUND(IF(BO33="Y",IF($C33&gt;Y$6,$Q33*0.1875,($Q33-SUM($W33:X33))*0.375),IF($C33&lt;Y$6,($Q33-SUM($W33:X33))*$T33,IF($C33&lt;=Y$7,$Q33*$T33*(Y$7-$C33)/365,0))),$C$6)</f>
        <v>0</v>
      </c>
      <c r="Z33" s="50">
        <f ca="1">ROUND(IF(BP33="Y",IF($C33&gt;Z$6,$Q33*0.1875,($Q33-SUM($W33:Y33))*0.375),IF($C33&lt;Z$6,($Q33-SUM($W33:Y33))*$T33,IF($C33&lt;=Z$7,$Q33*$T33*(Z$7-$C33)/365,0))),$C$6)</f>
        <v>0</v>
      </c>
      <c r="AA33" s="50">
        <f ca="1">ROUND(IF(BQ33="Y",IF($C33&gt;AA$6,$Q33*0.1875,($Q33-SUM($W33:Z33))*0.375),IF($C33&lt;AA$6,($Q33-SUM($W33:Z33))*$T33,IF($C33&lt;=AA$7,$Q33*$T33*(AA$7-$C33)/365,0))),$C$6)</f>
        <v>0</v>
      </c>
      <c r="AB33" s="100">
        <f t="shared" ca="1" si="44"/>
        <v>0</v>
      </c>
      <c r="AC33" s="105"/>
    </row>
    <row r="34" spans="1:29" ht="16.5">
      <c r="A34" s="30" t="str">
        <f t="shared" ca="1" si="42"/>
        <v>Y</v>
      </c>
      <c r="B34" s="31" t="s">
        <v>116</v>
      </c>
      <c r="C34" s="32">
        <f>Calculator!$E$34</f>
        <v>42552</v>
      </c>
      <c r="D34" s="33" t="str">
        <f>IF(SUM(COUNTIF(B34,{"*Blinds*","*Curtains*"})),"50","1")</f>
        <v>1</v>
      </c>
      <c r="E34" s="35">
        <f>IF(ISNUMBER(SEARCH("Unit",Calculator!$C$19)),Calculator!$C$33,0)</f>
        <v>0</v>
      </c>
      <c r="F34" s="35" t="str">
        <f>IF(ISNUMBER(SEARCH("Medium",Calculator!$C$19)),"500",IF(ISNUMBER(SEARCH("Low",Calculator!$C$19)),"400","600"))</f>
        <v>400</v>
      </c>
      <c r="G34" s="36" t="s">
        <v>84</v>
      </c>
      <c r="H34" s="37">
        <v>10</v>
      </c>
      <c r="I34" s="38">
        <f t="shared" si="35"/>
        <v>0</v>
      </c>
      <c r="J34" s="39">
        <v>0</v>
      </c>
      <c r="K34" s="39">
        <f t="shared" ca="1" si="36"/>
        <v>0</v>
      </c>
      <c r="L34" s="40">
        <v>0</v>
      </c>
      <c r="M34" s="41">
        <f t="shared" si="37"/>
        <v>0</v>
      </c>
      <c r="N34" s="42">
        <f ca="1">Calculator!$J$7</f>
        <v>0.55216049382716048</v>
      </c>
      <c r="O34" s="43">
        <v>0</v>
      </c>
      <c r="P34" s="44">
        <f t="shared" si="39"/>
        <v>0.25</v>
      </c>
      <c r="Q34" s="45">
        <f t="shared" ca="1" si="43"/>
        <v>0</v>
      </c>
      <c r="R34" s="46">
        <v>100</v>
      </c>
      <c r="S34" s="47">
        <v>1</v>
      </c>
      <c r="T34" s="48">
        <v>0.2</v>
      </c>
      <c r="U34" s="48">
        <v>0.1</v>
      </c>
      <c r="V34" s="49">
        <f t="shared" ca="1" si="40"/>
        <v>0</v>
      </c>
      <c r="W34" s="50">
        <f t="shared" ca="1" si="41"/>
        <v>0</v>
      </c>
      <c r="X34" s="50">
        <f ca="1">ROUND(IF(BN34="Y",IF($C34&gt;X$6,$Q34*0.1875,($Q34-SUM($W34:W34))*0.375),IF($C34&lt;X$6,($Q34-SUM($W34:W34))*$T34,IF($C34&lt;=X$7,$Q34*$T34*(X$7-$C34)/365,0))),$C$6)</f>
        <v>0</v>
      </c>
      <c r="Y34" s="50">
        <f ca="1">ROUND(IF(BO34="Y",IF($C34&gt;Y$6,$Q34*0.1875,($Q34-SUM($W34:X34))*0.375),IF($C34&lt;Y$6,($Q34-SUM($W34:X34))*$T34,IF($C34&lt;=Y$7,$Q34*$T34*(Y$7-$C34)/365,0))),$C$6)</f>
        <v>0</v>
      </c>
      <c r="Z34" s="50">
        <f ca="1">ROUND(IF(BP34="Y",IF($C34&gt;Z$6,$Q34*0.1875,($Q34-SUM($W34:Y34))*0.375),IF($C34&lt;Z$6,($Q34-SUM($W34:Y34))*$T34,IF($C34&lt;=Z$7,$Q34*$T34*(Z$7-$C34)/365,0))),$C$6)</f>
        <v>0</v>
      </c>
      <c r="AA34" s="50">
        <f ca="1">ROUND(IF(BQ34="Y",IF($C34&gt;AA$6,$Q34*0.1875,($Q34-SUM($W34:Z34))*0.375),IF($C34&lt;AA$6,($Q34-SUM($W34:Z34))*$T34,IF($C34&lt;=AA$7,$Q34*$T34*(AA$7-$C34)/365,0))),$C$6)</f>
        <v>0</v>
      </c>
      <c r="AB34" s="100">
        <f t="shared" ca="1" si="44"/>
        <v>0</v>
      </c>
      <c r="AC34" s="105"/>
    </row>
    <row r="35" spans="1:29" ht="16.5">
      <c r="A35" s="30" t="str">
        <f t="shared" ca="1" si="42"/>
        <v>Y</v>
      </c>
      <c r="B35" s="31" t="s">
        <v>117</v>
      </c>
      <c r="C35" s="32">
        <f>Calculator!$E$34</f>
        <v>42552</v>
      </c>
      <c r="D35" s="33" t="str">
        <f>IF(SUM(COUNTIF(B35,{"*Blinds*","*Curtains*"})),"50","1")</f>
        <v>1</v>
      </c>
      <c r="E35" s="35">
        <f>IF(ISNUMBER(SEARCH("Unit",Calculator!$C$19)),Calculator!$C$33,0)</f>
        <v>0</v>
      </c>
      <c r="F35" s="35" t="str">
        <f>IF(ISNUMBER(SEARCH("Medium",Calculator!$C$19)),"2500",IF(ISNUMBER(SEARCH("Low",Calculator!$C$19)),"2000","3000"))</f>
        <v>2000</v>
      </c>
      <c r="G35" s="36" t="s">
        <v>84</v>
      </c>
      <c r="H35" s="37">
        <v>12</v>
      </c>
      <c r="I35" s="38">
        <f t="shared" si="35"/>
        <v>0</v>
      </c>
      <c r="J35" s="39">
        <v>0</v>
      </c>
      <c r="K35" s="39">
        <f t="shared" ca="1" si="36"/>
        <v>0</v>
      </c>
      <c r="L35" s="40">
        <v>0</v>
      </c>
      <c r="M35" s="41">
        <f t="shared" si="37"/>
        <v>0</v>
      </c>
      <c r="N35" s="42">
        <f ca="1">Calculator!$J$7</f>
        <v>0.55216049382716048</v>
      </c>
      <c r="O35" s="43">
        <v>0</v>
      </c>
      <c r="P35" s="44">
        <f t="shared" si="39"/>
        <v>0.25</v>
      </c>
      <c r="Q35" s="45">
        <f t="shared" ca="1" si="43"/>
        <v>0</v>
      </c>
      <c r="R35" s="46">
        <v>100</v>
      </c>
      <c r="S35" s="47">
        <v>1</v>
      </c>
      <c r="T35" s="48">
        <v>0.16669999999999999</v>
      </c>
      <c r="U35" s="48">
        <f t="shared" ref="U35:U40" si="45">(100/H35)/100</f>
        <v>8.3333333333333343E-2</v>
      </c>
      <c r="V35" s="49">
        <f t="shared" ca="1" si="40"/>
        <v>0</v>
      </c>
      <c r="W35" s="50">
        <f t="shared" ca="1" si="41"/>
        <v>0</v>
      </c>
      <c r="X35" s="50">
        <f ca="1">ROUND(IF(BN35="Y",IF($C35&gt;X$6,$Q35*0.1875,($Q35-SUM($W35:W35))*0.375),IF($C35&lt;X$6,($Q35-SUM($W35:W35))*$T35,IF($C35&lt;=X$7,$Q35*$T35*(X$7-$C35)/365,0))),$C$6)</f>
        <v>0</v>
      </c>
      <c r="Y35" s="50">
        <f ca="1">ROUND(IF(BO35="Y",IF($C35&gt;Y$6,$Q35*0.1875,($Q35-SUM($W35:X35))*0.375),IF($C35&lt;Y$6,($Q35-SUM($W35:X35))*$T35,IF($C35&lt;=Y$7,$Q35*$T35*(Y$7-$C35)/365,0))),$C$6)</f>
        <v>0</v>
      </c>
      <c r="Z35" s="50">
        <f ca="1">ROUND(IF(BP35="Y",IF($C35&gt;Z$6,$Q35*0.1875,($Q35-SUM($W35:Y35))*0.375),IF($C35&lt;Z$6,($Q35-SUM($W35:Y35))*$T35,IF($C35&lt;=Z$7,$Q35*$T35*(Z$7-$C35)/365,0))),$C$6)</f>
        <v>0</v>
      </c>
      <c r="AA35" s="50">
        <f ca="1">ROUND(IF(BQ35="Y",IF($C35&gt;AA$6,$Q35*0.1875,($Q35-SUM($W35:Z35))*0.375),IF($C35&lt;AA$6,($Q35-SUM($W35:Z35))*$T35,IF($C35&lt;=AA$7,$Q35*$T35*(AA$7-$C35)/365,0))),$C$6)</f>
        <v>0</v>
      </c>
      <c r="AB35" s="100">
        <f t="shared" ca="1" si="44"/>
        <v>0</v>
      </c>
      <c r="AC35" s="105"/>
    </row>
    <row r="36" spans="1:29" ht="16.5">
      <c r="A36" s="30" t="str">
        <f t="shared" ca="1" si="42"/>
        <v>Y</v>
      </c>
      <c r="B36" s="31" t="s">
        <v>118</v>
      </c>
      <c r="C36" s="32">
        <f>Calculator!$E$34</f>
        <v>42552</v>
      </c>
      <c r="D36" s="33" t="str">
        <f>IF(SUM(COUNTIF(B36,{"*Blinds*","*Curtains*"})),"50","1")</f>
        <v>1</v>
      </c>
      <c r="E36" s="35">
        <f>IF(ISNUMBER(SEARCH("Unit",Calculator!$C$19)),Calculator!$C$33,0)</f>
        <v>0</v>
      </c>
      <c r="F36" s="35" t="str">
        <f>IF(ISNUMBER(SEARCH("Medium",Calculator!$C$19)),"5500",IF(ISNUMBER(SEARCH("Low",Calculator!$C$19)),"5000","6200"))</f>
        <v>5000</v>
      </c>
      <c r="G36" s="36" t="s">
        <v>84</v>
      </c>
      <c r="H36" s="37">
        <v>30</v>
      </c>
      <c r="I36" s="38">
        <f t="shared" si="35"/>
        <v>0</v>
      </c>
      <c r="J36" s="39">
        <v>0</v>
      </c>
      <c r="K36" s="39">
        <f t="shared" ca="1" si="36"/>
        <v>0</v>
      </c>
      <c r="L36" s="40">
        <v>0</v>
      </c>
      <c r="M36" s="41">
        <f t="shared" si="37"/>
        <v>0</v>
      </c>
      <c r="N36" s="42">
        <f ca="1">Calculator!$J$7</f>
        <v>0.55216049382716048</v>
      </c>
      <c r="O36" s="43">
        <v>0</v>
      </c>
      <c r="P36" s="44">
        <f t="shared" si="39"/>
        <v>0.25</v>
      </c>
      <c r="Q36" s="45">
        <f t="shared" ca="1" si="43"/>
        <v>0</v>
      </c>
      <c r="R36" s="46">
        <v>100</v>
      </c>
      <c r="S36" s="47">
        <v>1</v>
      </c>
      <c r="T36" s="48">
        <v>6.6699999999999995E-2</v>
      </c>
      <c r="U36" s="48">
        <f t="shared" si="45"/>
        <v>3.3333333333333333E-2</v>
      </c>
      <c r="V36" s="49">
        <f t="shared" ca="1" si="40"/>
        <v>0</v>
      </c>
      <c r="W36" s="50">
        <f t="shared" ca="1" si="41"/>
        <v>0</v>
      </c>
      <c r="X36" s="50">
        <f ca="1">ROUND(IF(BN36="Y",IF($C36&gt;X$6,$Q36*0.1875,($Q36-SUM($W36:W36))*0.375),IF($C36&lt;X$6,($Q36-SUM($W36:W36))*$T36,IF($C36&lt;=X$7,$Q36*$T36*(X$7-$C36)/365,0))),$C$6)</f>
        <v>0</v>
      </c>
      <c r="Y36" s="50">
        <f ca="1">ROUND(IF(BO36="Y",IF($C36&gt;Y$6,$Q36*0.1875,($Q36-SUM($W36:X36))*0.375),IF($C36&lt;Y$6,($Q36-SUM($W36:X36))*$T36,IF($C36&lt;=Y$7,$Q36*$T36*(Y$7-$C36)/365,0))),$C$6)</f>
        <v>0</v>
      </c>
      <c r="Z36" s="50">
        <f ca="1">ROUND(IF(BP36="Y",IF($C36&gt;Z$6,$Q36*0.1875,($Q36-SUM($W36:Y36))*0.375),IF($C36&lt;Z$6,($Q36-SUM($W36:Y36))*$T36,IF($C36&lt;=Z$7,$Q36*$T36*(Z$7-$C36)/365,0))),$C$6)</f>
        <v>0</v>
      </c>
      <c r="AA36" s="50">
        <f ca="1">ROUND(IF(BQ36="Y",IF($C36&gt;AA$6,$Q36*0.1875,($Q36-SUM($W36:Z36))*0.375),IF($C36&lt;AA$6,($Q36-SUM($W36:Z36))*$T36,IF($C36&lt;=AA$7,$Q36*$T36*(AA$7-$C36)/365,0))),$C$6)</f>
        <v>0</v>
      </c>
      <c r="AB36" s="100">
        <f t="shared" ca="1" si="44"/>
        <v>0</v>
      </c>
      <c r="AC36" s="105"/>
    </row>
    <row r="37" spans="1:29" ht="16.5">
      <c r="A37" s="30" t="str">
        <f t="shared" ca="1" si="42"/>
        <v>Y</v>
      </c>
      <c r="B37" s="31" t="s">
        <v>119</v>
      </c>
      <c r="C37" s="32">
        <f>Calculator!$E$34</f>
        <v>42552</v>
      </c>
      <c r="D37" s="33" t="str">
        <f>IF(SUM(COUNTIF(B37,{"*Blinds*","*Curtains*"})),"50","1")</f>
        <v>1</v>
      </c>
      <c r="E37" s="35">
        <f>IF(ISNUMBER(SEARCH("Unit",Calculator!$C$19)),Calculator!$C$32,0)</f>
        <v>0</v>
      </c>
      <c r="F37" s="35" t="str">
        <f>IF(ISNUMBER(SEARCH("Medium",Calculator!$C$19)),"250",IF(ISNUMBER(SEARCH("Low",Calculator!$C$19)),"185","280"))</f>
        <v>185</v>
      </c>
      <c r="G37" s="36" t="s">
        <v>84</v>
      </c>
      <c r="H37" s="37">
        <v>10</v>
      </c>
      <c r="I37" s="38">
        <f t="shared" si="35"/>
        <v>0</v>
      </c>
      <c r="J37" s="39">
        <v>0</v>
      </c>
      <c r="K37" s="39">
        <f t="shared" ca="1" si="36"/>
        <v>0</v>
      </c>
      <c r="L37" s="40">
        <v>0</v>
      </c>
      <c r="M37" s="41">
        <f t="shared" si="37"/>
        <v>0</v>
      </c>
      <c r="N37" s="42">
        <f ca="1">Calculator!$J$7</f>
        <v>0.55216049382716048</v>
      </c>
      <c r="O37" s="43">
        <v>0</v>
      </c>
      <c r="P37" s="44">
        <f t="shared" si="39"/>
        <v>0.25</v>
      </c>
      <c r="Q37" s="45">
        <f t="shared" ca="1" si="43"/>
        <v>0</v>
      </c>
      <c r="R37" s="46">
        <v>100</v>
      </c>
      <c r="S37" s="47">
        <v>1</v>
      </c>
      <c r="T37" s="48">
        <v>0.2</v>
      </c>
      <c r="U37" s="48">
        <f t="shared" si="45"/>
        <v>0.1</v>
      </c>
      <c r="V37" s="49">
        <f t="shared" ca="1" si="40"/>
        <v>0</v>
      </c>
      <c r="W37" s="50">
        <f t="shared" ca="1" si="41"/>
        <v>0</v>
      </c>
      <c r="X37" s="50">
        <f ca="1">ROUND(IF(BN37="Y",IF($C37&gt;X$6,$Q37*0.1875,($Q37-SUM($W37:W37))*0.375),IF($C37&lt;X$6,($Q37-SUM($W37:W37))*$T37,IF($C37&lt;=X$7,$Q37*$T37*(X$7-$C37)/365,0))),$C$6)</f>
        <v>0</v>
      </c>
      <c r="Y37" s="50">
        <f ca="1">ROUND(IF(BO37="Y",IF($C37&gt;Y$6,$Q37*0.1875,($Q37-SUM($W37:X37))*0.375),IF($C37&lt;Y$6,($Q37-SUM($W37:X37))*$T37,IF($C37&lt;=Y$7,$Q37*$T37*(Y$7-$C37)/365,0))),$C$6)</f>
        <v>0</v>
      </c>
      <c r="Z37" s="50">
        <f ca="1">ROUND(IF(BP37="Y",IF($C37&gt;Z$6,$Q37*0.1875,($Q37-SUM($W37:Y37))*0.375),IF($C37&lt;Z$6,($Q37-SUM($W37:Y37))*$T37,IF($C37&lt;=Z$7,$Q37*$T37*(Z$7-$C37)/365,0))),$C$6)</f>
        <v>0</v>
      </c>
      <c r="AA37" s="50">
        <f ca="1">ROUND(IF(BQ37="Y",IF($C37&gt;AA$6,$Q37*0.1875,($Q37-SUM($W37:Z37))*0.375),IF($C37&lt;AA$6,($Q37-SUM($W37:Z37))*$T37,IF($C37&lt;=AA$7,$Q37*$T37*(AA$7-$C37)/365,0))),$C$6)</f>
        <v>0</v>
      </c>
      <c r="AB37" s="100">
        <f t="shared" ca="1" si="44"/>
        <v>0</v>
      </c>
      <c r="AC37" s="105"/>
    </row>
    <row r="38" spans="1:29" ht="16.5">
      <c r="A38" s="30" t="str">
        <f t="shared" ca="1" si="42"/>
        <v>Y</v>
      </c>
      <c r="B38" s="31" t="s">
        <v>91</v>
      </c>
      <c r="C38" s="32">
        <f>Calculator!$E$34</f>
        <v>42552</v>
      </c>
      <c r="D38" s="33" t="str">
        <f>IF(SUM(COUNTIF(B38,{"*Blinds*","*Curtains*"})),"50","1")</f>
        <v>1</v>
      </c>
      <c r="E38" s="35">
        <f>IF(ISNUMBER(SEARCH("Unit",Calculator!$C$19)),Calculator!$C$32,0)</f>
        <v>0</v>
      </c>
      <c r="F38" s="35" t="str">
        <f>IF(ISNUMBER(SEARCH("Medium",Calculator!$C$19)),"777",IF(ISNUMBER(SEARCH("Low",Calculator!$C$19)),"555","999"))</f>
        <v>555</v>
      </c>
      <c r="G38" s="36" t="s">
        <v>84</v>
      </c>
      <c r="H38" s="37">
        <v>10</v>
      </c>
      <c r="I38" s="38">
        <f t="shared" si="35"/>
        <v>0</v>
      </c>
      <c r="J38" s="39">
        <v>0</v>
      </c>
      <c r="K38" s="39">
        <f t="shared" ca="1" si="36"/>
        <v>0</v>
      </c>
      <c r="L38" s="40">
        <v>0</v>
      </c>
      <c r="M38" s="41">
        <f t="shared" si="37"/>
        <v>0</v>
      </c>
      <c r="N38" s="42">
        <f ca="1">Calculator!$J$7</f>
        <v>0.55216049382716048</v>
      </c>
      <c r="O38" s="43">
        <v>0</v>
      </c>
      <c r="P38" s="44">
        <f t="shared" si="39"/>
        <v>0.25</v>
      </c>
      <c r="Q38" s="45">
        <f t="shared" ca="1" si="43"/>
        <v>0</v>
      </c>
      <c r="R38" s="46">
        <v>100</v>
      </c>
      <c r="S38" s="47">
        <v>1</v>
      </c>
      <c r="T38" s="48">
        <v>0.16669999999999999</v>
      </c>
      <c r="U38" s="48">
        <f t="shared" si="45"/>
        <v>0.1</v>
      </c>
      <c r="V38" s="49">
        <f t="shared" ca="1" si="40"/>
        <v>0</v>
      </c>
      <c r="W38" s="50">
        <f t="shared" ca="1" si="41"/>
        <v>0</v>
      </c>
      <c r="X38" s="50">
        <f ca="1">ROUND(IF(BN38="Y",IF($C38&gt;X$6,$Q38*0.1875,($Q38-SUM($W38:W38))*0.375),IF($C38&lt;X$6,($Q38-SUM($W38:W38))*$T38,IF($C38&lt;=X$7,$Q38*$T38*(X$7-$C38)/365,0))),$C$6)</f>
        <v>0</v>
      </c>
      <c r="Y38" s="50">
        <f ca="1">ROUND(IF(BO38="Y",IF($C38&gt;Y$6,$Q38*0.1875,($Q38-SUM($W38:X38))*0.375),IF($C38&lt;Y$6,($Q38-SUM($W38:X38))*$T38,IF($C38&lt;=Y$7,$Q38*$T38*(Y$7-$C38)/365,0))),$C$6)</f>
        <v>0</v>
      </c>
      <c r="Z38" s="50">
        <f ca="1">ROUND(IF(BP38="Y",IF($C38&gt;Z$6,$Q38*0.1875,($Q38-SUM($W38:Y38))*0.375),IF($C38&lt;Z$6,($Q38-SUM($W38:Y38))*$T38,IF($C38&lt;=Z$7,$Q38*$T38*(Z$7-$C38)/365,0))),$C$6)</f>
        <v>0</v>
      </c>
      <c r="AA38" s="50">
        <f ca="1">ROUND(IF(BQ38="Y",IF($C38&gt;AA$6,$Q38*0.1875,($Q38-SUM($W38:Z38))*0.375),IF($C38&lt;AA$6,($Q38-SUM($W38:Z38))*$T38,IF($C38&lt;=AA$7,$Q38*$T38*(AA$7-$C38)/365,0))),$C$6)</f>
        <v>0</v>
      </c>
      <c r="AB38" s="100">
        <f t="shared" ca="1" si="44"/>
        <v>0</v>
      </c>
      <c r="AC38" s="105"/>
    </row>
    <row r="39" spans="1:29" ht="16.5">
      <c r="A39" s="30" t="str">
        <f t="shared" ca="1" si="42"/>
        <v>Y</v>
      </c>
      <c r="B39" s="31" t="s">
        <v>93</v>
      </c>
      <c r="C39" s="32">
        <f>Calculator!$E$34</f>
        <v>42552</v>
      </c>
      <c r="D39" s="33" t="str">
        <f>IF(SUM(COUNTIF(B39,{"*Blinds*","*Curtains*"})),"50","1")</f>
        <v>1</v>
      </c>
      <c r="E39" s="35">
        <f>IF(ISNUMBER(SEARCH("Unit",Calculator!$C$19)),Calculator!$C$32*Calculator!$C$21,0)*0.9</f>
        <v>0</v>
      </c>
      <c r="F39" s="35" t="str">
        <f>IF(ISNUMBER(SEARCH("Medium",Calculator!$C$19)),"65",IF(ISNUMBER(SEARCH("Low",Calculator!$C$19)),"55","75"))</f>
        <v>55</v>
      </c>
      <c r="G39" s="36" t="s">
        <v>84</v>
      </c>
      <c r="H39" s="37">
        <v>15</v>
      </c>
      <c r="I39" s="38">
        <f t="shared" si="35"/>
        <v>0</v>
      </c>
      <c r="J39" s="39">
        <v>0</v>
      </c>
      <c r="K39" s="39">
        <f t="shared" ca="1" si="36"/>
        <v>0</v>
      </c>
      <c r="L39" s="40">
        <v>0</v>
      </c>
      <c r="M39" s="41">
        <f t="shared" si="37"/>
        <v>0</v>
      </c>
      <c r="N39" s="42">
        <f ca="1">Calculator!$J$7</f>
        <v>0.55216049382716048</v>
      </c>
      <c r="O39" s="43">
        <v>0</v>
      </c>
      <c r="P39" s="44">
        <f t="shared" si="39"/>
        <v>0.25</v>
      </c>
      <c r="Q39" s="45">
        <f ca="1">IF(G39="Y",I39*S39,(((M39+J39)*P39)*N39*S39))*$C$4</f>
        <v>0</v>
      </c>
      <c r="R39" s="46">
        <v>100</v>
      </c>
      <c r="S39" s="47">
        <v>1</v>
      </c>
      <c r="T39" s="48">
        <v>0.1333</v>
      </c>
      <c r="U39" s="48">
        <f t="shared" si="45"/>
        <v>6.6666666666666666E-2</v>
      </c>
      <c r="V39" s="49">
        <f t="shared" ca="1" si="40"/>
        <v>0</v>
      </c>
      <c r="W39" s="50">
        <f t="shared" ca="1" si="41"/>
        <v>0</v>
      </c>
      <c r="X39" s="50">
        <f ca="1">ROUND(IF(BN39="Y",IF($C39&gt;X$6,$Q39*0.1875,($Q39-SUM($W39:W39))*0.375),IF($C39&lt;X$6,($Q39-SUM($W39:W39))*$T39,IF($C39&lt;=X$7,$Q39*$T39*(X$7-$C39)/365,0))),$C$6)</f>
        <v>0</v>
      </c>
      <c r="Y39" s="50">
        <f ca="1">ROUND(IF(BO39="Y",IF($C39&gt;Y$6,$Q39*0.1875,($Q39-SUM($W39:X39))*0.375),IF($C39&lt;Y$6,($Q39-SUM($W39:X39))*$T39,IF($C39&lt;=Y$7,$Q39*$T39*(Y$7-$C39)/365,0))),$C$6)</f>
        <v>0</v>
      </c>
      <c r="Z39" s="50">
        <f ca="1">ROUND(IF(BP39="Y",IF($C39&gt;Z$6,$Q39*0.1875,($Q39-SUM($W39:Y39))*0.375),IF($C39&lt;Z$6,($Q39-SUM($W39:Y39))*$T39,IF($C39&lt;=Z$7,$Q39*$T39*(Z$7-$C39)/365,0))),$C$6)</f>
        <v>0</v>
      </c>
      <c r="AA39" s="50">
        <f ca="1">ROUND(IF(BQ39="Y",IF($C39&gt;AA$6,$Q39*0.1875,($Q39-SUM($W39:Z39))*0.375),IF($C39&lt;AA$6,($Q39-SUM($W39:Z39))*$T39,IF($C39&lt;=AA$7,$Q39*$T39*(AA$7-$C39)/365,0))),$C$6)</f>
        <v>0</v>
      </c>
      <c r="AB39" s="100">
        <f t="shared" ca="1" si="44"/>
        <v>0</v>
      </c>
      <c r="AC39" s="105"/>
    </row>
    <row r="40" spans="1:29" ht="16.5">
      <c r="A40" s="30" t="str">
        <f t="shared" ca="1" si="42"/>
        <v>Y</v>
      </c>
      <c r="B40" s="31" t="s">
        <v>83</v>
      </c>
      <c r="C40" s="32">
        <f>Calculator!$E$34</f>
        <v>42552</v>
      </c>
      <c r="D40" s="33" t="str">
        <f>IF(SUM(COUNTIF(B40,{"*Blinds*","*Curtains*"})),"50","1")</f>
        <v>1</v>
      </c>
      <c r="E40" s="35">
        <f>IF(ISNUMBER(SEARCH("Unit",Calculator!$C$19)),Calculator!$C$32*Calculator!$C$21,0)*0.9</f>
        <v>0</v>
      </c>
      <c r="F40" s="35" t="str">
        <f>IF(ISNUMBER(SEARCH("Medium",Calculator!$C$19)),"107",IF(ISNUMBER(SEARCH("Low",Calculator!$C$19)),"97","117"))</f>
        <v>97</v>
      </c>
      <c r="G40" s="36" t="s">
        <v>84</v>
      </c>
      <c r="H40" s="37">
        <v>10</v>
      </c>
      <c r="I40" s="38">
        <f t="shared" si="35"/>
        <v>0</v>
      </c>
      <c r="J40" s="39">
        <v>0</v>
      </c>
      <c r="K40" s="39">
        <f t="shared" ca="1" si="36"/>
        <v>0</v>
      </c>
      <c r="L40" s="40">
        <v>0</v>
      </c>
      <c r="M40" s="41">
        <f t="shared" si="37"/>
        <v>0</v>
      </c>
      <c r="N40" s="42">
        <f ca="1">Calculator!$J$7</f>
        <v>0.55216049382716048</v>
      </c>
      <c r="O40" s="43">
        <v>0</v>
      </c>
      <c r="P40" s="44">
        <f t="shared" si="39"/>
        <v>0.25</v>
      </c>
      <c r="Q40" s="45">
        <f ca="1">IF(G40="Y",I40*S40,(((M40+J40)*P40)*N40*S40))*$C$4</f>
        <v>0</v>
      </c>
      <c r="R40" s="46">
        <v>100</v>
      </c>
      <c r="S40" s="47">
        <v>1</v>
      </c>
      <c r="T40" s="48">
        <v>0.2</v>
      </c>
      <c r="U40" s="48">
        <f t="shared" si="45"/>
        <v>0.1</v>
      </c>
      <c r="V40" s="49">
        <f t="shared" ca="1" si="40"/>
        <v>0</v>
      </c>
      <c r="W40" s="50">
        <f t="shared" ca="1" si="41"/>
        <v>0</v>
      </c>
      <c r="X40" s="50">
        <f ca="1">ROUND(IF(BN40="Y",IF($C40&gt;X$6,$Q40*0.1875,($Q40-SUM($W40:W40))*0.375),IF($C40&lt;X$6,($Q40-SUM($W40:W40))*$T40,IF($C40&lt;=X$7,$Q40*$T40*(X$7-$C40)/365,0))),$C$6)</f>
        <v>0</v>
      </c>
      <c r="Y40" s="50">
        <f ca="1">ROUND(IF(BO40="Y",IF($C40&gt;Y$6,$Q40*0.1875,($Q40-SUM($W40:X40))*0.375),IF($C40&lt;Y$6,($Q40-SUM($W40:X40))*$T40,IF($C40&lt;=Y$7,$Q40*$T40*(Y$7-$C40)/365,0))),$C$6)</f>
        <v>0</v>
      </c>
      <c r="Z40" s="50">
        <f ca="1">ROUND(IF(BP40="Y",IF($C40&gt;Z$6,$Q40*0.1875,($Q40-SUM($W40:Y40))*0.375),IF($C40&lt;Z$6,($Q40-SUM($W40:Y40))*$T40,IF($C40&lt;=Z$7,$Q40*$T40*(Z$7-$C40)/365,0))),$C$6)</f>
        <v>0</v>
      </c>
      <c r="AA40" s="50">
        <f ca="1">ROUND(IF(BQ40="Y",IF($C40&gt;AA$6,$Q40*0.1875,($Q40-SUM($W40:Z40))*0.375),IF($C40&lt;AA$6,($Q40-SUM($W40:Z40))*$T40,IF($C40&lt;=AA$7,$Q40*$T40*(AA$7-$C40)/365,0))),$C$6)</f>
        <v>0</v>
      </c>
      <c r="AB40" s="100">
        <f t="shared" ca="1" si="44"/>
        <v>0</v>
      </c>
      <c r="AC40" s="105"/>
    </row>
    <row r="41" spans="1:29">
      <c r="W41" s="100">
        <f ca="1">IF(AND(T44="Yes", T45="No"),0,SUM(W10:W40))</f>
        <v>1747.5100000000002</v>
      </c>
      <c r="X41" s="100">
        <f ca="1">IF(AND(T44="Yes", T45="No"),0,SUM(X10:X40))</f>
        <v>257.14999999999998</v>
      </c>
      <c r="Y41" s="100">
        <f ca="1">IF(AND(T44="Yes", T45="No"),0,SUM(Y10:Y40))</f>
        <v>214.95</v>
      </c>
      <c r="Z41" s="100">
        <f ca="1">IF(AND(T44="Yes", T45="No"),0,SUM(Y10:Y40))</f>
        <v>214.95</v>
      </c>
      <c r="AA41" s="100">
        <f ca="1">IF(AND(T44="Yes", T45="No"),0,SUM(AA10:AA40))</f>
        <v>150.91</v>
      </c>
      <c r="AB41" s="100">
        <f ca="1">SUM(W41:Z41)</f>
        <v>2434.56</v>
      </c>
      <c r="AC41" s="105"/>
    </row>
    <row r="44" spans="1:29">
      <c r="S44" t="s">
        <v>132</v>
      </c>
      <c r="T44" t="str">
        <f>Calculator!AI30</f>
        <v>No</v>
      </c>
    </row>
    <row r="45" spans="1:29">
      <c r="S45" t="s">
        <v>133</v>
      </c>
      <c r="T45" t="str">
        <f>Calculator!AI31</f>
        <v>No</v>
      </c>
    </row>
  </sheetData>
  <dataConsolidate/>
  <mergeCells count="2">
    <mergeCell ref="M2:N2"/>
    <mergeCell ref="A6:A7"/>
  </mergeCells>
  <pageMargins left="0.7" right="0.7" top="0.75" bottom="0.75" header="0.3" footer="0.3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FC50881E-E9A5-4BD4-A41D-52FE20F6266A}">
          <x14:formula1>
            <xm:f>'\\MCG-NAS\Staff\TAX\Mm Tax Temp\[Capital Allowance &amp; Tax Depreciation Schedule - MCG Quantity Surveyors.xlsm]Effective Life'!#REF!</xm:f>
          </x14:formula1>
          <xm:sqref>M2:N2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6B54-5DCC-43C1-8E57-B3EC589FE102}">
  <dimension ref="B1:N11"/>
  <sheetViews>
    <sheetView workbookViewId="0">
      <selection activeCell="P10" sqref="P10"/>
    </sheetView>
  </sheetViews>
  <sheetFormatPr defaultRowHeight="15"/>
  <cols>
    <col min="2" max="2" width="10.85546875" bestFit="1" customWidth="1"/>
    <col min="4" max="4" width="7.7109375" customWidth="1"/>
    <col min="5" max="5" width="22.28515625" customWidth="1"/>
    <col min="6" max="6" width="11" bestFit="1" customWidth="1"/>
    <col min="9" max="9" width="11.28515625" bestFit="1" customWidth="1"/>
    <col min="10" max="10" width="11" bestFit="1" customWidth="1"/>
    <col min="13" max="13" width="11.28515625" bestFit="1" customWidth="1"/>
    <col min="14" max="14" width="11" bestFit="1" customWidth="1"/>
    <col min="17" max="17" width="18.28515625" bestFit="1" customWidth="1"/>
  </cols>
  <sheetData>
    <row r="1" spans="2:14" ht="19.5" thickBot="1">
      <c r="C1" s="114" t="s">
        <v>28</v>
      </c>
      <c r="D1" s="114"/>
      <c r="E1" s="114"/>
      <c r="F1" s="114"/>
      <c r="G1" s="115" t="s">
        <v>29</v>
      </c>
      <c r="H1" s="115"/>
      <c r="I1" s="115"/>
      <c r="J1" s="115"/>
      <c r="K1" s="115" t="s">
        <v>30</v>
      </c>
      <c r="L1" s="115"/>
      <c r="M1" s="115"/>
      <c r="N1" s="115"/>
    </row>
    <row r="2" spans="2:14" ht="16.5" thickTop="1" thickBot="1">
      <c r="C2" s="9" t="s">
        <v>5</v>
      </c>
      <c r="D2" s="9" t="s">
        <v>3</v>
      </c>
      <c r="E2" s="9" t="s">
        <v>4</v>
      </c>
      <c r="F2" s="9" t="s">
        <v>6</v>
      </c>
      <c r="G2" s="9" t="s">
        <v>5</v>
      </c>
      <c r="H2" s="9" t="s">
        <v>3</v>
      </c>
      <c r="I2" s="9" t="s">
        <v>4</v>
      </c>
      <c r="J2" s="9" t="s">
        <v>6</v>
      </c>
      <c r="K2" s="9" t="s">
        <v>5</v>
      </c>
      <c r="L2" s="9" t="s">
        <v>3</v>
      </c>
      <c r="M2" s="9" t="s">
        <v>4</v>
      </c>
      <c r="N2" s="9" t="s">
        <v>6</v>
      </c>
    </row>
    <row r="3" spans="2:14" ht="16.5" thickTop="1" thickBot="1">
      <c r="B3" s="9" t="s">
        <v>15</v>
      </c>
      <c r="C3" s="12">
        <f>1150*1.1</f>
        <v>1265</v>
      </c>
      <c r="D3" s="13">
        <f>2030*1.1</f>
        <v>2233</v>
      </c>
      <c r="E3" s="13">
        <f>1350*1.1</f>
        <v>1485.0000000000002</v>
      </c>
      <c r="F3" s="13">
        <f>C3*1.15</f>
        <v>1454.75</v>
      </c>
      <c r="G3" s="13">
        <f>1385*1.1</f>
        <v>1523.5000000000002</v>
      </c>
      <c r="H3" s="13">
        <f>2215*1.1</f>
        <v>2436.5</v>
      </c>
      <c r="I3" s="13">
        <f>1470*1.1</f>
        <v>1617.0000000000002</v>
      </c>
      <c r="J3" s="13">
        <f>G3*1.15</f>
        <v>1752.0250000000001</v>
      </c>
      <c r="K3" s="13">
        <f>1800*1.1</f>
        <v>1980.0000000000002</v>
      </c>
      <c r="L3" s="13">
        <f>2765*1.1</f>
        <v>3041.5000000000005</v>
      </c>
      <c r="M3" s="13">
        <f>1645*1.1</f>
        <v>1809.5000000000002</v>
      </c>
      <c r="N3" s="13">
        <f>K3*1.15</f>
        <v>2277</v>
      </c>
    </row>
    <row r="4" spans="2:14" ht="16.5" thickTop="1" thickBot="1">
      <c r="B4" s="9" t="s">
        <v>17</v>
      </c>
      <c r="C4" s="14">
        <f>1220*1.1</f>
        <v>1342</v>
      </c>
      <c r="D4" s="6">
        <f>2115*1.1</f>
        <v>2326.5</v>
      </c>
      <c r="E4" s="6">
        <f>1600*1.1</f>
        <v>1760.0000000000002</v>
      </c>
      <c r="F4" s="13">
        <f t="shared" ref="F4:F7" si="0">C4*1.15</f>
        <v>1543.3</v>
      </c>
      <c r="G4" s="6">
        <f>1640*1.1</f>
        <v>1804.0000000000002</v>
      </c>
      <c r="H4" s="6">
        <f>2275*1.1</f>
        <v>2502.5</v>
      </c>
      <c r="I4" s="6">
        <f>1750*1.1</f>
        <v>1925.0000000000002</v>
      </c>
      <c r="J4" s="13">
        <f t="shared" ref="J4:J7" si="1">G4*1.15</f>
        <v>2074.6</v>
      </c>
      <c r="K4" s="6">
        <f>1885*1.1</f>
        <v>2073.5</v>
      </c>
      <c r="L4" s="6">
        <f>2815*1.1</f>
        <v>3096.5000000000005</v>
      </c>
      <c r="M4" s="6">
        <f>1910*1.1</f>
        <v>2101</v>
      </c>
      <c r="N4" s="13">
        <f t="shared" ref="N4:N7" si="2">K4*1.15</f>
        <v>2384.5249999999996</v>
      </c>
    </row>
    <row r="5" spans="2:14" ht="16.5" thickTop="1" thickBot="1">
      <c r="B5" s="9" t="s">
        <v>16</v>
      </c>
      <c r="C5" s="14">
        <f>1190*1.1</f>
        <v>1309</v>
      </c>
      <c r="D5" s="6">
        <f>2110*1.1</f>
        <v>2321</v>
      </c>
      <c r="E5" s="6">
        <f>1705*1.1</f>
        <v>1875.5000000000002</v>
      </c>
      <c r="F5" s="13">
        <f t="shared" si="0"/>
        <v>1505.35</v>
      </c>
      <c r="G5" s="6">
        <f>1680*1.1</f>
        <v>1848.0000000000002</v>
      </c>
      <c r="H5" s="6">
        <f>2280*1.1</f>
        <v>2508</v>
      </c>
      <c r="I5" s="6">
        <f>1835*1.1</f>
        <v>2018.5000000000002</v>
      </c>
      <c r="J5" s="13">
        <f t="shared" si="1"/>
        <v>2125.2000000000003</v>
      </c>
      <c r="K5" s="6">
        <f>2140*1.1</f>
        <v>2354</v>
      </c>
      <c r="L5" s="6">
        <f>2845*1.1</f>
        <v>3129.5000000000005</v>
      </c>
      <c r="M5" s="6">
        <f>2080*1.1</f>
        <v>2288</v>
      </c>
      <c r="N5" s="13">
        <f t="shared" si="2"/>
        <v>2707.1</v>
      </c>
    </row>
    <row r="6" spans="2:14" ht="16.5" thickTop="1" thickBot="1">
      <c r="B6" s="9" t="s">
        <v>20</v>
      </c>
      <c r="C6" s="14">
        <f>1005*1.1</f>
        <v>1105.5</v>
      </c>
      <c r="D6" s="6">
        <f>2335*1.1</f>
        <v>2568.5</v>
      </c>
      <c r="E6" s="6">
        <f>1710*1.1</f>
        <v>1881.0000000000002</v>
      </c>
      <c r="F6" s="13">
        <f t="shared" si="0"/>
        <v>1271.3249999999998</v>
      </c>
      <c r="G6" s="6">
        <f>1600*1.1</f>
        <v>1760.0000000000002</v>
      </c>
      <c r="H6" s="6">
        <f>2495*1.1</f>
        <v>2744.5</v>
      </c>
      <c r="I6" s="6">
        <f>1840*1.1</f>
        <v>2024.0000000000002</v>
      </c>
      <c r="J6" s="13">
        <f t="shared" si="1"/>
        <v>2024</v>
      </c>
      <c r="K6" s="6">
        <f>2425*1.1</f>
        <v>2667.5</v>
      </c>
      <c r="L6" s="6">
        <f>3170*1.1</f>
        <v>3487.0000000000005</v>
      </c>
      <c r="M6" s="6">
        <f>2075*1.1</f>
        <v>2282.5</v>
      </c>
      <c r="N6" s="13">
        <f t="shared" si="2"/>
        <v>3067.6249999999995</v>
      </c>
    </row>
    <row r="7" spans="2:14" ht="16.5" thickTop="1" thickBot="1">
      <c r="B7" s="9" t="s">
        <v>14</v>
      </c>
      <c r="C7" s="14">
        <f>1255*1.1</f>
        <v>1380.5</v>
      </c>
      <c r="D7" s="6">
        <f>2150*1.1</f>
        <v>2365</v>
      </c>
      <c r="E7" s="6">
        <f>1760*1.1</f>
        <v>1936.0000000000002</v>
      </c>
      <c r="F7" s="13">
        <f t="shared" si="0"/>
        <v>1587.5749999999998</v>
      </c>
      <c r="G7" s="6">
        <f>1885*1.1</f>
        <v>2073.5</v>
      </c>
      <c r="H7" s="6">
        <f>2305*1.1</f>
        <v>2535.5</v>
      </c>
      <c r="I7" s="6">
        <f>1940*1.1</f>
        <v>2134</v>
      </c>
      <c r="J7" s="13">
        <f t="shared" si="1"/>
        <v>2384.5249999999996</v>
      </c>
      <c r="K7" s="6">
        <f>2585*1.1</f>
        <v>2843.5000000000005</v>
      </c>
      <c r="L7" s="6">
        <f>2865*1.1</f>
        <v>3151.5000000000005</v>
      </c>
      <c r="M7" s="6">
        <f>2195*1.1</f>
        <v>2414.5</v>
      </c>
      <c r="N7" s="13">
        <f t="shared" si="2"/>
        <v>3270.0250000000001</v>
      </c>
    </row>
    <row r="8" spans="2:14" ht="16.5" thickTop="1" thickBot="1">
      <c r="B8" s="11" t="s">
        <v>18</v>
      </c>
      <c r="C8" s="15">
        <f>C3*1.15</f>
        <v>1454.75</v>
      </c>
      <c r="D8" s="15">
        <f t="shared" ref="D8:N8" si="3">D3*1.15</f>
        <v>2567.9499999999998</v>
      </c>
      <c r="E8" s="15">
        <f t="shared" si="3"/>
        <v>1707.7500000000002</v>
      </c>
      <c r="F8" s="15">
        <f t="shared" si="3"/>
        <v>1672.9624999999999</v>
      </c>
      <c r="G8" s="15">
        <f t="shared" si="3"/>
        <v>1752.0250000000001</v>
      </c>
      <c r="H8" s="15">
        <f t="shared" si="3"/>
        <v>2801.9749999999999</v>
      </c>
      <c r="I8" s="15">
        <f t="shared" si="3"/>
        <v>1859.5500000000002</v>
      </c>
      <c r="J8" s="15">
        <f t="shared" si="3"/>
        <v>2014.8287499999999</v>
      </c>
      <c r="K8" s="15">
        <f t="shared" si="3"/>
        <v>2277</v>
      </c>
      <c r="L8" s="15">
        <f t="shared" si="3"/>
        <v>3497.7250000000004</v>
      </c>
      <c r="M8" s="15">
        <f t="shared" si="3"/>
        <v>2080.9250000000002</v>
      </c>
      <c r="N8" s="15">
        <f t="shared" si="3"/>
        <v>2618.5499999999997</v>
      </c>
    </row>
    <row r="9" spans="2:14" ht="16.5" thickTop="1" thickBot="1">
      <c r="B9" s="11" t="s">
        <v>19</v>
      </c>
      <c r="C9" s="15">
        <v>1335</v>
      </c>
      <c r="D9" s="16">
        <v>2419</v>
      </c>
      <c r="E9" s="16">
        <v>1819</v>
      </c>
      <c r="F9" s="16">
        <v>1536</v>
      </c>
      <c r="G9" s="16">
        <v>1857</v>
      </c>
      <c r="H9" s="16">
        <v>2610</v>
      </c>
      <c r="I9" s="16">
        <v>1983</v>
      </c>
      <c r="J9" s="16">
        <v>2136</v>
      </c>
      <c r="K9" s="16">
        <v>2467</v>
      </c>
      <c r="L9" s="16">
        <v>3258</v>
      </c>
      <c r="M9" s="16">
        <v>2226</v>
      </c>
      <c r="N9" s="16">
        <v>2837</v>
      </c>
    </row>
    <row r="10" spans="2:14" ht="16.5" thickTop="1" thickBot="1">
      <c r="B10" s="11" t="s">
        <v>21</v>
      </c>
      <c r="C10" s="15">
        <f>C7*1.08</f>
        <v>1490.94</v>
      </c>
      <c r="D10" s="15">
        <f t="shared" ref="D10:N10" si="4">D7*1.08</f>
        <v>2554.2000000000003</v>
      </c>
      <c r="E10" s="15">
        <f t="shared" si="4"/>
        <v>2090.8800000000006</v>
      </c>
      <c r="F10" s="15">
        <f t="shared" si="4"/>
        <v>1714.5809999999999</v>
      </c>
      <c r="G10" s="15">
        <f t="shared" si="4"/>
        <v>2239.38</v>
      </c>
      <c r="H10" s="15">
        <f t="shared" si="4"/>
        <v>2738.34</v>
      </c>
      <c r="I10" s="15">
        <f t="shared" si="4"/>
        <v>2304.7200000000003</v>
      </c>
      <c r="J10" s="15">
        <f t="shared" si="4"/>
        <v>2575.2869999999998</v>
      </c>
      <c r="K10" s="15">
        <f t="shared" si="4"/>
        <v>3070.9800000000005</v>
      </c>
      <c r="L10" s="15">
        <f t="shared" si="4"/>
        <v>3403.6200000000008</v>
      </c>
      <c r="M10" s="15">
        <f t="shared" si="4"/>
        <v>2607.6600000000003</v>
      </c>
      <c r="N10" s="15">
        <f t="shared" si="4"/>
        <v>3531.6270000000004</v>
      </c>
    </row>
    <row r="11" spans="2:14" ht="15.75" thickTop="1"/>
  </sheetData>
  <mergeCells count="3">
    <mergeCell ref="C1:F1"/>
    <mergeCell ref="G1:J1"/>
    <mergeCell ref="K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D9046-E48F-401F-A45A-4525DE973B2F}">
  <dimension ref="B1:H420"/>
  <sheetViews>
    <sheetView workbookViewId="0">
      <selection activeCell="P10" sqref="P10"/>
    </sheetView>
  </sheetViews>
  <sheetFormatPr defaultRowHeight="15"/>
  <cols>
    <col min="2" max="2" width="15.42578125" customWidth="1"/>
    <col min="3" max="3" width="12.140625" style="5" customWidth="1"/>
    <col min="7" max="7" width="19.7109375" bestFit="1" customWidth="1"/>
    <col min="8" max="8" width="11.5703125" bestFit="1" customWidth="1"/>
  </cols>
  <sheetData>
    <row r="1" spans="2:8" ht="90">
      <c r="B1" s="2" t="s">
        <v>0</v>
      </c>
      <c r="C1" s="4" t="s">
        <v>1</v>
      </c>
      <c r="G1" t="s">
        <v>22</v>
      </c>
      <c r="H1" t="s">
        <v>23</v>
      </c>
    </row>
    <row r="2" spans="2:8">
      <c r="B2" s="3">
        <v>31229</v>
      </c>
      <c r="C2" s="5">
        <v>97</v>
      </c>
      <c r="G2">
        <v>1986</v>
      </c>
      <c r="H2">
        <v>111.5</v>
      </c>
    </row>
    <row r="3" spans="2:8">
      <c r="B3" s="3">
        <v>31260</v>
      </c>
      <c r="C3" s="5">
        <v>98.333333333333329</v>
      </c>
      <c r="G3">
        <v>1987</v>
      </c>
      <c r="H3">
        <v>121.4</v>
      </c>
    </row>
    <row r="4" spans="2:8">
      <c r="B4" s="3">
        <v>31291</v>
      </c>
      <c r="C4" s="5">
        <v>99.666666666666657</v>
      </c>
      <c r="G4">
        <v>1988</v>
      </c>
      <c r="H4">
        <v>134.80000000000001</v>
      </c>
    </row>
    <row r="5" spans="2:8">
      <c r="B5" s="3">
        <v>31321</v>
      </c>
      <c r="C5" s="5">
        <v>100.99999999999999</v>
      </c>
      <c r="G5">
        <v>1989</v>
      </c>
      <c r="H5">
        <v>144.5</v>
      </c>
    </row>
    <row r="6" spans="2:8">
      <c r="B6" s="3">
        <v>31352</v>
      </c>
      <c r="C6" s="5">
        <v>102.33333333333331</v>
      </c>
      <c r="G6">
        <v>1990</v>
      </c>
      <c r="H6">
        <v>151.80000000000001</v>
      </c>
    </row>
    <row r="7" spans="2:8">
      <c r="B7" s="3">
        <v>31382</v>
      </c>
      <c r="C7" s="5">
        <v>103.66666666666664</v>
      </c>
      <c r="G7">
        <v>1991</v>
      </c>
      <c r="H7">
        <v>152.19999999999999</v>
      </c>
    </row>
    <row r="8" spans="2:8">
      <c r="B8" s="3">
        <v>31413</v>
      </c>
      <c r="C8" s="5">
        <v>104.99999999999997</v>
      </c>
      <c r="G8">
        <v>1992</v>
      </c>
      <c r="H8">
        <v>146.4</v>
      </c>
    </row>
    <row r="9" spans="2:8">
      <c r="B9" s="3">
        <v>31444</v>
      </c>
      <c r="C9" s="5">
        <v>106.3333333333333</v>
      </c>
      <c r="G9">
        <v>1993</v>
      </c>
      <c r="H9">
        <v>146.80000000000001</v>
      </c>
    </row>
    <row r="10" spans="2:8">
      <c r="B10" s="3">
        <v>31472</v>
      </c>
      <c r="C10" s="5">
        <v>107.66666666666663</v>
      </c>
      <c r="G10">
        <v>1994</v>
      </c>
      <c r="H10">
        <v>148.69999999999999</v>
      </c>
    </row>
    <row r="11" spans="2:8">
      <c r="B11" s="3">
        <v>31503</v>
      </c>
      <c r="C11" s="5">
        <v>108.99999999999996</v>
      </c>
      <c r="G11">
        <v>1995</v>
      </c>
      <c r="H11">
        <v>155</v>
      </c>
    </row>
    <row r="12" spans="2:8">
      <c r="B12" s="3">
        <v>31533</v>
      </c>
      <c r="C12" s="5">
        <v>110.33333333333329</v>
      </c>
      <c r="G12">
        <v>1996</v>
      </c>
      <c r="H12">
        <v>158</v>
      </c>
    </row>
    <row r="13" spans="2:8">
      <c r="B13" s="3">
        <v>31564</v>
      </c>
      <c r="C13" s="5">
        <v>111.66666666666661</v>
      </c>
      <c r="G13">
        <v>1997</v>
      </c>
      <c r="H13">
        <v>160.80000000000001</v>
      </c>
    </row>
    <row r="14" spans="2:8">
      <c r="B14" s="3">
        <v>31594</v>
      </c>
      <c r="C14" s="5">
        <v>113</v>
      </c>
      <c r="G14">
        <v>1998</v>
      </c>
      <c r="H14">
        <v>163.30000000000001</v>
      </c>
    </row>
    <row r="15" spans="2:8">
      <c r="B15" s="3">
        <v>31625</v>
      </c>
      <c r="C15" s="5">
        <v>113.66666666666667</v>
      </c>
      <c r="G15">
        <v>1999</v>
      </c>
      <c r="H15">
        <v>169.3</v>
      </c>
    </row>
    <row r="16" spans="2:8">
      <c r="B16" s="3">
        <v>31656</v>
      </c>
      <c r="C16" s="5">
        <v>114.33333333333334</v>
      </c>
      <c r="G16">
        <v>2000</v>
      </c>
      <c r="H16">
        <v>178.2</v>
      </c>
    </row>
    <row r="17" spans="2:8">
      <c r="B17" s="3">
        <v>31686</v>
      </c>
      <c r="C17" s="5">
        <v>115.00000000000001</v>
      </c>
      <c r="G17">
        <v>2001</v>
      </c>
      <c r="H17">
        <v>178.9</v>
      </c>
    </row>
    <row r="18" spans="2:8">
      <c r="B18" s="3">
        <v>31717</v>
      </c>
      <c r="C18" s="5">
        <v>115.66666666666669</v>
      </c>
      <c r="G18">
        <v>2002</v>
      </c>
      <c r="H18">
        <v>185.2</v>
      </c>
    </row>
    <row r="19" spans="2:8">
      <c r="B19" s="3">
        <v>31747</v>
      </c>
      <c r="C19" s="5">
        <v>116.33333333333336</v>
      </c>
      <c r="G19">
        <v>2003</v>
      </c>
      <c r="H19">
        <v>194.1</v>
      </c>
    </row>
    <row r="20" spans="2:8">
      <c r="B20" s="3">
        <v>31778</v>
      </c>
      <c r="C20" s="5">
        <v>117.00000000000003</v>
      </c>
      <c r="G20">
        <v>2004</v>
      </c>
      <c r="H20">
        <v>203.2</v>
      </c>
    </row>
    <row r="21" spans="2:8">
      <c r="B21" s="3">
        <v>31809</v>
      </c>
      <c r="C21" s="5">
        <v>117.6666666666667</v>
      </c>
      <c r="G21">
        <v>2005</v>
      </c>
      <c r="H21">
        <v>212.4</v>
      </c>
    </row>
    <row r="22" spans="2:8">
      <c r="B22" s="3">
        <v>31837</v>
      </c>
      <c r="C22" s="5">
        <v>118.333333333333</v>
      </c>
      <c r="G22">
        <v>2006</v>
      </c>
      <c r="H22">
        <v>221.6</v>
      </c>
    </row>
    <row r="23" spans="2:8">
      <c r="B23" s="3">
        <v>31868</v>
      </c>
      <c r="C23" s="5">
        <v>119.00000000000004</v>
      </c>
      <c r="G23">
        <v>2007</v>
      </c>
      <c r="H23">
        <v>230.9</v>
      </c>
    </row>
    <row r="24" spans="2:8">
      <c r="B24" s="3">
        <v>31898</v>
      </c>
      <c r="C24" s="5">
        <v>119.66666666666671</v>
      </c>
      <c r="G24">
        <v>2008</v>
      </c>
      <c r="H24">
        <v>241.7</v>
      </c>
    </row>
    <row r="25" spans="2:8">
      <c r="B25" s="3">
        <v>31929</v>
      </c>
      <c r="C25" s="5">
        <v>120.33333333333339</v>
      </c>
      <c r="G25">
        <v>2009</v>
      </c>
      <c r="H25">
        <v>243.6</v>
      </c>
    </row>
    <row r="26" spans="2:8">
      <c r="B26" s="3">
        <v>31959</v>
      </c>
      <c r="C26" s="5">
        <v>121</v>
      </c>
      <c r="G26">
        <v>2010</v>
      </c>
      <c r="H26">
        <v>244.4</v>
      </c>
    </row>
    <row r="27" spans="2:8">
      <c r="B27" s="3">
        <v>31990</v>
      </c>
      <c r="C27" s="5">
        <v>122.25</v>
      </c>
      <c r="G27">
        <v>2011</v>
      </c>
      <c r="H27">
        <v>247.9</v>
      </c>
    </row>
    <row r="28" spans="2:8">
      <c r="B28" s="3">
        <v>32021</v>
      </c>
      <c r="C28" s="5">
        <v>123.5</v>
      </c>
      <c r="G28">
        <v>2012</v>
      </c>
      <c r="H28">
        <v>253.4</v>
      </c>
    </row>
    <row r="29" spans="2:8">
      <c r="B29" s="3">
        <v>32051</v>
      </c>
      <c r="C29" s="5">
        <v>124.75</v>
      </c>
      <c r="G29">
        <v>2013</v>
      </c>
      <c r="H29">
        <v>256.89999999999998</v>
      </c>
    </row>
    <row r="30" spans="2:8">
      <c r="B30" s="3">
        <v>32082</v>
      </c>
      <c r="C30" s="5">
        <v>126</v>
      </c>
      <c r="G30">
        <v>2014</v>
      </c>
      <c r="H30">
        <v>262.89999999999998</v>
      </c>
    </row>
    <row r="31" spans="2:8">
      <c r="B31" s="3">
        <v>32112</v>
      </c>
      <c r="C31" s="5">
        <v>127.25</v>
      </c>
      <c r="G31">
        <v>2015</v>
      </c>
      <c r="H31">
        <v>273.3</v>
      </c>
    </row>
    <row r="32" spans="2:8">
      <c r="B32" s="3">
        <v>32143</v>
      </c>
      <c r="C32" s="5">
        <v>128.5</v>
      </c>
      <c r="G32">
        <v>2016</v>
      </c>
      <c r="H32">
        <v>283.5</v>
      </c>
    </row>
    <row r="33" spans="2:8">
      <c r="B33" s="3">
        <v>32174</v>
      </c>
      <c r="C33" s="5">
        <v>129.75</v>
      </c>
      <c r="G33">
        <v>2017</v>
      </c>
      <c r="H33">
        <v>291</v>
      </c>
    </row>
    <row r="34" spans="2:8">
      <c r="B34" s="3">
        <v>32203</v>
      </c>
      <c r="C34" s="5">
        <v>131</v>
      </c>
      <c r="G34">
        <v>2018</v>
      </c>
      <c r="H34">
        <v>302.8</v>
      </c>
    </row>
    <row r="35" spans="2:8">
      <c r="B35" s="3">
        <v>32234</v>
      </c>
      <c r="C35" s="5">
        <v>132.25</v>
      </c>
      <c r="G35">
        <v>2019</v>
      </c>
      <c r="H35">
        <v>315.8</v>
      </c>
    </row>
    <row r="36" spans="2:8">
      <c r="B36" s="3">
        <v>32264</v>
      </c>
      <c r="C36" s="5">
        <v>133.5</v>
      </c>
      <c r="G36">
        <v>2020</v>
      </c>
      <c r="H36">
        <v>323</v>
      </c>
    </row>
    <row r="37" spans="2:8">
      <c r="B37" s="3">
        <v>32295</v>
      </c>
      <c r="C37" s="5">
        <v>134.75</v>
      </c>
    </row>
    <row r="38" spans="2:8">
      <c r="B38" s="3">
        <v>32325</v>
      </c>
      <c r="C38" s="5">
        <v>136</v>
      </c>
    </row>
    <row r="39" spans="2:8">
      <c r="B39" s="3">
        <v>32356</v>
      </c>
      <c r="C39" s="5">
        <v>136.75</v>
      </c>
    </row>
    <row r="40" spans="2:8">
      <c r="B40" s="3">
        <v>32387</v>
      </c>
      <c r="C40" s="5">
        <v>137.5</v>
      </c>
    </row>
    <row r="41" spans="2:8">
      <c r="B41" s="3">
        <v>32417</v>
      </c>
      <c r="C41" s="5">
        <v>138.25</v>
      </c>
    </row>
    <row r="42" spans="2:8">
      <c r="B42" s="3">
        <v>32448</v>
      </c>
      <c r="C42" s="5">
        <v>139</v>
      </c>
    </row>
    <row r="43" spans="2:8">
      <c r="B43" s="3">
        <v>32478</v>
      </c>
      <c r="C43" s="5">
        <v>139.75</v>
      </c>
    </row>
    <row r="44" spans="2:8">
      <c r="B44" s="3">
        <v>32509</v>
      </c>
      <c r="C44" s="5">
        <v>140.5</v>
      </c>
    </row>
    <row r="45" spans="2:8">
      <c r="B45" s="3">
        <v>32540</v>
      </c>
      <c r="C45" s="5">
        <v>141.25</v>
      </c>
    </row>
    <row r="46" spans="2:8">
      <c r="B46" s="3">
        <v>32568</v>
      </c>
      <c r="C46" s="5">
        <v>142</v>
      </c>
    </row>
    <row r="47" spans="2:8">
      <c r="B47" s="3">
        <v>32599</v>
      </c>
      <c r="C47" s="5">
        <v>142.75</v>
      </c>
    </row>
    <row r="48" spans="2:8">
      <c r="B48" s="3">
        <v>32629</v>
      </c>
      <c r="C48" s="5">
        <v>143.5</v>
      </c>
    </row>
    <row r="49" spans="2:3">
      <c r="B49" s="3">
        <v>32660</v>
      </c>
      <c r="C49" s="5">
        <v>144.25</v>
      </c>
    </row>
    <row r="50" spans="2:3">
      <c r="B50" s="3">
        <v>32690</v>
      </c>
      <c r="C50" s="5">
        <v>145</v>
      </c>
    </row>
    <row r="51" spans="2:3">
      <c r="B51" s="3">
        <v>32721</v>
      </c>
      <c r="C51" s="5">
        <v>145.66666666666666</v>
      </c>
    </row>
    <row r="52" spans="2:3">
      <c r="B52" s="3">
        <v>32752</v>
      </c>
      <c r="C52" s="5">
        <v>146.33333333333331</v>
      </c>
    </row>
    <row r="53" spans="2:3">
      <c r="B53" s="3">
        <v>32782</v>
      </c>
      <c r="C53" s="5">
        <v>146.99999999999997</v>
      </c>
    </row>
    <row r="54" spans="2:3">
      <c r="B54" s="3">
        <v>32813</v>
      </c>
      <c r="C54" s="5">
        <v>147.66666666666663</v>
      </c>
    </row>
    <row r="55" spans="2:3">
      <c r="B55" s="3">
        <v>32843</v>
      </c>
      <c r="C55" s="5">
        <v>148.33333333333329</v>
      </c>
    </row>
    <row r="56" spans="2:3">
      <c r="B56" s="3">
        <v>32874</v>
      </c>
      <c r="C56" s="5">
        <v>148.99999999999994</v>
      </c>
    </row>
    <row r="57" spans="2:3">
      <c r="B57" s="3">
        <v>32905</v>
      </c>
      <c r="C57" s="5">
        <v>149.6666666666666</v>
      </c>
    </row>
    <row r="58" spans="2:3">
      <c r="B58" s="3">
        <v>32933</v>
      </c>
      <c r="C58" s="5">
        <v>150.33333333333326</v>
      </c>
    </row>
    <row r="59" spans="2:3">
      <c r="B59" s="3">
        <v>32964</v>
      </c>
      <c r="C59" s="5">
        <v>150.99999999999991</v>
      </c>
    </row>
    <row r="60" spans="2:3">
      <c r="B60" s="3">
        <v>32994</v>
      </c>
      <c r="C60" s="5">
        <v>151.66666666666657</v>
      </c>
    </row>
    <row r="61" spans="2:3">
      <c r="B61" s="3">
        <v>33025</v>
      </c>
      <c r="C61" s="5">
        <v>152.33333333333323</v>
      </c>
    </row>
    <row r="62" spans="2:3">
      <c r="B62" s="3">
        <v>33055</v>
      </c>
      <c r="C62" s="5">
        <v>153</v>
      </c>
    </row>
    <row r="63" spans="2:3">
      <c r="B63" s="3">
        <v>33086</v>
      </c>
      <c r="C63" s="5">
        <v>153</v>
      </c>
    </row>
    <row r="64" spans="2:3">
      <c r="B64" s="3">
        <v>33117</v>
      </c>
      <c r="C64" s="5">
        <v>153</v>
      </c>
    </row>
    <row r="65" spans="2:3">
      <c r="B65" s="3">
        <v>33147</v>
      </c>
      <c r="C65" s="5">
        <v>153</v>
      </c>
    </row>
    <row r="66" spans="2:3">
      <c r="B66" s="3">
        <v>33178</v>
      </c>
      <c r="C66" s="5">
        <v>153</v>
      </c>
    </row>
    <row r="67" spans="2:3">
      <c r="B67" s="3">
        <v>33208</v>
      </c>
      <c r="C67" s="5">
        <v>153</v>
      </c>
    </row>
    <row r="68" spans="2:3">
      <c r="B68" s="3">
        <v>33239</v>
      </c>
      <c r="C68" s="5">
        <v>153</v>
      </c>
    </row>
    <row r="69" spans="2:3">
      <c r="B69" s="3">
        <v>33270</v>
      </c>
      <c r="C69" s="5">
        <v>153</v>
      </c>
    </row>
    <row r="70" spans="2:3">
      <c r="B70" s="3">
        <v>33298</v>
      </c>
      <c r="C70" s="5">
        <v>153</v>
      </c>
    </row>
    <row r="71" spans="2:3">
      <c r="B71" s="3">
        <v>33329</v>
      </c>
      <c r="C71" s="5">
        <v>153</v>
      </c>
    </row>
    <row r="72" spans="2:3">
      <c r="B72" s="3">
        <v>33359</v>
      </c>
      <c r="C72" s="5">
        <v>153</v>
      </c>
    </row>
    <row r="73" spans="2:3">
      <c r="B73" s="3">
        <v>33390</v>
      </c>
      <c r="C73" s="5">
        <v>153</v>
      </c>
    </row>
    <row r="74" spans="2:3">
      <c r="B74" s="3">
        <v>33420</v>
      </c>
      <c r="C74" s="5">
        <v>153</v>
      </c>
    </row>
    <row r="75" spans="2:3">
      <c r="B75" s="3">
        <v>33451</v>
      </c>
      <c r="C75" s="5">
        <v>152.33333333333334</v>
      </c>
    </row>
    <row r="76" spans="2:3">
      <c r="B76" s="3">
        <v>33482</v>
      </c>
      <c r="C76" s="5">
        <v>151.66666666666669</v>
      </c>
    </row>
    <row r="77" spans="2:3">
      <c r="B77" s="3">
        <v>33512</v>
      </c>
      <c r="C77" s="5">
        <v>151.00000000000003</v>
      </c>
    </row>
    <row r="78" spans="2:3">
      <c r="B78" s="3">
        <v>33543</v>
      </c>
      <c r="C78" s="5">
        <v>150.33333333333337</v>
      </c>
    </row>
    <row r="79" spans="2:3">
      <c r="B79" s="3">
        <v>33573</v>
      </c>
      <c r="C79" s="5">
        <v>149.66666666666671</v>
      </c>
    </row>
    <row r="80" spans="2:3">
      <c r="B80" s="3">
        <v>33604</v>
      </c>
      <c r="C80" s="5">
        <v>149.00000000000006</v>
      </c>
    </row>
    <row r="81" spans="2:3">
      <c r="B81" s="3">
        <v>33635</v>
      </c>
      <c r="C81" s="5">
        <v>148.3333333333334</v>
      </c>
    </row>
    <row r="82" spans="2:3">
      <c r="B82" s="3">
        <v>33664</v>
      </c>
      <c r="C82" s="5">
        <v>147.66666666666674</v>
      </c>
    </row>
    <row r="83" spans="2:3">
      <c r="B83" s="3">
        <v>33695</v>
      </c>
      <c r="C83" s="5">
        <v>147.00000000000009</v>
      </c>
    </row>
    <row r="84" spans="2:3">
      <c r="B84" s="3">
        <v>33725</v>
      </c>
      <c r="C84" s="5">
        <v>146.33333333333343</v>
      </c>
    </row>
    <row r="85" spans="2:3">
      <c r="B85" s="3">
        <v>33756</v>
      </c>
      <c r="C85" s="5">
        <v>145.66666666666677</v>
      </c>
    </row>
    <row r="86" spans="2:3">
      <c r="B86" s="3">
        <v>33786</v>
      </c>
      <c r="C86" s="5">
        <v>145</v>
      </c>
    </row>
    <row r="87" spans="2:3">
      <c r="B87" s="3">
        <v>33817</v>
      </c>
      <c r="C87" s="5">
        <v>145.16666666666666</v>
      </c>
    </row>
    <row r="88" spans="2:3">
      <c r="B88" s="3">
        <v>33848</v>
      </c>
      <c r="C88" s="5">
        <v>145.33333333333331</v>
      </c>
    </row>
    <row r="89" spans="2:3">
      <c r="B89" s="3">
        <v>33878</v>
      </c>
      <c r="C89" s="5">
        <v>145.49999999999997</v>
      </c>
    </row>
    <row r="90" spans="2:3">
      <c r="B90" s="3">
        <v>33909</v>
      </c>
      <c r="C90" s="5">
        <v>145.66666666666663</v>
      </c>
    </row>
    <row r="91" spans="2:3">
      <c r="B91" s="3">
        <v>33939</v>
      </c>
      <c r="C91" s="5">
        <v>145.83333333333329</v>
      </c>
    </row>
    <row r="92" spans="2:3">
      <c r="B92" s="3">
        <v>33970</v>
      </c>
      <c r="C92" s="5">
        <v>145.99999999999994</v>
      </c>
    </row>
    <row r="93" spans="2:3">
      <c r="B93" s="3">
        <v>34001</v>
      </c>
      <c r="C93" s="5">
        <v>146.1666666666666</v>
      </c>
    </row>
    <row r="94" spans="2:3">
      <c r="B94" s="3">
        <v>34029</v>
      </c>
      <c r="C94" s="5">
        <v>146.33333333333326</v>
      </c>
    </row>
    <row r="95" spans="2:3">
      <c r="B95" s="3">
        <v>34060</v>
      </c>
      <c r="C95" s="5">
        <v>146.49999999999991</v>
      </c>
    </row>
    <row r="96" spans="2:3">
      <c r="B96" s="3">
        <v>34090</v>
      </c>
      <c r="C96" s="5">
        <v>146.66666666666657</v>
      </c>
    </row>
    <row r="97" spans="2:3">
      <c r="B97" s="3">
        <v>34121</v>
      </c>
      <c r="C97" s="5">
        <v>146.83333333333323</v>
      </c>
    </row>
    <row r="98" spans="2:3">
      <c r="B98" s="3">
        <v>34151</v>
      </c>
      <c r="C98" s="5">
        <v>147</v>
      </c>
    </row>
    <row r="99" spans="2:3">
      <c r="B99" s="3">
        <v>34182</v>
      </c>
      <c r="C99" s="5">
        <v>147.08333333333334</v>
      </c>
    </row>
    <row r="100" spans="2:3">
      <c r="B100" s="3">
        <v>34213</v>
      </c>
      <c r="C100" s="5">
        <v>147.16666666666669</v>
      </c>
    </row>
    <row r="101" spans="2:3">
      <c r="B101" s="3">
        <v>34243</v>
      </c>
      <c r="C101" s="5">
        <v>147.25000000000003</v>
      </c>
    </row>
    <row r="102" spans="2:3">
      <c r="B102" s="3">
        <v>34274</v>
      </c>
      <c r="C102" s="5">
        <v>147.33333333333337</v>
      </c>
    </row>
    <row r="103" spans="2:3">
      <c r="B103" s="3">
        <v>34304</v>
      </c>
      <c r="C103" s="5">
        <v>147.41666666666671</v>
      </c>
    </row>
    <row r="104" spans="2:3">
      <c r="B104" s="3">
        <v>34335</v>
      </c>
      <c r="C104" s="5">
        <v>147.50000000000006</v>
      </c>
    </row>
    <row r="105" spans="2:3">
      <c r="B105" s="3">
        <v>34366</v>
      </c>
      <c r="C105" s="5">
        <v>147.5833333333334</v>
      </c>
    </row>
    <row r="106" spans="2:3">
      <c r="B106" s="3">
        <v>34394</v>
      </c>
      <c r="C106" s="5">
        <v>147.66666666666674</v>
      </c>
    </row>
    <row r="107" spans="2:3">
      <c r="B107" s="3">
        <v>34425</v>
      </c>
      <c r="C107" s="5">
        <v>147.75000000000009</v>
      </c>
    </row>
    <row r="108" spans="2:3">
      <c r="B108" s="3">
        <v>34455</v>
      </c>
      <c r="C108" s="5">
        <v>147.83333333333343</v>
      </c>
    </row>
    <row r="109" spans="2:3">
      <c r="B109" s="3">
        <v>34486</v>
      </c>
      <c r="C109" s="5">
        <v>147.91666666666677</v>
      </c>
    </row>
    <row r="110" spans="2:3">
      <c r="B110" s="3">
        <v>34516</v>
      </c>
      <c r="C110" s="5">
        <v>148</v>
      </c>
    </row>
    <row r="111" spans="2:3">
      <c r="B111" s="3">
        <v>34547</v>
      </c>
      <c r="C111" s="5">
        <v>148.66666666666666</v>
      </c>
    </row>
    <row r="112" spans="2:3">
      <c r="B112" s="3">
        <v>34578</v>
      </c>
      <c r="C112" s="5">
        <v>149.33333333333331</v>
      </c>
    </row>
    <row r="113" spans="2:3">
      <c r="B113" s="3">
        <v>34608</v>
      </c>
      <c r="C113" s="5">
        <v>149.99999999999997</v>
      </c>
    </row>
    <row r="114" spans="2:3">
      <c r="B114" s="3">
        <v>34639</v>
      </c>
      <c r="C114" s="5">
        <v>150.66666666666663</v>
      </c>
    </row>
    <row r="115" spans="2:3">
      <c r="B115" s="3">
        <v>34669</v>
      </c>
      <c r="C115" s="5">
        <v>151.33333333333329</v>
      </c>
    </row>
    <row r="116" spans="2:3">
      <c r="B116" s="3">
        <v>34700</v>
      </c>
      <c r="C116" s="5">
        <v>151.99999999999994</v>
      </c>
    </row>
    <row r="117" spans="2:3">
      <c r="B117" s="3">
        <v>34731</v>
      </c>
      <c r="C117" s="5">
        <v>152.6666666666666</v>
      </c>
    </row>
    <row r="118" spans="2:3">
      <c r="B118" s="3">
        <v>34759</v>
      </c>
      <c r="C118" s="5">
        <v>153.33333333333326</v>
      </c>
    </row>
    <row r="119" spans="2:3">
      <c r="B119" s="3">
        <v>34790</v>
      </c>
      <c r="C119" s="5">
        <v>153.99999999999991</v>
      </c>
    </row>
    <row r="120" spans="2:3">
      <c r="B120" s="3">
        <v>34820</v>
      </c>
      <c r="C120" s="5">
        <v>154.66666666666657</v>
      </c>
    </row>
    <row r="121" spans="2:3">
      <c r="B121" s="3">
        <v>34851</v>
      </c>
      <c r="C121" s="5">
        <v>155.33333333333323</v>
      </c>
    </row>
    <row r="122" spans="2:3">
      <c r="B122" s="3">
        <v>34881</v>
      </c>
      <c r="C122" s="5">
        <v>156</v>
      </c>
    </row>
    <row r="123" spans="2:3">
      <c r="B123" s="3">
        <v>34912</v>
      </c>
      <c r="C123" s="5">
        <v>156.16666666666666</v>
      </c>
    </row>
    <row r="124" spans="2:3">
      <c r="B124" s="3">
        <v>34943</v>
      </c>
      <c r="C124" s="5">
        <v>156.33333333333331</v>
      </c>
    </row>
    <row r="125" spans="2:3">
      <c r="B125" s="3">
        <v>34973</v>
      </c>
      <c r="C125" s="5">
        <v>156.49999999999997</v>
      </c>
    </row>
    <row r="126" spans="2:3">
      <c r="B126" s="3">
        <v>35004</v>
      </c>
      <c r="C126" s="5">
        <v>156.66666666666663</v>
      </c>
    </row>
    <row r="127" spans="2:3">
      <c r="B127" s="3">
        <v>35034</v>
      </c>
      <c r="C127" s="5">
        <v>156.83333333333329</v>
      </c>
    </row>
    <row r="128" spans="2:3">
      <c r="B128" s="3">
        <v>35065</v>
      </c>
      <c r="C128" s="5">
        <v>156.99999999999994</v>
      </c>
    </row>
    <row r="129" spans="2:3">
      <c r="B129" s="3">
        <v>35096</v>
      </c>
      <c r="C129" s="5">
        <v>157.1666666666666</v>
      </c>
    </row>
    <row r="130" spans="2:3">
      <c r="B130" s="3">
        <v>35125</v>
      </c>
      <c r="C130" s="5">
        <v>157.33333333333326</v>
      </c>
    </row>
    <row r="131" spans="2:3">
      <c r="B131" s="3">
        <v>35156</v>
      </c>
      <c r="C131" s="5">
        <v>157.49999999999991</v>
      </c>
    </row>
    <row r="132" spans="2:3">
      <c r="B132" s="3">
        <v>35186</v>
      </c>
      <c r="C132" s="5">
        <v>157.66666666666657</v>
      </c>
    </row>
    <row r="133" spans="2:3">
      <c r="B133" s="3">
        <v>35217</v>
      </c>
      <c r="C133" s="5">
        <v>157.83333333333323</v>
      </c>
    </row>
    <row r="134" spans="2:3">
      <c r="B134" s="3">
        <v>35247</v>
      </c>
      <c r="C134" s="5">
        <v>158</v>
      </c>
    </row>
    <row r="135" spans="2:3">
      <c r="B135" s="3">
        <v>35278</v>
      </c>
      <c r="C135" s="5">
        <v>158.25</v>
      </c>
    </row>
    <row r="136" spans="2:3">
      <c r="B136" s="3">
        <v>35309</v>
      </c>
      <c r="C136" s="5">
        <v>158.5</v>
      </c>
    </row>
    <row r="137" spans="2:3">
      <c r="B137" s="3">
        <v>35339</v>
      </c>
      <c r="C137" s="5">
        <v>158.75</v>
      </c>
    </row>
    <row r="138" spans="2:3">
      <c r="B138" s="3">
        <v>35370</v>
      </c>
      <c r="C138" s="5">
        <v>159</v>
      </c>
    </row>
    <row r="139" spans="2:3">
      <c r="B139" s="3">
        <v>35400</v>
      </c>
      <c r="C139" s="5">
        <v>159.25</v>
      </c>
    </row>
    <row r="140" spans="2:3">
      <c r="B140" s="3">
        <v>35431</v>
      </c>
      <c r="C140" s="5">
        <v>159.5</v>
      </c>
    </row>
    <row r="141" spans="2:3">
      <c r="B141" s="3">
        <v>35462</v>
      </c>
      <c r="C141" s="5">
        <v>159.75</v>
      </c>
    </row>
    <row r="142" spans="2:3">
      <c r="B142" s="3">
        <v>35490</v>
      </c>
      <c r="C142" s="5">
        <v>160</v>
      </c>
    </row>
    <row r="143" spans="2:3">
      <c r="B143" s="3">
        <v>35521</v>
      </c>
      <c r="C143" s="5">
        <v>160.25</v>
      </c>
    </row>
    <row r="144" spans="2:3">
      <c r="B144" s="3">
        <v>35551</v>
      </c>
      <c r="C144" s="5">
        <v>160.5</v>
      </c>
    </row>
    <row r="145" spans="2:3">
      <c r="B145" s="3">
        <v>35582</v>
      </c>
      <c r="C145" s="5">
        <v>160.75</v>
      </c>
    </row>
    <row r="146" spans="2:3">
      <c r="B146" s="3">
        <v>35612</v>
      </c>
      <c r="C146" s="5">
        <v>161</v>
      </c>
    </row>
    <row r="147" spans="2:3">
      <c r="B147" s="3">
        <v>35643</v>
      </c>
      <c r="C147" s="5">
        <v>161.16666666666666</v>
      </c>
    </row>
    <row r="148" spans="2:3">
      <c r="B148" s="3">
        <v>35674</v>
      </c>
      <c r="C148" s="5">
        <v>161.33333333333331</v>
      </c>
    </row>
    <row r="149" spans="2:3">
      <c r="B149" s="3">
        <v>35704</v>
      </c>
      <c r="C149" s="5">
        <v>161.49999999999997</v>
      </c>
    </row>
    <row r="150" spans="2:3">
      <c r="B150" s="3">
        <v>35735</v>
      </c>
      <c r="C150" s="5">
        <v>161.66666666666663</v>
      </c>
    </row>
    <row r="151" spans="2:3">
      <c r="B151" s="3">
        <v>35765</v>
      </c>
      <c r="C151" s="5">
        <v>161.83333333333329</v>
      </c>
    </row>
    <row r="152" spans="2:3">
      <c r="B152" s="3">
        <v>35796</v>
      </c>
      <c r="C152" s="5">
        <v>161.99999999999994</v>
      </c>
    </row>
    <row r="153" spans="2:3">
      <c r="B153" s="3">
        <v>35827</v>
      </c>
      <c r="C153" s="5">
        <v>162.1666666666666</v>
      </c>
    </row>
    <row r="154" spans="2:3">
      <c r="B154" s="3">
        <v>35855</v>
      </c>
      <c r="C154" s="5">
        <v>162.33333333333326</v>
      </c>
    </row>
    <row r="155" spans="2:3">
      <c r="B155" s="3">
        <v>35886</v>
      </c>
      <c r="C155" s="5">
        <v>162.49999999999991</v>
      </c>
    </row>
    <row r="156" spans="2:3">
      <c r="B156" s="3">
        <v>35916</v>
      </c>
      <c r="C156" s="5">
        <v>162.66666666666657</v>
      </c>
    </row>
    <row r="157" spans="2:3">
      <c r="B157" s="3">
        <v>35947</v>
      </c>
      <c r="C157" s="5">
        <v>162.83333333333323</v>
      </c>
    </row>
    <row r="158" spans="2:3">
      <c r="B158" s="3">
        <v>35977</v>
      </c>
      <c r="C158" s="5">
        <v>163</v>
      </c>
    </row>
    <row r="159" spans="2:3">
      <c r="B159" s="3">
        <v>36008</v>
      </c>
      <c r="C159" s="5">
        <v>163.5</v>
      </c>
    </row>
    <row r="160" spans="2:3">
      <c r="B160" s="3">
        <v>36039</v>
      </c>
      <c r="C160" s="5">
        <v>164</v>
      </c>
    </row>
    <row r="161" spans="2:3">
      <c r="B161" s="3">
        <v>36069</v>
      </c>
      <c r="C161" s="5">
        <v>164.5</v>
      </c>
    </row>
    <row r="162" spans="2:3">
      <c r="B162" s="3">
        <v>36100</v>
      </c>
      <c r="C162" s="5">
        <v>165</v>
      </c>
    </row>
    <row r="163" spans="2:3">
      <c r="B163" s="3">
        <v>36130</v>
      </c>
      <c r="C163" s="5">
        <v>165.5</v>
      </c>
    </row>
    <row r="164" spans="2:3">
      <c r="B164" s="3">
        <v>36161</v>
      </c>
      <c r="C164" s="5">
        <v>166</v>
      </c>
    </row>
    <row r="165" spans="2:3">
      <c r="B165" s="3">
        <v>36192</v>
      </c>
      <c r="C165" s="5">
        <v>166.5</v>
      </c>
    </row>
    <row r="166" spans="2:3">
      <c r="B166" s="3">
        <v>36220</v>
      </c>
      <c r="C166" s="5">
        <v>167</v>
      </c>
    </row>
    <row r="167" spans="2:3">
      <c r="B167" s="3">
        <v>36251</v>
      </c>
      <c r="C167" s="5">
        <v>167.5</v>
      </c>
    </row>
    <row r="168" spans="2:3">
      <c r="B168" s="3">
        <v>36281</v>
      </c>
      <c r="C168" s="5">
        <v>168</v>
      </c>
    </row>
    <row r="169" spans="2:3">
      <c r="B169" s="3">
        <v>36312</v>
      </c>
      <c r="C169" s="5">
        <v>168.5</v>
      </c>
    </row>
    <row r="170" spans="2:3">
      <c r="B170" s="3">
        <v>36342</v>
      </c>
      <c r="C170" s="5">
        <v>169</v>
      </c>
    </row>
    <row r="171" spans="2:3">
      <c r="B171" s="3">
        <v>36373</v>
      </c>
      <c r="C171" s="5">
        <v>169.91666666666666</v>
      </c>
    </row>
    <row r="172" spans="2:3">
      <c r="B172" s="3">
        <v>36404</v>
      </c>
      <c r="C172" s="5">
        <v>170.83333333333331</v>
      </c>
    </row>
    <row r="173" spans="2:3">
      <c r="B173" s="3">
        <v>36434</v>
      </c>
      <c r="C173" s="5">
        <v>171.74999999999997</v>
      </c>
    </row>
    <row r="174" spans="2:3">
      <c r="B174" s="3">
        <v>36465</v>
      </c>
      <c r="C174" s="5">
        <v>172.66666666666663</v>
      </c>
    </row>
    <row r="175" spans="2:3">
      <c r="B175" s="3">
        <v>36495</v>
      </c>
      <c r="C175" s="5">
        <v>173.58333333333329</v>
      </c>
    </row>
    <row r="176" spans="2:3">
      <c r="B176" s="3">
        <v>36526</v>
      </c>
      <c r="C176" s="5">
        <v>174.49999999999994</v>
      </c>
    </row>
    <row r="177" spans="2:3">
      <c r="B177" s="3">
        <v>36557</v>
      </c>
      <c r="C177" s="5">
        <v>175.4166666666666</v>
      </c>
    </row>
    <row r="178" spans="2:3">
      <c r="B178" s="3">
        <v>36586</v>
      </c>
      <c r="C178" s="5">
        <v>176.33333333333326</v>
      </c>
    </row>
    <row r="179" spans="2:3">
      <c r="B179" s="3">
        <v>36617</v>
      </c>
      <c r="C179" s="5">
        <v>177.24999999999991</v>
      </c>
    </row>
    <row r="180" spans="2:3">
      <c r="B180" s="3">
        <v>36647</v>
      </c>
      <c r="C180" s="5">
        <v>178.16666666666657</v>
      </c>
    </row>
    <row r="181" spans="2:3">
      <c r="B181" s="3">
        <v>36678</v>
      </c>
      <c r="C181" s="5">
        <v>179.08333333333323</v>
      </c>
    </row>
    <row r="182" spans="2:3">
      <c r="B182" s="3">
        <v>36708</v>
      </c>
      <c r="C182" s="5">
        <v>180</v>
      </c>
    </row>
    <row r="183" spans="2:3">
      <c r="B183" s="3">
        <v>36739</v>
      </c>
      <c r="C183" s="5">
        <v>179.83333333333334</v>
      </c>
    </row>
    <row r="184" spans="2:3">
      <c r="B184" s="3">
        <v>36770</v>
      </c>
      <c r="C184" s="5">
        <v>179.66666666666669</v>
      </c>
    </row>
    <row r="185" spans="2:3">
      <c r="B185" s="3">
        <v>36800</v>
      </c>
      <c r="C185" s="5">
        <v>179.50000000000003</v>
      </c>
    </row>
    <row r="186" spans="2:3">
      <c r="B186" s="3">
        <v>36831</v>
      </c>
      <c r="C186" s="5">
        <v>179.33333333333337</v>
      </c>
    </row>
    <row r="187" spans="2:3">
      <c r="B187" s="3">
        <v>36861</v>
      </c>
      <c r="C187" s="5">
        <v>179.16666666666671</v>
      </c>
    </row>
    <row r="188" spans="2:3">
      <c r="B188" s="3">
        <v>36892</v>
      </c>
      <c r="C188" s="5">
        <v>179.00000000000006</v>
      </c>
    </row>
    <row r="189" spans="2:3">
      <c r="B189" s="3">
        <v>36923</v>
      </c>
      <c r="C189" s="5">
        <v>178.8333333333334</v>
      </c>
    </row>
    <row r="190" spans="2:3">
      <c r="B190" s="3">
        <v>36951</v>
      </c>
      <c r="C190" s="5">
        <v>178.66666666666674</v>
      </c>
    </row>
    <row r="191" spans="2:3">
      <c r="B191" s="3">
        <v>36982</v>
      </c>
      <c r="C191" s="5">
        <v>178.50000000000009</v>
      </c>
    </row>
    <row r="192" spans="2:3">
      <c r="B192" s="3">
        <v>37012</v>
      </c>
      <c r="C192" s="5">
        <v>178.33333333333343</v>
      </c>
    </row>
    <row r="193" spans="2:3">
      <c r="B193" s="3">
        <v>37043</v>
      </c>
      <c r="C193" s="5">
        <v>178.16666666666677</v>
      </c>
    </row>
    <row r="194" spans="2:3">
      <c r="B194" s="3">
        <v>37073</v>
      </c>
      <c r="C194" s="5">
        <v>178</v>
      </c>
    </row>
    <row r="195" spans="2:3">
      <c r="B195" s="3">
        <v>37104</v>
      </c>
      <c r="C195" s="5">
        <v>178.5</v>
      </c>
    </row>
    <row r="196" spans="2:3">
      <c r="B196" s="3">
        <v>37135</v>
      </c>
      <c r="C196" s="5">
        <v>179</v>
      </c>
    </row>
    <row r="197" spans="2:3">
      <c r="B197" s="3">
        <v>37165</v>
      </c>
      <c r="C197" s="5">
        <v>179.5</v>
      </c>
    </row>
    <row r="198" spans="2:3">
      <c r="B198" s="3">
        <v>37196</v>
      </c>
      <c r="C198" s="5">
        <v>180</v>
      </c>
    </row>
    <row r="199" spans="2:3">
      <c r="B199" s="3">
        <v>37226</v>
      </c>
      <c r="C199" s="5">
        <v>180.5</v>
      </c>
    </row>
    <row r="200" spans="2:3">
      <c r="B200" s="3">
        <v>37257</v>
      </c>
      <c r="C200" s="5">
        <v>181</v>
      </c>
    </row>
    <row r="201" spans="2:3">
      <c r="B201" s="3">
        <v>37288</v>
      </c>
      <c r="C201" s="5">
        <v>181.83333333333334</v>
      </c>
    </row>
    <row r="202" spans="2:3">
      <c r="B202" s="3">
        <v>37316</v>
      </c>
      <c r="C202" s="5">
        <v>182.66666666666669</v>
      </c>
    </row>
    <row r="203" spans="2:3">
      <c r="B203" s="3">
        <v>37347</v>
      </c>
      <c r="C203" s="5">
        <v>183.50000000000003</v>
      </c>
    </row>
    <row r="204" spans="2:3">
      <c r="B204" s="3">
        <v>37377</v>
      </c>
      <c r="C204" s="5">
        <v>184.33333333333337</v>
      </c>
    </row>
    <row r="205" spans="2:3">
      <c r="B205" s="3">
        <v>37408</v>
      </c>
      <c r="C205" s="5">
        <v>185.16666666666671</v>
      </c>
    </row>
    <row r="206" spans="2:3">
      <c r="B206" s="3">
        <v>37438</v>
      </c>
      <c r="C206" s="5">
        <v>186</v>
      </c>
    </row>
    <row r="207" spans="2:3">
      <c r="B207" s="3">
        <v>37469</v>
      </c>
      <c r="C207" s="5">
        <v>186.5</v>
      </c>
    </row>
    <row r="208" spans="2:3">
      <c r="B208" s="3">
        <v>37500</v>
      </c>
      <c r="C208" s="5">
        <v>187</v>
      </c>
    </row>
    <row r="209" spans="2:3">
      <c r="B209" s="3">
        <v>37530</v>
      </c>
      <c r="C209" s="5">
        <v>187.5</v>
      </c>
    </row>
    <row r="210" spans="2:3">
      <c r="B210" s="3">
        <v>37561</v>
      </c>
      <c r="C210" s="5">
        <v>188</v>
      </c>
    </row>
    <row r="211" spans="2:3">
      <c r="B211" s="3">
        <v>37591</v>
      </c>
      <c r="C211" s="5">
        <v>188.5</v>
      </c>
    </row>
    <row r="212" spans="2:3">
      <c r="B212" s="3">
        <v>37622</v>
      </c>
      <c r="C212" s="5">
        <v>189</v>
      </c>
    </row>
    <row r="213" spans="2:3">
      <c r="B213" s="3">
        <v>37653</v>
      </c>
      <c r="C213" s="5">
        <v>190</v>
      </c>
    </row>
    <row r="214" spans="2:3">
      <c r="B214" s="3">
        <v>37681</v>
      </c>
      <c r="C214" s="5">
        <v>191</v>
      </c>
    </row>
    <row r="215" spans="2:3">
      <c r="B215" s="3">
        <v>37712</v>
      </c>
      <c r="C215" s="5">
        <v>192</v>
      </c>
    </row>
    <row r="216" spans="2:3">
      <c r="B216" s="3">
        <v>37742</v>
      </c>
      <c r="C216" s="5">
        <v>193</v>
      </c>
    </row>
    <row r="217" spans="2:3">
      <c r="B217" s="3">
        <v>37773</v>
      </c>
      <c r="C217" s="5">
        <v>194</v>
      </c>
    </row>
    <row r="218" spans="2:3">
      <c r="B218" s="3">
        <v>37803</v>
      </c>
      <c r="C218" s="5">
        <v>195</v>
      </c>
    </row>
    <row r="219" spans="2:3">
      <c r="B219" s="3">
        <v>37834</v>
      </c>
      <c r="C219" s="5">
        <v>195.66666666666666</v>
      </c>
    </row>
    <row r="220" spans="2:3">
      <c r="B220" s="3">
        <v>37865</v>
      </c>
      <c r="C220" s="5">
        <v>196.33333333333331</v>
      </c>
    </row>
    <row r="221" spans="2:3">
      <c r="B221" s="3">
        <v>37895</v>
      </c>
      <c r="C221" s="5">
        <v>196.99999999999997</v>
      </c>
    </row>
    <row r="222" spans="2:3">
      <c r="B222" s="3">
        <v>37926</v>
      </c>
      <c r="C222" s="5">
        <v>197.66666666666663</v>
      </c>
    </row>
    <row r="223" spans="2:3">
      <c r="B223" s="3">
        <v>37956</v>
      </c>
      <c r="C223" s="5">
        <v>198.33333333333329</v>
      </c>
    </row>
    <row r="224" spans="2:3">
      <c r="B224" s="3">
        <v>37987</v>
      </c>
      <c r="C224" s="5">
        <v>199</v>
      </c>
    </row>
    <row r="225" spans="2:3">
      <c r="B225" s="3">
        <v>38018</v>
      </c>
      <c r="C225" s="5">
        <v>199.83333333333334</v>
      </c>
    </row>
    <row r="226" spans="2:3">
      <c r="B226" s="3">
        <v>38047</v>
      </c>
      <c r="C226" s="5">
        <v>200.66666666666669</v>
      </c>
    </row>
    <row r="227" spans="2:3">
      <c r="B227" s="3">
        <v>38078</v>
      </c>
      <c r="C227" s="5">
        <v>201.50000000000003</v>
      </c>
    </row>
    <row r="228" spans="2:3">
      <c r="B228" s="3">
        <v>38108</v>
      </c>
      <c r="C228" s="5">
        <v>202.33333333333337</v>
      </c>
    </row>
    <row r="229" spans="2:3">
      <c r="B229" s="3">
        <v>38139</v>
      </c>
      <c r="C229" s="5">
        <v>203.16666666666671</v>
      </c>
    </row>
    <row r="230" spans="2:3">
      <c r="B230" s="3">
        <v>38169</v>
      </c>
      <c r="C230" s="5">
        <v>204</v>
      </c>
    </row>
    <row r="231" spans="2:3">
      <c r="B231" s="3">
        <v>38200</v>
      </c>
      <c r="C231" s="5">
        <v>204.5</v>
      </c>
    </row>
    <row r="232" spans="2:3">
      <c r="B232" s="3">
        <v>38231</v>
      </c>
      <c r="C232" s="5">
        <v>205</v>
      </c>
    </row>
    <row r="233" spans="2:3">
      <c r="B233" s="3">
        <v>38261</v>
      </c>
      <c r="C233" s="5">
        <v>205.5</v>
      </c>
    </row>
    <row r="234" spans="2:3">
      <c r="B234" s="3">
        <v>38292</v>
      </c>
      <c r="C234" s="5">
        <v>206</v>
      </c>
    </row>
    <row r="235" spans="2:3">
      <c r="B235" s="3">
        <v>38322</v>
      </c>
      <c r="C235" s="5">
        <v>206.5</v>
      </c>
    </row>
    <row r="236" spans="2:3">
      <c r="B236" s="3">
        <v>38353</v>
      </c>
      <c r="C236" s="5">
        <v>207</v>
      </c>
    </row>
    <row r="237" spans="2:3">
      <c r="B237" s="3">
        <v>38384</v>
      </c>
      <c r="C237" s="5">
        <v>208.16666666666666</v>
      </c>
    </row>
    <row r="238" spans="2:3">
      <c r="B238" s="3">
        <v>38412</v>
      </c>
      <c r="C238" s="5">
        <v>209.33333333333331</v>
      </c>
    </row>
    <row r="239" spans="2:3">
      <c r="B239" s="3">
        <v>38443</v>
      </c>
      <c r="C239" s="5">
        <v>210.49999999999997</v>
      </c>
    </row>
    <row r="240" spans="2:3">
      <c r="B240" s="3">
        <v>38473</v>
      </c>
      <c r="C240" s="5">
        <v>211.66666666666663</v>
      </c>
    </row>
    <row r="241" spans="2:3">
      <c r="B241" s="3">
        <v>38504</v>
      </c>
      <c r="C241" s="5">
        <v>212.83333333333329</v>
      </c>
    </row>
    <row r="242" spans="2:3">
      <c r="B242" s="3">
        <v>38534</v>
      </c>
      <c r="C242" s="5">
        <v>214</v>
      </c>
    </row>
    <row r="243" spans="2:3">
      <c r="B243" s="3">
        <v>38565</v>
      </c>
      <c r="C243" s="5">
        <v>214.33333333333334</v>
      </c>
    </row>
    <row r="244" spans="2:3">
      <c r="B244" s="3">
        <v>38596</v>
      </c>
      <c r="C244" s="5">
        <v>214.66666666666669</v>
      </c>
    </row>
    <row r="245" spans="2:3">
      <c r="B245" s="3">
        <v>38626</v>
      </c>
      <c r="C245" s="5">
        <v>215.00000000000003</v>
      </c>
    </row>
    <row r="246" spans="2:3">
      <c r="B246" s="3">
        <v>38657</v>
      </c>
      <c r="C246" s="5">
        <v>215.33333333333337</v>
      </c>
    </row>
    <row r="247" spans="2:3">
      <c r="B247" s="3">
        <v>38687</v>
      </c>
      <c r="C247" s="5">
        <v>215.66666666666671</v>
      </c>
    </row>
    <row r="248" spans="2:3">
      <c r="B248" s="3">
        <v>38718</v>
      </c>
      <c r="C248" s="5">
        <v>216</v>
      </c>
    </row>
    <row r="249" spans="2:3">
      <c r="B249" s="3">
        <v>38749</v>
      </c>
      <c r="C249" s="5">
        <v>217.16666666666666</v>
      </c>
    </row>
    <row r="250" spans="2:3">
      <c r="B250" s="3">
        <v>38777</v>
      </c>
      <c r="C250" s="5">
        <v>218.33333333333331</v>
      </c>
    </row>
    <row r="251" spans="2:3">
      <c r="B251" s="3">
        <v>38808</v>
      </c>
      <c r="C251" s="5">
        <v>219.49999999999997</v>
      </c>
    </row>
    <row r="252" spans="2:3">
      <c r="B252" s="3">
        <v>38838</v>
      </c>
      <c r="C252" s="5">
        <v>220.66666666666663</v>
      </c>
    </row>
    <row r="253" spans="2:3">
      <c r="B253" s="3">
        <v>38869</v>
      </c>
      <c r="C253" s="5">
        <v>221.83333333333329</v>
      </c>
    </row>
    <row r="254" spans="2:3">
      <c r="B254" s="3">
        <v>38899</v>
      </c>
      <c r="C254" s="5">
        <v>223</v>
      </c>
    </row>
    <row r="255" spans="2:3">
      <c r="B255" s="3">
        <v>38930</v>
      </c>
      <c r="C255" s="5">
        <v>223.5</v>
      </c>
    </row>
    <row r="256" spans="2:3">
      <c r="B256" s="3">
        <v>38961</v>
      </c>
      <c r="C256" s="5">
        <v>224</v>
      </c>
    </row>
    <row r="257" spans="2:3">
      <c r="B257" s="3">
        <v>38991</v>
      </c>
      <c r="C257" s="5">
        <v>224.5</v>
      </c>
    </row>
    <row r="258" spans="2:3">
      <c r="B258" s="3">
        <v>39022</v>
      </c>
      <c r="C258" s="5">
        <v>225</v>
      </c>
    </row>
    <row r="259" spans="2:3">
      <c r="B259" s="3">
        <v>39052</v>
      </c>
      <c r="C259" s="5">
        <v>225.5</v>
      </c>
    </row>
    <row r="260" spans="2:3">
      <c r="B260" s="3">
        <v>39083</v>
      </c>
      <c r="C260" s="5">
        <v>226</v>
      </c>
    </row>
    <row r="261" spans="2:3">
      <c r="B261" s="3">
        <v>39114</v>
      </c>
      <c r="C261" s="5">
        <v>227</v>
      </c>
    </row>
    <row r="262" spans="2:3">
      <c r="B262" s="3">
        <v>39142</v>
      </c>
      <c r="C262" s="5">
        <v>228</v>
      </c>
    </row>
    <row r="263" spans="2:3">
      <c r="B263" s="3">
        <v>39173</v>
      </c>
      <c r="C263" s="5">
        <v>229</v>
      </c>
    </row>
    <row r="264" spans="2:3">
      <c r="B264" s="3">
        <v>39203</v>
      </c>
      <c r="C264" s="5">
        <v>230</v>
      </c>
    </row>
    <row r="265" spans="2:3">
      <c r="B265" s="3">
        <v>39234</v>
      </c>
      <c r="C265" s="5">
        <v>231</v>
      </c>
    </row>
    <row r="266" spans="2:3">
      <c r="B266" s="3">
        <v>39264</v>
      </c>
      <c r="C266" s="5">
        <v>232</v>
      </c>
    </row>
    <row r="267" spans="2:3">
      <c r="B267" s="3">
        <v>39295</v>
      </c>
      <c r="C267" s="5">
        <v>232.5</v>
      </c>
    </row>
    <row r="268" spans="2:3">
      <c r="B268" s="3">
        <v>39326</v>
      </c>
      <c r="C268" s="5">
        <v>233</v>
      </c>
    </row>
    <row r="269" spans="2:3">
      <c r="B269" s="3">
        <v>39356</v>
      </c>
      <c r="C269" s="5">
        <v>233.5</v>
      </c>
    </row>
    <row r="270" spans="2:3">
      <c r="B270" s="3">
        <v>39387</v>
      </c>
      <c r="C270" s="5">
        <v>234</v>
      </c>
    </row>
    <row r="271" spans="2:3">
      <c r="B271" s="3">
        <v>39417</v>
      </c>
      <c r="C271" s="5">
        <v>234.5</v>
      </c>
    </row>
    <row r="272" spans="2:3">
      <c r="B272" s="3">
        <v>39448</v>
      </c>
      <c r="C272" s="5">
        <v>235</v>
      </c>
    </row>
    <row r="273" spans="2:3">
      <c r="B273" s="3">
        <v>39479</v>
      </c>
      <c r="C273" s="5">
        <v>236.66666666666666</v>
      </c>
    </row>
    <row r="274" spans="2:3">
      <c r="B274" s="3">
        <v>39508</v>
      </c>
      <c r="C274" s="5">
        <v>238.33333333333331</v>
      </c>
    </row>
    <row r="275" spans="2:3">
      <c r="B275" s="3">
        <v>39539</v>
      </c>
      <c r="C275" s="5">
        <v>240</v>
      </c>
    </row>
    <row r="276" spans="2:3">
      <c r="B276" s="3">
        <v>39569</v>
      </c>
      <c r="C276" s="5">
        <v>241.33333333333334</v>
      </c>
    </row>
    <row r="277" spans="2:3">
      <c r="B277" s="3">
        <v>39600</v>
      </c>
      <c r="C277" s="5">
        <v>242.66666666666669</v>
      </c>
    </row>
    <row r="278" spans="2:3">
      <c r="B278" s="3">
        <v>39630</v>
      </c>
      <c r="C278" s="5">
        <v>244</v>
      </c>
    </row>
    <row r="279" spans="2:3">
      <c r="B279" s="3">
        <v>39661</v>
      </c>
      <c r="C279" s="5">
        <v>244.33333333333334</v>
      </c>
    </row>
    <row r="280" spans="2:3">
      <c r="B280" s="3">
        <v>39692</v>
      </c>
      <c r="C280" s="5">
        <v>244.66666666666669</v>
      </c>
    </row>
    <row r="281" spans="2:3">
      <c r="B281" s="3">
        <v>39722</v>
      </c>
      <c r="C281" s="5">
        <v>245</v>
      </c>
    </row>
    <row r="282" spans="2:3">
      <c r="B282" s="3">
        <v>39753</v>
      </c>
      <c r="C282" s="5">
        <v>244.33333333333334</v>
      </c>
    </row>
    <row r="283" spans="2:3">
      <c r="B283" s="3">
        <v>39783</v>
      </c>
      <c r="C283" s="5">
        <v>243.66666666666669</v>
      </c>
    </row>
    <row r="284" spans="2:3">
      <c r="B284" s="3">
        <v>39814</v>
      </c>
      <c r="C284" s="5">
        <v>243</v>
      </c>
    </row>
    <row r="285" spans="2:3">
      <c r="B285" s="3">
        <v>39845</v>
      </c>
      <c r="C285" s="5">
        <v>243.66666666666666</v>
      </c>
    </row>
    <row r="286" spans="2:3">
      <c r="B286" s="3">
        <v>39873</v>
      </c>
      <c r="C286" s="5">
        <v>244.33333333333331</v>
      </c>
    </row>
    <row r="287" spans="2:3">
      <c r="B287" s="3">
        <v>39904</v>
      </c>
      <c r="C287" s="5">
        <v>245</v>
      </c>
    </row>
    <row r="288" spans="2:3">
      <c r="B288" s="3">
        <v>39934</v>
      </c>
      <c r="C288" s="5">
        <v>244.66666666666666</v>
      </c>
    </row>
    <row r="289" spans="2:3">
      <c r="B289" s="3">
        <v>39965</v>
      </c>
      <c r="C289" s="5">
        <v>244.33333333333331</v>
      </c>
    </row>
    <row r="290" spans="2:3">
      <c r="B290" s="3">
        <v>39995</v>
      </c>
      <c r="C290" s="5">
        <v>244</v>
      </c>
    </row>
    <row r="291" spans="2:3">
      <c r="B291" s="3">
        <v>40026</v>
      </c>
      <c r="C291" s="5">
        <v>243.33333333333334</v>
      </c>
    </row>
    <row r="292" spans="2:3">
      <c r="B292" s="3">
        <v>40057</v>
      </c>
      <c r="C292" s="5">
        <v>242.66666666666669</v>
      </c>
    </row>
    <row r="293" spans="2:3">
      <c r="B293" s="3">
        <v>40087</v>
      </c>
      <c r="C293" s="5">
        <v>242</v>
      </c>
    </row>
    <row r="294" spans="2:3">
      <c r="B294" s="3">
        <v>40118</v>
      </c>
      <c r="C294" s="5">
        <v>242.66666666666666</v>
      </c>
    </row>
    <row r="295" spans="2:3">
      <c r="B295" s="3">
        <v>40148</v>
      </c>
      <c r="C295" s="5">
        <v>243.33333333333331</v>
      </c>
    </row>
    <row r="296" spans="2:3">
      <c r="B296" s="3">
        <v>40179</v>
      </c>
      <c r="C296" s="5">
        <v>244</v>
      </c>
    </row>
    <row r="297" spans="2:3">
      <c r="B297" s="3">
        <v>40210</v>
      </c>
      <c r="C297" s="5">
        <v>243.66666666666666</v>
      </c>
    </row>
    <row r="298" spans="2:3">
      <c r="B298" s="3">
        <v>40238</v>
      </c>
      <c r="C298" s="5">
        <v>243.33333333333331</v>
      </c>
    </row>
    <row r="299" spans="2:3">
      <c r="B299" s="3">
        <v>40269</v>
      </c>
      <c r="C299" s="5">
        <v>243</v>
      </c>
    </row>
    <row r="300" spans="2:3">
      <c r="B300" s="3">
        <v>40299</v>
      </c>
      <c r="C300" s="5">
        <v>243.66666666666666</v>
      </c>
    </row>
    <row r="301" spans="2:3">
      <c r="B301" s="3">
        <v>40330</v>
      </c>
      <c r="C301" s="5">
        <v>244.33333333333331</v>
      </c>
    </row>
    <row r="302" spans="2:3">
      <c r="B302" s="3">
        <v>40360</v>
      </c>
      <c r="C302" s="5">
        <v>245</v>
      </c>
    </row>
    <row r="303" spans="2:3">
      <c r="B303" s="3">
        <v>40391</v>
      </c>
      <c r="C303" s="5">
        <v>245</v>
      </c>
    </row>
    <row r="304" spans="2:3">
      <c r="B304" s="3">
        <v>40422</v>
      </c>
      <c r="C304" s="5">
        <v>245</v>
      </c>
    </row>
    <row r="305" spans="2:3">
      <c r="B305" s="3">
        <v>40452</v>
      </c>
      <c r="C305" s="5">
        <v>245</v>
      </c>
    </row>
    <row r="306" spans="2:3">
      <c r="B306" s="3">
        <v>40483</v>
      </c>
      <c r="C306" s="5">
        <v>245.33333333333334</v>
      </c>
    </row>
    <row r="307" spans="2:3">
      <c r="B307" s="3">
        <v>40513</v>
      </c>
      <c r="C307" s="5">
        <v>245.66666666666669</v>
      </c>
    </row>
    <row r="308" spans="2:3">
      <c r="B308" s="3">
        <v>40544</v>
      </c>
      <c r="C308" s="5">
        <v>246</v>
      </c>
    </row>
    <row r="309" spans="2:3">
      <c r="B309" s="3">
        <v>40575</v>
      </c>
      <c r="C309" s="5">
        <v>246.33333333333334</v>
      </c>
    </row>
    <row r="310" spans="2:3">
      <c r="B310" s="3">
        <v>40603</v>
      </c>
      <c r="C310" s="5">
        <v>246.66666666666669</v>
      </c>
    </row>
    <row r="311" spans="2:3">
      <c r="B311" s="3">
        <v>40634</v>
      </c>
      <c r="C311" s="5">
        <v>247</v>
      </c>
    </row>
    <row r="312" spans="2:3">
      <c r="B312" s="3">
        <v>40664</v>
      </c>
      <c r="C312" s="5">
        <v>247.33333333333334</v>
      </c>
    </row>
    <row r="313" spans="2:3">
      <c r="B313" s="3">
        <v>40695</v>
      </c>
      <c r="C313" s="5">
        <v>247.66666666666669</v>
      </c>
    </row>
    <row r="314" spans="2:3">
      <c r="B314" s="3">
        <v>40725</v>
      </c>
      <c r="C314" s="5">
        <v>248</v>
      </c>
    </row>
    <row r="315" spans="2:3">
      <c r="B315" s="3">
        <v>40756</v>
      </c>
      <c r="C315" s="5">
        <v>248.66666666666666</v>
      </c>
    </row>
    <row r="316" spans="2:3">
      <c r="B316" s="3">
        <v>40787</v>
      </c>
      <c r="C316" s="5">
        <v>249.33333333333331</v>
      </c>
    </row>
    <row r="317" spans="2:3">
      <c r="B317" s="3">
        <v>40817</v>
      </c>
      <c r="C317" s="5">
        <v>250</v>
      </c>
    </row>
    <row r="318" spans="2:3">
      <c r="B318" s="3">
        <v>40848</v>
      </c>
      <c r="C318" s="5">
        <v>250.33333333333334</v>
      </c>
    </row>
    <row r="319" spans="2:3">
      <c r="B319" s="3">
        <v>40878</v>
      </c>
      <c r="C319" s="5">
        <v>250.66666666666669</v>
      </c>
    </row>
    <row r="320" spans="2:3">
      <c r="B320" s="3">
        <v>40909</v>
      </c>
      <c r="C320" s="5">
        <v>251</v>
      </c>
    </row>
    <row r="321" spans="2:3">
      <c r="B321" s="3">
        <v>40940</v>
      </c>
      <c r="C321" s="5">
        <v>251.66666666666666</v>
      </c>
    </row>
    <row r="322" spans="2:3">
      <c r="B322" s="3">
        <v>40969</v>
      </c>
      <c r="C322" s="5">
        <v>252.33333333333331</v>
      </c>
    </row>
    <row r="323" spans="2:3">
      <c r="B323" s="3">
        <v>41000</v>
      </c>
      <c r="C323" s="5">
        <v>253</v>
      </c>
    </row>
    <row r="324" spans="2:3">
      <c r="B324" s="3">
        <v>41030</v>
      </c>
      <c r="C324" s="5">
        <v>253.33333333333334</v>
      </c>
    </row>
    <row r="325" spans="2:3">
      <c r="B325" s="3">
        <v>41061</v>
      </c>
      <c r="C325" s="5">
        <v>253.66666666666669</v>
      </c>
    </row>
    <row r="326" spans="2:3">
      <c r="B326" s="3">
        <v>41091</v>
      </c>
      <c r="C326" s="5">
        <v>254</v>
      </c>
    </row>
    <row r="327" spans="2:3">
      <c r="B327" s="3">
        <v>41122</v>
      </c>
      <c r="C327" s="5">
        <v>254</v>
      </c>
    </row>
    <row r="328" spans="2:3">
      <c r="B328" s="3">
        <v>41153</v>
      </c>
      <c r="C328" s="5">
        <v>254</v>
      </c>
    </row>
    <row r="329" spans="2:3">
      <c r="B329" s="3">
        <v>41183</v>
      </c>
      <c r="C329" s="5">
        <v>254</v>
      </c>
    </row>
    <row r="330" spans="2:3">
      <c r="B330" s="3">
        <v>41214</v>
      </c>
      <c r="C330" s="5">
        <v>254.66666666666666</v>
      </c>
    </row>
    <row r="331" spans="2:3">
      <c r="B331" s="3">
        <v>41244</v>
      </c>
      <c r="C331" s="5">
        <v>255.33333333333331</v>
      </c>
    </row>
    <row r="332" spans="2:3">
      <c r="B332" s="3">
        <v>41275</v>
      </c>
      <c r="C332" s="5">
        <v>256</v>
      </c>
    </row>
    <row r="333" spans="2:3">
      <c r="B333" s="3">
        <v>41306</v>
      </c>
      <c r="C333" s="5">
        <v>256.66666666666669</v>
      </c>
    </row>
    <row r="334" spans="2:3">
      <c r="B334" s="3">
        <v>41334</v>
      </c>
      <c r="C334" s="5">
        <v>257.33333333333337</v>
      </c>
    </row>
    <row r="335" spans="2:3">
      <c r="B335" s="3">
        <v>41365</v>
      </c>
      <c r="C335" s="5">
        <v>258</v>
      </c>
    </row>
    <row r="336" spans="2:3">
      <c r="B336" s="3">
        <v>41395</v>
      </c>
      <c r="C336" s="5">
        <v>257.66666666666669</v>
      </c>
    </row>
    <row r="337" spans="2:3">
      <c r="B337" s="3">
        <v>41426</v>
      </c>
      <c r="C337" s="5">
        <v>257.33333333333337</v>
      </c>
    </row>
    <row r="338" spans="2:3">
      <c r="B338" s="3">
        <v>41456</v>
      </c>
      <c r="C338" s="5">
        <v>257</v>
      </c>
    </row>
    <row r="339" spans="2:3">
      <c r="B339" s="3">
        <v>41487</v>
      </c>
      <c r="C339" s="5">
        <v>256.66666666666669</v>
      </c>
    </row>
    <row r="340" spans="2:3">
      <c r="B340" s="3">
        <v>41518</v>
      </c>
      <c r="C340" s="5">
        <v>256.33333333333337</v>
      </c>
    </row>
    <row r="341" spans="2:3">
      <c r="B341" s="3">
        <v>41548</v>
      </c>
      <c r="C341" s="5">
        <v>256</v>
      </c>
    </row>
    <row r="342" spans="2:3">
      <c r="B342" s="3">
        <v>41579</v>
      </c>
      <c r="C342" s="5">
        <v>256.66666666666669</v>
      </c>
    </row>
    <row r="343" spans="2:3">
      <c r="B343" s="3">
        <v>41609</v>
      </c>
      <c r="C343" s="5">
        <v>257.33333333333337</v>
      </c>
    </row>
    <row r="344" spans="2:3">
      <c r="B344" s="3">
        <v>41640</v>
      </c>
      <c r="C344" s="5">
        <v>258</v>
      </c>
    </row>
    <row r="345" spans="2:3">
      <c r="B345" s="3">
        <v>41671</v>
      </c>
      <c r="C345" s="5">
        <v>259</v>
      </c>
    </row>
    <row r="346" spans="2:3">
      <c r="B346" s="3">
        <v>41699</v>
      </c>
      <c r="C346" s="5">
        <v>260</v>
      </c>
    </row>
    <row r="347" spans="2:3">
      <c r="B347" s="3">
        <v>41730</v>
      </c>
      <c r="C347" s="5">
        <v>261</v>
      </c>
    </row>
    <row r="348" spans="2:3">
      <c r="B348" s="3">
        <v>41760</v>
      </c>
      <c r="C348" s="5">
        <v>261.66666666666669</v>
      </c>
    </row>
    <row r="349" spans="2:3">
      <c r="B349" s="3">
        <v>41791</v>
      </c>
      <c r="C349" s="5">
        <v>262.33333333333337</v>
      </c>
    </row>
    <row r="350" spans="2:3">
      <c r="B350" s="3">
        <v>41821</v>
      </c>
      <c r="C350" s="5">
        <v>263</v>
      </c>
    </row>
    <row r="351" spans="2:3">
      <c r="B351" s="3">
        <v>41852</v>
      </c>
      <c r="C351" s="5">
        <v>264</v>
      </c>
    </row>
    <row r="352" spans="2:3">
      <c r="B352" s="3">
        <v>41883</v>
      </c>
      <c r="C352" s="5">
        <v>265</v>
      </c>
    </row>
    <row r="353" spans="2:3">
      <c r="B353" s="3">
        <v>41913</v>
      </c>
      <c r="C353" s="5">
        <v>266</v>
      </c>
    </row>
    <row r="354" spans="2:3">
      <c r="B354" s="3">
        <v>41944</v>
      </c>
      <c r="C354" s="5">
        <v>267</v>
      </c>
    </row>
    <row r="355" spans="2:3">
      <c r="B355" s="3">
        <v>41974</v>
      </c>
      <c r="C355" s="5">
        <v>268</v>
      </c>
    </row>
    <row r="356" spans="2:3">
      <c r="B356" s="3">
        <v>42005</v>
      </c>
      <c r="C356" s="5">
        <v>269</v>
      </c>
    </row>
    <row r="357" spans="2:3">
      <c r="B357" s="3">
        <v>42036</v>
      </c>
      <c r="C357" s="5">
        <v>269.66666666666669</v>
      </c>
    </row>
    <row r="358" spans="2:3">
      <c r="B358" s="3">
        <v>42064</v>
      </c>
      <c r="C358" s="5">
        <v>270.33333333333337</v>
      </c>
    </row>
    <row r="359" spans="2:3">
      <c r="B359" s="3">
        <v>42095</v>
      </c>
      <c r="C359" s="5">
        <v>271</v>
      </c>
    </row>
    <row r="360" spans="2:3">
      <c r="B360" s="3">
        <v>42125</v>
      </c>
      <c r="C360" s="5">
        <v>272</v>
      </c>
    </row>
    <row r="361" spans="2:3">
      <c r="B361" s="3">
        <v>42156</v>
      </c>
      <c r="C361" s="5">
        <v>273</v>
      </c>
    </row>
    <row r="362" spans="2:3">
      <c r="B362" s="3">
        <v>42186</v>
      </c>
      <c r="C362" s="5">
        <v>274</v>
      </c>
    </row>
    <row r="363" spans="2:3">
      <c r="B363" s="3">
        <v>42217</v>
      </c>
      <c r="C363" s="5">
        <v>274.66666666666669</v>
      </c>
    </row>
    <row r="364" spans="2:3">
      <c r="B364" s="3">
        <v>42248</v>
      </c>
      <c r="C364" s="5">
        <v>275.33333333333337</v>
      </c>
    </row>
    <row r="365" spans="2:3">
      <c r="B365" s="3">
        <v>42278</v>
      </c>
      <c r="C365" s="5">
        <v>276</v>
      </c>
    </row>
    <row r="366" spans="2:3">
      <c r="B366" s="3">
        <v>42309</v>
      </c>
      <c r="C366" s="5">
        <v>277</v>
      </c>
    </row>
    <row r="367" spans="2:3">
      <c r="B367" s="3">
        <v>42339</v>
      </c>
      <c r="C367" s="5">
        <v>278</v>
      </c>
    </row>
    <row r="368" spans="2:3">
      <c r="B368" s="3">
        <v>42370</v>
      </c>
      <c r="C368" s="5">
        <v>279</v>
      </c>
    </row>
    <row r="369" spans="2:3">
      <c r="B369" s="3">
        <v>42401</v>
      </c>
      <c r="C369" s="5">
        <v>280</v>
      </c>
    </row>
    <row r="370" spans="2:3">
      <c r="B370" s="3">
        <v>42430</v>
      </c>
      <c r="C370" s="5">
        <v>281</v>
      </c>
    </row>
    <row r="371" spans="2:3">
      <c r="B371" s="3">
        <v>42461</v>
      </c>
      <c r="C371" s="5">
        <v>282</v>
      </c>
    </row>
    <row r="372" spans="2:3">
      <c r="B372" s="3">
        <v>42491</v>
      </c>
      <c r="C372" s="5">
        <v>283</v>
      </c>
    </row>
    <row r="373" spans="2:3">
      <c r="B373" s="3">
        <v>42522</v>
      </c>
      <c r="C373" s="5">
        <v>284</v>
      </c>
    </row>
    <row r="374" spans="2:3">
      <c r="B374" s="3">
        <v>42552</v>
      </c>
      <c r="C374" s="5">
        <v>285</v>
      </c>
    </row>
    <row r="375" spans="2:3">
      <c r="B375" s="3">
        <v>42583</v>
      </c>
      <c r="C375" s="5">
        <v>285</v>
      </c>
    </row>
    <row r="376" spans="2:3">
      <c r="B376" s="3">
        <v>42614</v>
      </c>
      <c r="C376" s="5">
        <v>285</v>
      </c>
    </row>
    <row r="377" spans="2:3">
      <c r="B377" s="3">
        <v>42644</v>
      </c>
      <c r="C377" s="5">
        <v>285</v>
      </c>
    </row>
    <row r="378" spans="2:3">
      <c r="B378" s="3">
        <v>42675</v>
      </c>
      <c r="C378" s="5">
        <v>286</v>
      </c>
    </row>
    <row r="379" spans="2:3">
      <c r="B379" s="3">
        <v>42705</v>
      </c>
      <c r="C379" s="5">
        <v>287</v>
      </c>
    </row>
    <row r="380" spans="2:3">
      <c r="B380" s="3">
        <v>42736</v>
      </c>
      <c r="C380" s="5">
        <v>288</v>
      </c>
    </row>
    <row r="381" spans="2:3">
      <c r="B381" s="3">
        <v>42767</v>
      </c>
      <c r="C381" s="5">
        <v>288.66666666666669</v>
      </c>
    </row>
    <row r="382" spans="2:3">
      <c r="B382" s="3">
        <v>42795</v>
      </c>
      <c r="C382" s="5">
        <v>289.33333333333337</v>
      </c>
    </row>
    <row r="383" spans="2:3">
      <c r="B383" s="3">
        <v>42826</v>
      </c>
      <c r="C383" s="5">
        <v>290</v>
      </c>
    </row>
    <row r="384" spans="2:3">
      <c r="B384" s="3">
        <v>42856</v>
      </c>
      <c r="C384" s="5">
        <v>290</v>
      </c>
    </row>
    <row r="385" spans="2:3">
      <c r="B385" s="3">
        <v>42887</v>
      </c>
      <c r="C385" s="5">
        <v>290</v>
      </c>
    </row>
    <row r="386" spans="2:3">
      <c r="B386" s="3">
        <v>42917</v>
      </c>
      <c r="C386" s="5">
        <v>290</v>
      </c>
    </row>
    <row r="387" spans="2:3">
      <c r="B387" s="3">
        <v>42948</v>
      </c>
      <c r="C387" s="5">
        <v>291</v>
      </c>
    </row>
    <row r="388" spans="2:3">
      <c r="B388" s="3">
        <v>42979</v>
      </c>
      <c r="C388" s="5">
        <v>292</v>
      </c>
    </row>
    <row r="389" spans="2:3">
      <c r="B389" s="3">
        <v>43009</v>
      </c>
      <c r="C389" s="5">
        <v>293</v>
      </c>
    </row>
    <row r="390" spans="2:3">
      <c r="B390" s="3">
        <v>43040</v>
      </c>
      <c r="C390" s="5">
        <v>294.33333333333331</v>
      </c>
    </row>
    <row r="391" spans="2:3">
      <c r="B391" s="3">
        <v>43070</v>
      </c>
      <c r="C391" s="5">
        <v>295.66666666666663</v>
      </c>
    </row>
    <row r="392" spans="2:3">
      <c r="B392" s="3">
        <v>43101</v>
      </c>
      <c r="C392" s="5">
        <v>297</v>
      </c>
    </row>
    <row r="393" spans="2:3">
      <c r="B393" s="3">
        <v>43132</v>
      </c>
      <c r="C393" s="5">
        <v>298</v>
      </c>
    </row>
    <row r="394" spans="2:3">
      <c r="B394" s="3">
        <v>43160</v>
      </c>
      <c r="C394" s="5">
        <v>299</v>
      </c>
    </row>
    <row r="395" spans="2:3">
      <c r="B395" s="3">
        <v>43191</v>
      </c>
      <c r="C395" s="5">
        <v>300</v>
      </c>
    </row>
    <row r="396" spans="2:3">
      <c r="B396" s="3">
        <v>43221</v>
      </c>
      <c r="C396" s="5">
        <v>301</v>
      </c>
    </row>
    <row r="397" spans="2:3">
      <c r="B397" s="3">
        <v>43252</v>
      </c>
      <c r="C397" s="5">
        <v>302</v>
      </c>
    </row>
    <row r="398" spans="2:3">
      <c r="B398" s="3">
        <v>43282</v>
      </c>
      <c r="C398" s="5">
        <v>303</v>
      </c>
    </row>
    <row r="399" spans="2:3">
      <c r="B399" s="3">
        <v>43313</v>
      </c>
      <c r="C399" s="5">
        <v>304.33333333333331</v>
      </c>
    </row>
    <row r="400" spans="2:3">
      <c r="B400" s="3">
        <v>43344</v>
      </c>
      <c r="C400" s="5">
        <v>305.66666666666663</v>
      </c>
    </row>
    <row r="401" spans="2:3">
      <c r="B401" s="3">
        <v>43374</v>
      </c>
      <c r="C401" s="5">
        <v>307</v>
      </c>
    </row>
    <row r="402" spans="2:3">
      <c r="B402" s="3">
        <v>43405</v>
      </c>
      <c r="C402" s="5">
        <v>308</v>
      </c>
    </row>
    <row r="403" spans="2:3">
      <c r="B403" s="3">
        <v>43435</v>
      </c>
      <c r="C403" s="5">
        <v>309</v>
      </c>
    </row>
    <row r="404" spans="2:3">
      <c r="B404" s="3">
        <v>43466</v>
      </c>
      <c r="C404" s="5">
        <v>310</v>
      </c>
    </row>
    <row r="405" spans="2:3">
      <c r="B405" s="3">
        <v>43497</v>
      </c>
      <c r="C405" s="5">
        <v>311</v>
      </c>
    </row>
    <row r="406" spans="2:3">
      <c r="B406" s="3">
        <v>43525</v>
      </c>
      <c r="C406" s="5">
        <v>312</v>
      </c>
    </row>
    <row r="407" spans="2:3">
      <c r="B407" s="3">
        <v>43556</v>
      </c>
      <c r="C407" s="5">
        <v>313</v>
      </c>
    </row>
    <row r="408" spans="2:3">
      <c r="B408" s="3">
        <v>43586</v>
      </c>
      <c r="C408" s="5">
        <v>314</v>
      </c>
    </row>
    <row r="409" spans="2:3">
      <c r="B409" s="3">
        <v>43617</v>
      </c>
      <c r="C409" s="5">
        <v>315</v>
      </c>
    </row>
    <row r="410" spans="2:3">
      <c r="B410" s="3">
        <v>43647</v>
      </c>
      <c r="C410" s="5">
        <v>316</v>
      </c>
    </row>
    <row r="411" spans="2:3">
      <c r="B411" s="3">
        <v>43678</v>
      </c>
      <c r="C411" s="5">
        <v>317.33333333333331</v>
      </c>
    </row>
    <row r="412" spans="2:3">
      <c r="B412" s="3">
        <v>43709</v>
      </c>
      <c r="C412" s="5">
        <v>318.66666666666663</v>
      </c>
    </row>
    <row r="413" spans="2:3">
      <c r="B413" s="3">
        <v>43739</v>
      </c>
      <c r="C413" s="5">
        <v>320</v>
      </c>
    </row>
    <row r="414" spans="2:3">
      <c r="B414" s="3">
        <v>43770</v>
      </c>
      <c r="C414" s="5">
        <v>321</v>
      </c>
    </row>
    <row r="415" spans="2:3">
      <c r="B415" s="3">
        <v>43800</v>
      </c>
      <c r="C415" s="5">
        <v>322</v>
      </c>
    </row>
    <row r="416" spans="2:3">
      <c r="B416" s="3">
        <v>43831</v>
      </c>
      <c r="C416" s="5">
        <v>323</v>
      </c>
    </row>
    <row r="417" spans="2:3">
      <c r="B417" s="3">
        <v>43862</v>
      </c>
      <c r="C417" s="5">
        <v>323.10000000000002</v>
      </c>
    </row>
    <row r="418" spans="2:3">
      <c r="B418" s="3">
        <v>43891</v>
      </c>
      <c r="C418" s="5">
        <v>323.2</v>
      </c>
    </row>
    <row r="419" spans="2:3">
      <c r="B419" s="3">
        <v>43922</v>
      </c>
      <c r="C419" s="5">
        <v>323.5</v>
      </c>
    </row>
    <row r="420" spans="2:3">
      <c r="B420" s="3">
        <v>43952</v>
      </c>
      <c r="C420" s="5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Calculator</vt:lpstr>
      <vt:lpstr>P&amp;E</vt:lpstr>
      <vt:lpstr>Calcs</vt:lpstr>
      <vt:lpstr>BPI's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Grimmond</dc:creator>
  <cp:lastModifiedBy>Liam Grimmond</cp:lastModifiedBy>
  <dcterms:created xsi:type="dcterms:W3CDTF">2020-01-30T23:56:15Z</dcterms:created>
  <dcterms:modified xsi:type="dcterms:W3CDTF">2020-07-02T03:51:15Z</dcterms:modified>
</cp:coreProperties>
</file>