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felipe\Documents\"/>
    </mc:Choice>
  </mc:AlternateContent>
  <xr:revisionPtr revIDLastSave="0" documentId="8_{8C6BD908-0364-4DA8-9CBF-6D1132EE35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ardy Cross" sheetId="1" r:id="rId1"/>
    <sheet name="Vazões" sheetId="3" r:id="rId2"/>
    <sheet name="População" sheetId="2" r:id="rId3"/>
    <sheet name="Auxilia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H65" i="1" s="1"/>
  <c r="I65" i="1" s="1"/>
  <c r="E65" i="1"/>
  <c r="B23" i="3" l="1"/>
  <c r="K15" i="3"/>
  <c r="K4" i="3"/>
  <c r="K3" i="3"/>
  <c r="K5" i="3" s="1"/>
  <c r="H14" i="3"/>
  <c r="H13" i="3"/>
  <c r="H24" i="3"/>
  <c r="H23" i="3"/>
  <c r="H25" i="3" s="1"/>
  <c r="K14" i="3"/>
  <c r="K13" i="3"/>
  <c r="H3" i="3"/>
  <c r="H4" i="3"/>
  <c r="E33" i="2"/>
  <c r="C24" i="2"/>
  <c r="C23" i="2"/>
  <c r="H15" i="3" l="1"/>
  <c r="H5" i="3"/>
  <c r="C30" i="2"/>
  <c r="C28" i="2"/>
  <c r="D30" i="2" s="1"/>
  <c r="C26" i="2"/>
  <c r="C27" i="2" s="1"/>
  <c r="C25" i="2"/>
  <c r="C12" i="2"/>
  <c r="C13" i="2" s="1"/>
  <c r="C8" i="2"/>
  <c r="C9" i="2" s="1"/>
  <c r="D27" i="2" l="1"/>
  <c r="D26" i="2"/>
  <c r="D28" i="2" s="1"/>
  <c r="D29" i="2" s="1"/>
  <c r="D31" i="2" s="1"/>
  <c r="C29" i="2" s="1"/>
  <c r="C31" i="2" s="1"/>
  <c r="O4" i="1"/>
  <c r="H4" i="1" s="1"/>
  <c r="I4" i="1" l="1"/>
  <c r="M4" i="1"/>
  <c r="K16" i="3" l="1"/>
  <c r="K19" i="3" l="1"/>
  <c r="E58" i="1" s="1"/>
  <c r="K17" i="3"/>
  <c r="K18" i="3"/>
  <c r="H26" i="3" l="1"/>
  <c r="E57" i="1"/>
  <c r="D65" i="1" s="1"/>
  <c r="F65" i="1" s="1"/>
  <c r="E28" i="1"/>
  <c r="K6" i="3"/>
  <c r="E31" i="1"/>
  <c r="D58" i="1"/>
  <c r="F58" i="1" s="1"/>
  <c r="G58" i="1" l="1"/>
  <c r="H58" i="1" s="1"/>
  <c r="I58" i="1" s="1"/>
  <c r="D31" i="1"/>
  <c r="G31" i="1" s="1"/>
  <c r="H31" i="1" s="1"/>
  <c r="I31" i="1" s="1"/>
  <c r="K7" i="3"/>
  <c r="K8" i="3" s="1"/>
  <c r="D28" i="1"/>
  <c r="G28" i="1" s="1"/>
  <c r="H28" i="1" s="1"/>
  <c r="D57" i="1"/>
  <c r="F57" i="1" s="1"/>
  <c r="H27" i="3"/>
  <c r="I28" i="1" l="1"/>
  <c r="F28" i="1"/>
  <c r="G57" i="1"/>
  <c r="H57" i="1" s="1"/>
  <c r="I57" i="1" s="1"/>
  <c r="E19" i="1"/>
  <c r="D19" i="1" s="1"/>
  <c r="B17" i="3"/>
  <c r="E30" i="1"/>
  <c r="E20" i="1"/>
  <c r="F31" i="1"/>
  <c r="H16" i="3"/>
  <c r="E56" i="1"/>
  <c r="E40" i="1"/>
  <c r="D40" i="1" s="1"/>
  <c r="H28" i="3"/>
  <c r="E17" i="3" s="1"/>
  <c r="F40" i="1" l="1"/>
  <c r="E10" i="3"/>
  <c r="E17" i="1" s="1"/>
  <c r="D17" i="1" s="1"/>
  <c r="E18" i="1"/>
  <c r="D18" i="1" s="1"/>
  <c r="D56" i="1"/>
  <c r="E21" i="1"/>
  <c r="E38" i="1"/>
  <c r="H6" i="3"/>
  <c r="D20" i="1"/>
  <c r="F20" i="1" s="1"/>
  <c r="D30" i="1"/>
  <c r="G30" i="1" s="1"/>
  <c r="H30" i="1" s="1"/>
  <c r="I30" i="1" s="1"/>
  <c r="G19" i="1"/>
  <c r="H19" i="1" s="1"/>
  <c r="I19" i="1" s="1"/>
  <c r="E29" i="1"/>
  <c r="E39" i="1"/>
  <c r="F56" i="1" l="1"/>
  <c r="F30" i="1"/>
  <c r="G20" i="1"/>
  <c r="H20" i="1" s="1"/>
  <c r="I20" i="1" s="1"/>
  <c r="G21" i="1"/>
  <c r="H21" i="1" s="1"/>
  <c r="I21" i="1" s="1"/>
  <c r="F19" i="1"/>
  <c r="G56" i="1"/>
  <c r="H56" i="1" s="1"/>
  <c r="G17" i="1"/>
  <c r="H17" i="1" s="1"/>
  <c r="F17" i="1"/>
  <c r="H7" i="3"/>
  <c r="F39" i="1"/>
  <c r="F38" i="1"/>
  <c r="G29" i="1"/>
  <c r="H29" i="1" s="1"/>
  <c r="G18" i="1"/>
  <c r="H18" i="1" s="1"/>
  <c r="I18" i="1" s="1"/>
  <c r="G40" i="1"/>
  <c r="H40" i="1" s="1"/>
  <c r="I40" i="1" s="1"/>
  <c r="H17" i="3"/>
  <c r="E49" i="1" l="1"/>
  <c r="E23" i="3"/>
  <c r="E50" i="1" s="1"/>
  <c r="D50" i="1" s="1"/>
  <c r="G39" i="1"/>
  <c r="H39" i="1" s="1"/>
  <c r="I39" i="1" s="1"/>
  <c r="F29" i="1"/>
  <c r="E37" i="1"/>
  <c r="E10" i="1"/>
  <c r="D10" i="1" s="1"/>
  <c r="I17" i="1"/>
  <c r="I29" i="1"/>
  <c r="I33" i="1" s="1"/>
  <c r="H33" i="1"/>
  <c r="H60" i="1"/>
  <c r="I56" i="1"/>
  <c r="I60" i="1" s="1"/>
  <c r="G38" i="1"/>
  <c r="H38" i="1" s="1"/>
  <c r="I38" i="1" s="1"/>
  <c r="F21" i="1"/>
  <c r="H8" i="3"/>
  <c r="F18" i="1"/>
  <c r="H18" i="3"/>
  <c r="D49" i="1" l="1"/>
  <c r="F49" i="1" s="1"/>
  <c r="H34" i="1"/>
  <c r="J31" i="1" s="1"/>
  <c r="K31" i="1" s="1"/>
  <c r="F50" i="1"/>
  <c r="G50" i="1"/>
  <c r="H50" i="1" s="1"/>
  <c r="I50" i="1" s="1"/>
  <c r="E48" i="1"/>
  <c r="E41" i="1"/>
  <c r="D37" i="1"/>
  <c r="F37" i="1" s="1"/>
  <c r="E3" i="3"/>
  <c r="E8" i="1" s="1"/>
  <c r="E22" i="1"/>
  <c r="E9" i="1"/>
  <c r="B10" i="3"/>
  <c r="H61" i="1"/>
  <c r="G10" i="1"/>
  <c r="H10" i="1" s="1"/>
  <c r="I10" i="1" s="1"/>
  <c r="G49" i="1" l="1"/>
  <c r="H49" i="1" s="1"/>
  <c r="I49" i="1" s="1"/>
  <c r="J28" i="1"/>
  <c r="K28" i="1" s="1"/>
  <c r="L28" i="1" s="1"/>
  <c r="B3" i="3"/>
  <c r="E64" i="1" s="1"/>
  <c r="F10" i="1"/>
  <c r="G37" i="1"/>
  <c r="H37" i="1" s="1"/>
  <c r="I37" i="1" s="1"/>
  <c r="L31" i="1"/>
  <c r="M31" i="1"/>
  <c r="N31" i="1" s="1"/>
  <c r="O31" i="1" s="1"/>
  <c r="J58" i="1"/>
  <c r="K58" i="1" s="1"/>
  <c r="J57" i="1"/>
  <c r="K57" i="1" s="1"/>
  <c r="E47" i="1"/>
  <c r="E11" i="1"/>
  <c r="D9" i="1"/>
  <c r="F9" i="1" s="1"/>
  <c r="G41" i="1"/>
  <c r="H41" i="1" s="1"/>
  <c r="D22" i="1"/>
  <c r="G22" i="1" s="1"/>
  <c r="H22" i="1" s="1"/>
  <c r="F48" i="1"/>
  <c r="F8" i="1"/>
  <c r="G8" i="1"/>
  <c r="H8" i="1" s="1"/>
  <c r="G64" i="1" l="1"/>
  <c r="H64" i="1" s="1"/>
  <c r="I64" i="1" s="1"/>
  <c r="F64" i="1"/>
  <c r="M28" i="1"/>
  <c r="N28" i="1" s="1"/>
  <c r="O28" i="1" s="1"/>
  <c r="G48" i="1"/>
  <c r="H48" i="1" s="1"/>
  <c r="I48" i="1" s="1"/>
  <c r="F41" i="1"/>
  <c r="I22" i="1"/>
  <c r="I24" i="1" s="1"/>
  <c r="H24" i="1"/>
  <c r="I41" i="1"/>
  <c r="I43" i="1" s="1"/>
  <c r="H43" i="1"/>
  <c r="G11" i="1"/>
  <c r="H11" i="1" s="1"/>
  <c r="G47" i="1"/>
  <c r="H47" i="1" s="1"/>
  <c r="L57" i="1"/>
  <c r="M57" i="1"/>
  <c r="N57" i="1" s="1"/>
  <c r="O57" i="1" s="1"/>
  <c r="F22" i="1"/>
  <c r="G9" i="1"/>
  <c r="H9" i="1" s="1"/>
  <c r="I9" i="1" s="1"/>
  <c r="I8" i="1"/>
  <c r="L58" i="1"/>
  <c r="M58" i="1"/>
  <c r="N58" i="1" s="1"/>
  <c r="O58" i="1" s="1"/>
  <c r="F47" i="1" l="1"/>
  <c r="H52" i="1"/>
  <c r="I47" i="1"/>
  <c r="I52" i="1" s="1"/>
  <c r="I11" i="1"/>
  <c r="I13" i="1" s="1"/>
  <c r="H13" i="1"/>
  <c r="F11" i="1"/>
  <c r="H44" i="1"/>
  <c r="H25" i="1"/>
  <c r="J17" i="1" s="1"/>
  <c r="J19" i="1" l="1"/>
  <c r="K19" i="1" s="1"/>
  <c r="J18" i="1"/>
  <c r="K18" i="1" s="1"/>
  <c r="H53" i="1"/>
  <c r="J41" i="1" s="1"/>
  <c r="K41" i="1" s="1"/>
  <c r="K17" i="1"/>
  <c r="J21" i="1"/>
  <c r="K21" i="1" s="1"/>
  <c r="J20" i="1"/>
  <c r="K20" i="1" s="1"/>
  <c r="J30" i="1"/>
  <c r="K30" i="1" s="1"/>
  <c r="H14" i="1"/>
  <c r="J40" i="1"/>
  <c r="K40" i="1" s="1"/>
  <c r="J38" i="1"/>
  <c r="K38" i="1" s="1"/>
  <c r="J39" i="1"/>
  <c r="K39" i="1" s="1"/>
  <c r="J29" i="1"/>
  <c r="K29" i="1" s="1"/>
  <c r="J56" i="1"/>
  <c r="K56" i="1" s="1"/>
  <c r="J48" i="1" l="1"/>
  <c r="K48" i="1" s="1"/>
  <c r="J50" i="1"/>
  <c r="K50" i="1" s="1"/>
  <c r="J49" i="1"/>
  <c r="K49" i="1" s="1"/>
  <c r="J47" i="1"/>
  <c r="K47" i="1" s="1"/>
  <c r="L40" i="1"/>
  <c r="M40" i="1"/>
  <c r="N40" i="1" s="1"/>
  <c r="O40" i="1" s="1"/>
  <c r="L17" i="1"/>
  <c r="M17" i="1"/>
  <c r="N17" i="1" s="1"/>
  <c r="J9" i="1"/>
  <c r="K9" i="1" s="1"/>
  <c r="J10" i="1"/>
  <c r="K10" i="1" s="1"/>
  <c r="J11" i="1"/>
  <c r="K11" i="1" s="1"/>
  <c r="J8" i="1"/>
  <c r="K8" i="1" s="1"/>
  <c r="L56" i="1"/>
  <c r="M56" i="1"/>
  <c r="N56" i="1" s="1"/>
  <c r="L30" i="1"/>
  <c r="M30" i="1"/>
  <c r="N30" i="1" s="1"/>
  <c r="O30" i="1" s="1"/>
  <c r="L29" i="1"/>
  <c r="M29" i="1"/>
  <c r="N29" i="1" s="1"/>
  <c r="M20" i="1"/>
  <c r="L20" i="1"/>
  <c r="J37" i="1"/>
  <c r="K37" i="1" s="1"/>
  <c r="L21" i="1"/>
  <c r="M21" i="1"/>
  <c r="N21" i="1" s="1"/>
  <c r="O21" i="1" s="1"/>
  <c r="L39" i="1"/>
  <c r="M39" i="1"/>
  <c r="N39" i="1" s="1"/>
  <c r="O39" i="1" s="1"/>
  <c r="L18" i="1"/>
  <c r="M18" i="1"/>
  <c r="N18" i="1" s="1"/>
  <c r="O18" i="1" s="1"/>
  <c r="L38" i="1"/>
  <c r="M38" i="1"/>
  <c r="N38" i="1" s="1"/>
  <c r="O38" i="1" s="1"/>
  <c r="L19" i="1"/>
  <c r="M19" i="1"/>
  <c r="N19" i="1" s="1"/>
  <c r="O19" i="1" s="1"/>
  <c r="L41" i="1"/>
  <c r="M41" i="1"/>
  <c r="N41" i="1" s="1"/>
  <c r="O41" i="1" s="1"/>
  <c r="J22" i="1"/>
  <c r="K22" i="1" s="1"/>
  <c r="L49" i="1" l="1"/>
  <c r="L50" i="1"/>
  <c r="N20" i="1"/>
  <c r="O20" i="1" s="1"/>
  <c r="L48" i="1"/>
  <c r="L47" i="1"/>
  <c r="M47" i="1"/>
  <c r="N47" i="1" s="1"/>
  <c r="M49" i="1"/>
  <c r="M48" i="1"/>
  <c r="N48" i="1" s="1"/>
  <c r="M50" i="1"/>
  <c r="O17" i="1"/>
  <c r="O29" i="1"/>
  <c r="O33" i="1" s="1"/>
  <c r="N33" i="1"/>
  <c r="O56" i="1"/>
  <c r="O60" i="1" s="1"/>
  <c r="N60" i="1"/>
  <c r="L22" i="1"/>
  <c r="M22" i="1"/>
  <c r="N22" i="1" s="1"/>
  <c r="O22" i="1" s="1"/>
  <c r="L11" i="1"/>
  <c r="M11" i="1"/>
  <c r="N11" i="1" s="1"/>
  <c r="O11" i="1" s="1"/>
  <c r="L37" i="1"/>
  <c r="M37" i="1"/>
  <c r="N37" i="1" s="1"/>
  <c r="M10" i="1"/>
  <c r="N10" i="1" s="1"/>
  <c r="O10" i="1" s="1"/>
  <c r="L10" i="1"/>
  <c r="N9" i="1"/>
  <c r="O9" i="1" s="1"/>
  <c r="L9" i="1"/>
  <c r="M9" i="1"/>
  <c r="M8" i="1"/>
  <c r="N8" i="1" s="1"/>
  <c r="L8" i="1"/>
  <c r="N50" i="1" l="1"/>
  <c r="O50" i="1" s="1"/>
  <c r="N49" i="1"/>
  <c r="O48" i="1"/>
  <c r="O47" i="1"/>
  <c r="N61" i="1"/>
  <c r="P58" i="1" s="1"/>
  <c r="Q58" i="1" s="1"/>
  <c r="N34" i="1"/>
  <c r="O24" i="1"/>
  <c r="O37" i="1"/>
  <c r="O43" i="1" s="1"/>
  <c r="N43" i="1"/>
  <c r="N13" i="1"/>
  <c r="O8" i="1"/>
  <c r="O13" i="1" s="1"/>
  <c r="N24" i="1"/>
  <c r="N52" i="1" l="1"/>
  <c r="O49" i="1"/>
  <c r="O52" i="1" s="1"/>
  <c r="R58" i="1"/>
  <c r="S58" i="1"/>
  <c r="T58" i="1" s="1"/>
  <c r="U58" i="1" s="1"/>
  <c r="P57" i="1"/>
  <c r="Q57" i="1" s="1"/>
  <c r="N25" i="1"/>
  <c r="P18" i="1" s="1"/>
  <c r="Q18" i="1" s="1"/>
  <c r="N44" i="1"/>
  <c r="P29" i="1" s="1"/>
  <c r="Q29" i="1" s="1"/>
  <c r="P28" i="1"/>
  <c r="Q28" i="1" s="1"/>
  <c r="P31" i="1"/>
  <c r="Q31" i="1" s="1"/>
  <c r="N14" i="1"/>
  <c r="N53" i="1" l="1"/>
  <c r="P49" i="1" s="1"/>
  <c r="Q49" i="1" s="1"/>
  <c r="S49" i="1" s="1"/>
  <c r="T49" i="1" s="1"/>
  <c r="U49" i="1" s="1"/>
  <c r="S31" i="1"/>
  <c r="T31" i="1" s="1"/>
  <c r="U31" i="1" s="1"/>
  <c r="R31" i="1"/>
  <c r="S28" i="1"/>
  <c r="T28" i="1" s="1"/>
  <c r="R28" i="1"/>
  <c r="S29" i="1"/>
  <c r="T29" i="1" s="1"/>
  <c r="U29" i="1" s="1"/>
  <c r="R29" i="1"/>
  <c r="S18" i="1"/>
  <c r="T18" i="1" s="1"/>
  <c r="U18" i="1" s="1"/>
  <c r="R18" i="1"/>
  <c r="S57" i="1"/>
  <c r="T57" i="1" s="1"/>
  <c r="U57" i="1" s="1"/>
  <c r="R57" i="1"/>
  <c r="P37" i="1"/>
  <c r="Q37" i="1" s="1"/>
  <c r="P17" i="1"/>
  <c r="Q17" i="1" s="1"/>
  <c r="P38" i="1"/>
  <c r="Q38" i="1" s="1"/>
  <c r="P40" i="1"/>
  <c r="Q40" i="1" s="1"/>
  <c r="P19" i="1"/>
  <c r="Q19" i="1" s="1"/>
  <c r="P20" i="1"/>
  <c r="Q20" i="1" s="1"/>
  <c r="P30" i="1"/>
  <c r="Q30" i="1" s="1"/>
  <c r="P21" i="1"/>
  <c r="Q21" i="1" s="1"/>
  <c r="P39" i="1"/>
  <c r="Q39" i="1" s="1"/>
  <c r="P56" i="1"/>
  <c r="Q56" i="1" s="1"/>
  <c r="P22" i="1"/>
  <c r="Q22" i="1" s="1"/>
  <c r="P10" i="1"/>
  <c r="Q10" i="1" s="1"/>
  <c r="P9" i="1"/>
  <c r="Q9" i="1" s="1"/>
  <c r="P8" i="1"/>
  <c r="Q8" i="1" s="1"/>
  <c r="P47" i="1" l="1"/>
  <c r="Q47" i="1" s="1"/>
  <c r="R47" i="1" s="1"/>
  <c r="P11" i="1"/>
  <c r="Q11" i="1" s="1"/>
  <c r="R11" i="1" s="1"/>
  <c r="P41" i="1"/>
  <c r="Q41" i="1" s="1"/>
  <c r="R41" i="1" s="1"/>
  <c r="P50" i="1"/>
  <c r="Q50" i="1" s="1"/>
  <c r="R50" i="1" s="1"/>
  <c r="P48" i="1"/>
  <c r="Q48" i="1" s="1"/>
  <c r="S48" i="1" s="1"/>
  <c r="T48" i="1" s="1"/>
  <c r="U48" i="1" s="1"/>
  <c r="R49" i="1"/>
  <c r="U28" i="1"/>
  <c r="S22" i="1"/>
  <c r="T22" i="1" s="1"/>
  <c r="U22" i="1" s="1"/>
  <c r="R22" i="1"/>
  <c r="S56" i="1"/>
  <c r="T56" i="1" s="1"/>
  <c r="R56" i="1"/>
  <c r="R9" i="1"/>
  <c r="T9" i="1"/>
  <c r="U9" i="1" s="1"/>
  <c r="S9" i="1"/>
  <c r="S17" i="1"/>
  <c r="T17" i="1" s="1"/>
  <c r="R17" i="1"/>
  <c r="S10" i="1"/>
  <c r="T10" i="1" s="1"/>
  <c r="U10" i="1" s="1"/>
  <c r="R10" i="1"/>
  <c r="R39" i="1"/>
  <c r="S39" i="1"/>
  <c r="T39" i="1" s="1"/>
  <c r="U39" i="1" s="1"/>
  <c r="S37" i="1"/>
  <c r="T37" i="1" s="1"/>
  <c r="R37" i="1"/>
  <c r="S21" i="1"/>
  <c r="T21" i="1" s="1"/>
  <c r="U21" i="1" s="1"/>
  <c r="R21" i="1"/>
  <c r="S30" i="1"/>
  <c r="T30" i="1" s="1"/>
  <c r="R30" i="1"/>
  <c r="S20" i="1"/>
  <c r="T20" i="1" s="1"/>
  <c r="U20" i="1" s="1"/>
  <c r="R20" i="1"/>
  <c r="S19" i="1"/>
  <c r="T19" i="1" s="1"/>
  <c r="U19" i="1" s="1"/>
  <c r="R19" i="1"/>
  <c r="S40" i="1"/>
  <c r="T40" i="1" s="1"/>
  <c r="U40" i="1" s="1"/>
  <c r="R40" i="1"/>
  <c r="S8" i="1"/>
  <c r="T8" i="1" s="1"/>
  <c r="R8" i="1"/>
  <c r="S38" i="1"/>
  <c r="T38" i="1" s="1"/>
  <c r="U38" i="1" s="1"/>
  <c r="R38" i="1"/>
  <c r="S50" i="1" l="1"/>
  <c r="T50" i="1" s="1"/>
  <c r="U50" i="1" s="1"/>
  <c r="S47" i="1"/>
  <c r="T47" i="1" s="1"/>
  <c r="U47" i="1" s="1"/>
  <c r="S41" i="1"/>
  <c r="T41" i="1" s="1"/>
  <c r="U41" i="1" s="1"/>
  <c r="S11" i="1"/>
  <c r="T11" i="1" s="1"/>
  <c r="U11" i="1" s="1"/>
  <c r="R48" i="1"/>
  <c r="U30" i="1"/>
  <c r="U33" i="1" s="1"/>
  <c r="T33" i="1"/>
  <c r="T60" i="1"/>
  <c r="U56" i="1"/>
  <c r="U60" i="1" s="1"/>
  <c r="U37" i="1"/>
  <c r="U17" i="1"/>
  <c r="U24" i="1" s="1"/>
  <c r="T24" i="1"/>
  <c r="U8" i="1"/>
  <c r="U52" i="1" l="1"/>
  <c r="T43" i="1"/>
  <c r="U43" i="1"/>
  <c r="T52" i="1"/>
  <c r="U13" i="1"/>
  <c r="T13" i="1"/>
  <c r="T25" i="1"/>
  <c r="T61" i="1"/>
  <c r="T34" i="1"/>
  <c r="T44" i="1" l="1"/>
  <c r="V56" i="1" s="1"/>
  <c r="W56" i="1" s="1"/>
  <c r="T53" i="1"/>
  <c r="V50" i="1" s="1"/>
  <c r="W50" i="1" s="1"/>
  <c r="X50" i="1" s="1"/>
  <c r="T14" i="1"/>
  <c r="V8" i="1" s="1"/>
  <c r="W8" i="1" s="1"/>
  <c r="Y8" i="1" s="1"/>
  <c r="Z8" i="1" s="1"/>
  <c r="V31" i="1"/>
  <c r="W31" i="1" s="1"/>
  <c r="V30" i="1"/>
  <c r="W30" i="1" s="1"/>
  <c r="V28" i="1"/>
  <c r="W28" i="1" s="1"/>
  <c r="V58" i="1"/>
  <c r="W58" i="1" s="1"/>
  <c r="V57" i="1"/>
  <c r="W57" i="1" s="1"/>
  <c r="V18" i="1"/>
  <c r="W18" i="1" s="1"/>
  <c r="V17" i="1"/>
  <c r="W17" i="1" s="1"/>
  <c r="V20" i="1"/>
  <c r="W20" i="1" s="1"/>
  <c r="V19" i="1"/>
  <c r="W19" i="1" s="1"/>
  <c r="V21" i="1" l="1"/>
  <c r="W21" i="1" s="1"/>
  <c r="Y21" i="1" s="1"/>
  <c r="Z21" i="1" s="1"/>
  <c r="AA21" i="1" s="1"/>
  <c r="V38" i="1"/>
  <c r="W38" i="1" s="1"/>
  <c r="Y38" i="1" s="1"/>
  <c r="Z38" i="1" s="1"/>
  <c r="AA38" i="1" s="1"/>
  <c r="V29" i="1"/>
  <c r="W29" i="1" s="1"/>
  <c r="Y29" i="1" s="1"/>
  <c r="Z29" i="1" s="1"/>
  <c r="AA29" i="1" s="1"/>
  <c r="V40" i="1"/>
  <c r="W40" i="1" s="1"/>
  <c r="Y40" i="1" s="1"/>
  <c r="Z40" i="1" s="1"/>
  <c r="AA40" i="1" s="1"/>
  <c r="V39" i="1"/>
  <c r="W39" i="1" s="1"/>
  <c r="Y39" i="1" s="1"/>
  <c r="Z39" i="1" s="1"/>
  <c r="AA39" i="1" s="1"/>
  <c r="Y50" i="1"/>
  <c r="Z50" i="1" s="1"/>
  <c r="AA50" i="1" s="1"/>
  <c r="V49" i="1"/>
  <c r="W49" i="1" s="1"/>
  <c r="Y49" i="1" s="1"/>
  <c r="Z49" i="1" s="1"/>
  <c r="AA49" i="1" s="1"/>
  <c r="V48" i="1"/>
  <c r="W48" i="1" s="1"/>
  <c r="X48" i="1" s="1"/>
  <c r="V41" i="1"/>
  <c r="W41" i="1" s="1"/>
  <c r="Y41" i="1" s="1"/>
  <c r="Z41" i="1" s="1"/>
  <c r="AA41" i="1" s="1"/>
  <c r="X8" i="1"/>
  <c r="V11" i="1"/>
  <c r="W11" i="1" s="1"/>
  <c r="X11" i="1" s="1"/>
  <c r="V47" i="1"/>
  <c r="W47" i="1" s="1"/>
  <c r="X47" i="1" s="1"/>
  <c r="V37" i="1"/>
  <c r="W37" i="1" s="1"/>
  <c r="Y37" i="1" s="1"/>
  <c r="Z37" i="1" s="1"/>
  <c r="V10" i="1"/>
  <c r="W10" i="1" s="1"/>
  <c r="Y10" i="1" s="1"/>
  <c r="Z10" i="1" s="1"/>
  <c r="AA10" i="1" s="1"/>
  <c r="V22" i="1"/>
  <c r="W22" i="1" s="1"/>
  <c r="X22" i="1" s="1"/>
  <c r="V9" i="1"/>
  <c r="W9" i="1" s="1"/>
  <c r="Y9" i="1" s="1"/>
  <c r="Y28" i="1"/>
  <c r="Z28" i="1" s="1"/>
  <c r="X28" i="1"/>
  <c r="Y17" i="1"/>
  <c r="Z17" i="1" s="1"/>
  <c r="X17" i="1"/>
  <c r="Y30" i="1"/>
  <c r="Z30" i="1" s="1"/>
  <c r="AA30" i="1" s="1"/>
  <c r="X30" i="1"/>
  <c r="X18" i="1"/>
  <c r="Y18" i="1"/>
  <c r="Z18" i="1" s="1"/>
  <c r="AA18" i="1" s="1"/>
  <c r="Y31" i="1"/>
  <c r="Z31" i="1" s="1"/>
  <c r="AA31" i="1" s="1"/>
  <c r="X31" i="1"/>
  <c r="AA8" i="1"/>
  <c r="Y57" i="1"/>
  <c r="Z57" i="1" s="1"/>
  <c r="AA57" i="1" s="1"/>
  <c r="X57" i="1"/>
  <c r="Y19" i="1"/>
  <c r="Z19" i="1" s="1"/>
  <c r="AA19" i="1" s="1"/>
  <c r="X19" i="1"/>
  <c r="Y56" i="1"/>
  <c r="Z56" i="1" s="1"/>
  <c r="X56" i="1"/>
  <c r="Y20" i="1"/>
  <c r="Z20" i="1" s="1"/>
  <c r="AA20" i="1" s="1"/>
  <c r="X20" i="1"/>
  <c r="Y58" i="1"/>
  <c r="Z58" i="1" s="1"/>
  <c r="AA58" i="1" s="1"/>
  <c r="X58" i="1"/>
  <c r="X39" i="1" l="1"/>
  <c r="X29" i="1"/>
  <c r="X38" i="1"/>
  <c r="X21" i="1"/>
  <c r="X40" i="1"/>
  <c r="X9" i="1"/>
  <c r="X41" i="1"/>
  <c r="Y48" i="1"/>
  <c r="Z48" i="1" s="1"/>
  <c r="AA48" i="1" s="1"/>
  <c r="X49" i="1"/>
  <c r="X10" i="1"/>
  <c r="Y47" i="1"/>
  <c r="Z47" i="1" s="1"/>
  <c r="AA47" i="1" s="1"/>
  <c r="X37" i="1"/>
  <c r="Z9" i="1"/>
  <c r="AA9" i="1" s="1"/>
  <c r="Y11" i="1"/>
  <c r="Z11" i="1" s="1"/>
  <c r="Y22" i="1"/>
  <c r="Z22" i="1" s="1"/>
  <c r="AA22" i="1" s="1"/>
  <c r="AA37" i="1"/>
  <c r="AA43" i="1" s="1"/>
  <c r="Z43" i="1"/>
  <c r="AA28" i="1"/>
  <c r="AA33" i="1" s="1"/>
  <c r="Z33" i="1"/>
  <c r="AA17" i="1"/>
  <c r="Z60" i="1"/>
  <c r="AA56" i="1"/>
  <c r="AA60" i="1" s="1"/>
  <c r="Z13" i="1" l="1"/>
  <c r="Z52" i="1"/>
  <c r="AA52" i="1"/>
  <c r="AA11" i="1"/>
  <c r="AA13" i="1" s="1"/>
  <c r="AA24" i="1"/>
  <c r="Z24" i="1"/>
  <c r="Z34" i="1"/>
  <c r="AB31" i="1" s="1"/>
  <c r="AC31" i="1" s="1"/>
  <c r="Z44" i="1"/>
  <c r="Z61" i="1"/>
  <c r="Z14" i="1" l="1"/>
  <c r="AB8" i="1" s="1"/>
  <c r="AC8" i="1" s="1"/>
  <c r="AE8" i="1" s="1"/>
  <c r="AF8" i="1" s="1"/>
  <c r="AG8" i="1" s="1"/>
  <c r="Z53" i="1"/>
  <c r="AB49" i="1" s="1"/>
  <c r="AC49" i="1" s="1"/>
  <c r="Z25" i="1"/>
  <c r="AB30" i="1" s="1"/>
  <c r="AC30" i="1" s="1"/>
  <c r="AD30" i="1" s="1"/>
  <c r="AB28" i="1"/>
  <c r="AC28" i="1" s="1"/>
  <c r="AD28" i="1" s="1"/>
  <c r="AB39" i="1"/>
  <c r="AC39" i="1" s="1"/>
  <c r="AB29" i="1"/>
  <c r="AC29" i="1" s="1"/>
  <c r="AD29" i="1" s="1"/>
  <c r="AB40" i="1"/>
  <c r="AC40" i="1" s="1"/>
  <c r="AE40" i="1" s="1"/>
  <c r="AF40" i="1" s="1"/>
  <c r="AG40" i="1" s="1"/>
  <c r="AE31" i="1"/>
  <c r="AF31" i="1" s="1"/>
  <c r="AG31" i="1" s="1"/>
  <c r="AD31" i="1"/>
  <c r="AB56" i="1"/>
  <c r="AC56" i="1" s="1"/>
  <c r="AB58" i="1"/>
  <c r="AC58" i="1" s="1"/>
  <c r="AB57" i="1"/>
  <c r="AC57" i="1" s="1"/>
  <c r="AB10" i="1" l="1"/>
  <c r="AC10" i="1" s="1"/>
  <c r="AD10" i="1" s="1"/>
  <c r="AB37" i="1"/>
  <c r="AC37" i="1" s="1"/>
  <c r="AD37" i="1" s="1"/>
  <c r="AD8" i="1"/>
  <c r="AB50" i="1"/>
  <c r="AC50" i="1" s="1"/>
  <c r="AE50" i="1" s="1"/>
  <c r="AF50" i="1" s="1"/>
  <c r="AG50" i="1" s="1"/>
  <c r="AB11" i="1"/>
  <c r="AC11" i="1" s="1"/>
  <c r="AE11" i="1" s="1"/>
  <c r="AF11" i="1" s="1"/>
  <c r="AG11" i="1" s="1"/>
  <c r="AB48" i="1"/>
  <c r="AC48" i="1" s="1"/>
  <c r="AE48" i="1" s="1"/>
  <c r="AF48" i="1" s="1"/>
  <c r="AG48" i="1" s="1"/>
  <c r="AB41" i="1"/>
  <c r="AC41" i="1" s="1"/>
  <c r="AE41" i="1" s="1"/>
  <c r="AF41" i="1" s="1"/>
  <c r="AG41" i="1" s="1"/>
  <c r="AB47" i="1"/>
  <c r="AC47" i="1" s="1"/>
  <c r="AE47" i="1" s="1"/>
  <c r="AF47" i="1" s="1"/>
  <c r="AB38" i="1"/>
  <c r="AC38" i="1" s="1"/>
  <c r="AD38" i="1" s="1"/>
  <c r="AB9" i="1"/>
  <c r="AC9" i="1" s="1"/>
  <c r="AD9" i="1" s="1"/>
  <c r="AB18" i="1"/>
  <c r="AC18" i="1" s="1"/>
  <c r="AE18" i="1" s="1"/>
  <c r="AF18" i="1" s="1"/>
  <c r="AG18" i="1" s="1"/>
  <c r="AB22" i="1"/>
  <c r="AC22" i="1" s="1"/>
  <c r="AE22" i="1" s="1"/>
  <c r="AF22" i="1" s="1"/>
  <c r="AG22" i="1" s="1"/>
  <c r="AB17" i="1"/>
  <c r="AC17" i="1" s="1"/>
  <c r="AD17" i="1" s="1"/>
  <c r="AB19" i="1"/>
  <c r="AC19" i="1" s="1"/>
  <c r="AE19" i="1" s="1"/>
  <c r="AF19" i="1" s="1"/>
  <c r="AG19" i="1" s="1"/>
  <c r="AB20" i="1"/>
  <c r="AC20" i="1" s="1"/>
  <c r="AE20" i="1" s="1"/>
  <c r="AF20" i="1" s="1"/>
  <c r="AG20" i="1" s="1"/>
  <c r="AB21" i="1"/>
  <c r="AC21" i="1" s="1"/>
  <c r="AD21" i="1" s="1"/>
  <c r="AE28" i="1"/>
  <c r="AF28" i="1" s="1"/>
  <c r="AG28" i="1" s="1"/>
  <c r="AE30" i="1"/>
  <c r="AF30" i="1" s="1"/>
  <c r="AG30" i="1" s="1"/>
  <c r="AD40" i="1"/>
  <c r="AE39" i="1"/>
  <c r="AF39" i="1" s="1"/>
  <c r="AG39" i="1" s="1"/>
  <c r="AD39" i="1"/>
  <c r="AE29" i="1"/>
  <c r="AF29" i="1" s="1"/>
  <c r="AG29" i="1" s="1"/>
  <c r="AD58" i="1"/>
  <c r="AE58" i="1"/>
  <c r="AF58" i="1" s="1"/>
  <c r="AG58" i="1" s="1"/>
  <c r="AE56" i="1"/>
  <c r="AF56" i="1" s="1"/>
  <c r="AD56" i="1"/>
  <c r="AD57" i="1"/>
  <c r="AE57" i="1"/>
  <c r="AF57" i="1" s="1"/>
  <c r="AG57" i="1" s="1"/>
  <c r="AD49" i="1"/>
  <c r="AE49" i="1"/>
  <c r="AF49" i="1" s="1"/>
  <c r="AG49" i="1" s="1"/>
  <c r="AE37" i="1" l="1"/>
  <c r="AF37" i="1" s="1"/>
  <c r="AG37" i="1" s="1"/>
  <c r="AE10" i="1"/>
  <c r="AF10" i="1" s="1"/>
  <c r="AG10" i="1" s="1"/>
  <c r="AD50" i="1"/>
  <c r="AD47" i="1"/>
  <c r="AD11" i="1"/>
  <c r="AD48" i="1"/>
  <c r="AD41" i="1"/>
  <c r="AD20" i="1"/>
  <c r="AD19" i="1"/>
  <c r="AE9" i="1"/>
  <c r="AF9" i="1"/>
  <c r="AG9" i="1" s="1"/>
  <c r="AE38" i="1"/>
  <c r="AF38" i="1" s="1"/>
  <c r="AG38" i="1" s="1"/>
  <c r="AE21" i="1"/>
  <c r="AF21" i="1" s="1"/>
  <c r="AG21" i="1" s="1"/>
  <c r="AD18" i="1"/>
  <c r="AE17" i="1"/>
  <c r="AF17" i="1" s="1"/>
  <c r="AG17" i="1" s="1"/>
  <c r="AD22" i="1"/>
  <c r="AF33" i="1"/>
  <c r="AG33" i="1"/>
  <c r="AG47" i="1"/>
  <c r="AG52" i="1" s="1"/>
  <c r="AF52" i="1"/>
  <c r="AF60" i="1"/>
  <c r="AG56" i="1"/>
  <c r="AG60" i="1" s="1"/>
  <c r="AG43" i="1" l="1"/>
  <c r="AG13" i="1"/>
  <c r="AF13" i="1"/>
  <c r="AG24" i="1"/>
  <c r="AF24" i="1"/>
  <c r="AF43" i="1"/>
  <c r="AF53" i="1"/>
  <c r="AH49" i="1" s="1"/>
  <c r="AI49" i="1" s="1"/>
  <c r="AF34" i="1"/>
  <c r="AH31" i="1" s="1"/>
  <c r="AI31" i="1" s="1"/>
  <c r="AJ31" i="1" s="1"/>
  <c r="AF61" i="1"/>
  <c r="AF44" i="1" l="1"/>
  <c r="AH40" i="1" s="1"/>
  <c r="AI40" i="1" s="1"/>
  <c r="AF14" i="1"/>
  <c r="AF25" i="1"/>
  <c r="AH20" i="1" s="1"/>
  <c r="AI20" i="1" s="1"/>
  <c r="AH50" i="1"/>
  <c r="AI50" i="1" s="1"/>
  <c r="AJ50" i="1" s="1"/>
  <c r="AK31" i="1"/>
  <c r="AL31" i="1" s="1"/>
  <c r="AM31" i="1" s="1"/>
  <c r="AK49" i="1"/>
  <c r="AL49" i="1" s="1"/>
  <c r="AM49" i="1" s="1"/>
  <c r="AJ49" i="1"/>
  <c r="AH58" i="1"/>
  <c r="AI58" i="1" s="1"/>
  <c r="AH57" i="1"/>
  <c r="AI57" i="1" s="1"/>
  <c r="AH28" i="1"/>
  <c r="AI28" i="1" s="1"/>
  <c r="AH37" i="1" l="1"/>
  <c r="AI37" i="1" s="1"/>
  <c r="AJ37" i="1" s="1"/>
  <c r="AH39" i="1"/>
  <c r="AI39" i="1" s="1"/>
  <c r="AJ39" i="1" s="1"/>
  <c r="AH41" i="1"/>
  <c r="AI41" i="1" s="1"/>
  <c r="AJ41" i="1" s="1"/>
  <c r="AH56" i="1"/>
  <c r="AI56" i="1" s="1"/>
  <c r="AK56" i="1" s="1"/>
  <c r="AL56" i="1" s="1"/>
  <c r="AH29" i="1"/>
  <c r="AI29" i="1" s="1"/>
  <c r="AJ29" i="1" s="1"/>
  <c r="AH48" i="1"/>
  <c r="AI48" i="1" s="1"/>
  <c r="AK48" i="1" s="1"/>
  <c r="AL48" i="1" s="1"/>
  <c r="AM48" i="1" s="1"/>
  <c r="AH10" i="1"/>
  <c r="AI10" i="1" s="1"/>
  <c r="AK10" i="1" s="1"/>
  <c r="AL10" i="1" s="1"/>
  <c r="AH47" i="1"/>
  <c r="AI47" i="1" s="1"/>
  <c r="AJ47" i="1" s="1"/>
  <c r="AH11" i="1"/>
  <c r="AI11" i="1" s="1"/>
  <c r="AK11" i="1" s="1"/>
  <c r="AL11" i="1" s="1"/>
  <c r="AM11" i="1" s="1"/>
  <c r="AH8" i="1"/>
  <c r="AI8" i="1" s="1"/>
  <c r="AK8" i="1" s="1"/>
  <c r="AL8" i="1" s="1"/>
  <c r="AM8" i="1" s="1"/>
  <c r="AH17" i="1"/>
  <c r="AI17" i="1" s="1"/>
  <c r="AJ17" i="1" s="1"/>
  <c r="AH21" i="1"/>
  <c r="AI21" i="1" s="1"/>
  <c r="AJ21" i="1" s="1"/>
  <c r="AH38" i="1"/>
  <c r="AI38" i="1" s="1"/>
  <c r="AK38" i="1" s="1"/>
  <c r="AL38" i="1" s="1"/>
  <c r="AM38" i="1" s="1"/>
  <c r="AH22" i="1"/>
  <c r="AI22" i="1" s="1"/>
  <c r="AJ22" i="1" s="1"/>
  <c r="AH9" i="1"/>
  <c r="AI9" i="1" s="1"/>
  <c r="AJ9" i="1" s="1"/>
  <c r="AH19" i="1"/>
  <c r="AI19" i="1" s="1"/>
  <c r="AK19" i="1" s="1"/>
  <c r="AL19" i="1" s="1"/>
  <c r="AM19" i="1" s="1"/>
  <c r="AH18" i="1"/>
  <c r="AI18" i="1" s="1"/>
  <c r="AK18" i="1" s="1"/>
  <c r="AL18" i="1" s="1"/>
  <c r="AM18" i="1" s="1"/>
  <c r="AH30" i="1"/>
  <c r="AI30" i="1" s="1"/>
  <c r="AK30" i="1" s="1"/>
  <c r="AL30" i="1" s="1"/>
  <c r="AM30" i="1" s="1"/>
  <c r="AK50" i="1"/>
  <c r="AL50" i="1" s="1"/>
  <c r="AM50" i="1" s="1"/>
  <c r="AK57" i="1"/>
  <c r="AL57" i="1" s="1"/>
  <c r="AM57" i="1" s="1"/>
  <c r="AJ57" i="1"/>
  <c r="AK40" i="1"/>
  <c r="AL40" i="1" s="1"/>
  <c r="AM40" i="1" s="1"/>
  <c r="AJ40" i="1"/>
  <c r="AK58" i="1"/>
  <c r="AL58" i="1" s="1"/>
  <c r="AM58" i="1" s="1"/>
  <c r="AJ58" i="1"/>
  <c r="AK20" i="1"/>
  <c r="AL20" i="1" s="1"/>
  <c r="AM20" i="1" s="1"/>
  <c r="AJ20" i="1"/>
  <c r="AK28" i="1"/>
  <c r="AL28" i="1" s="1"/>
  <c r="AJ28" i="1"/>
  <c r="AK29" i="1" l="1"/>
  <c r="AL29" i="1" s="1"/>
  <c r="AM29" i="1" s="1"/>
  <c r="AJ48" i="1"/>
  <c r="AK37" i="1"/>
  <c r="AL37" i="1" s="1"/>
  <c r="AM37" i="1" s="1"/>
  <c r="AK39" i="1"/>
  <c r="AL39" i="1" s="1"/>
  <c r="AM39" i="1" s="1"/>
  <c r="AJ56" i="1"/>
  <c r="AK41" i="1"/>
  <c r="AL41" i="1" s="1"/>
  <c r="AM41" i="1" s="1"/>
  <c r="AK22" i="1"/>
  <c r="AL22" i="1" s="1"/>
  <c r="AM22" i="1" s="1"/>
  <c r="AJ8" i="1"/>
  <c r="AK47" i="1"/>
  <c r="AL47" i="1" s="1"/>
  <c r="AM47" i="1" s="1"/>
  <c r="AM52" i="1" s="1"/>
  <c r="AJ11" i="1"/>
  <c r="AJ10" i="1"/>
  <c r="AJ38" i="1"/>
  <c r="AK17" i="1"/>
  <c r="AL17" i="1" s="1"/>
  <c r="AM17" i="1" s="1"/>
  <c r="AJ18" i="1"/>
  <c r="AJ19" i="1"/>
  <c r="AL9" i="1"/>
  <c r="AM9" i="1" s="1"/>
  <c r="AK21" i="1"/>
  <c r="AL21" i="1" s="1"/>
  <c r="AM21" i="1" s="1"/>
  <c r="AJ30" i="1"/>
  <c r="AK9" i="1"/>
  <c r="AM28" i="1"/>
  <c r="AM10" i="1"/>
  <c r="AL60" i="1"/>
  <c r="AM56" i="1"/>
  <c r="AM60" i="1" s="1"/>
  <c r="AL33" i="1" l="1"/>
  <c r="AM33" i="1"/>
  <c r="AM43" i="1"/>
  <c r="AL43" i="1"/>
  <c r="AL52" i="1"/>
  <c r="AL53" i="1" s="1"/>
  <c r="AN49" i="1" s="1"/>
  <c r="AO49" i="1" s="1"/>
  <c r="AP49" i="1" s="1"/>
  <c r="AL13" i="1"/>
  <c r="AM13" i="1"/>
  <c r="AM24" i="1"/>
  <c r="AL24" i="1"/>
  <c r="AL61" i="1"/>
  <c r="AL34" i="1" l="1"/>
  <c r="AN31" i="1" s="1"/>
  <c r="AO31" i="1" s="1"/>
  <c r="AQ31" i="1" s="1"/>
  <c r="AR31" i="1" s="1"/>
  <c r="AS31" i="1" s="1"/>
  <c r="AL44" i="1"/>
  <c r="AN41" i="1" s="1"/>
  <c r="AO41" i="1" s="1"/>
  <c r="AQ41" i="1" s="1"/>
  <c r="AR41" i="1" s="1"/>
  <c r="AS41" i="1" s="1"/>
  <c r="AL14" i="1"/>
  <c r="AN47" i="1" s="1"/>
  <c r="AO47" i="1" s="1"/>
  <c r="AL25" i="1"/>
  <c r="AQ49" i="1"/>
  <c r="AR49" i="1" s="1"/>
  <c r="AS49" i="1" s="1"/>
  <c r="AN50" i="1"/>
  <c r="AO50" i="1" s="1"/>
  <c r="AQ50" i="1" s="1"/>
  <c r="AR50" i="1" s="1"/>
  <c r="AS50" i="1" s="1"/>
  <c r="AN58" i="1"/>
  <c r="AO58" i="1" s="1"/>
  <c r="AN57" i="1" l="1"/>
  <c r="AO57" i="1" s="1"/>
  <c r="AP57" i="1" s="1"/>
  <c r="AP31" i="1"/>
  <c r="AN28" i="1"/>
  <c r="AO28" i="1" s="1"/>
  <c r="AQ28" i="1" s="1"/>
  <c r="AR28" i="1" s="1"/>
  <c r="AS28" i="1" s="1"/>
  <c r="AN56" i="1"/>
  <c r="AO56" i="1" s="1"/>
  <c r="AQ56" i="1" s="1"/>
  <c r="AR56" i="1" s="1"/>
  <c r="AN40" i="1"/>
  <c r="AO40" i="1" s="1"/>
  <c r="AP40" i="1" s="1"/>
  <c r="AN48" i="1"/>
  <c r="AO48" i="1" s="1"/>
  <c r="AQ48" i="1" s="1"/>
  <c r="AR48" i="1" s="1"/>
  <c r="AS48" i="1" s="1"/>
  <c r="AN29" i="1"/>
  <c r="AO29" i="1" s="1"/>
  <c r="AQ29" i="1" s="1"/>
  <c r="AR29" i="1" s="1"/>
  <c r="AS29" i="1" s="1"/>
  <c r="AN39" i="1"/>
  <c r="AO39" i="1" s="1"/>
  <c r="AP39" i="1" s="1"/>
  <c r="AN38" i="1"/>
  <c r="AO38" i="1" s="1"/>
  <c r="AQ38" i="1" s="1"/>
  <c r="AR38" i="1" s="1"/>
  <c r="AS38" i="1" s="1"/>
  <c r="AN8" i="1"/>
  <c r="AO8" i="1" s="1"/>
  <c r="AP8" i="1" s="1"/>
  <c r="AN10" i="1"/>
  <c r="AO10" i="1" s="1"/>
  <c r="AP10" i="1" s="1"/>
  <c r="AN21" i="1"/>
  <c r="AO21" i="1" s="1"/>
  <c r="AQ21" i="1" s="1"/>
  <c r="AR21" i="1" s="1"/>
  <c r="AS21" i="1" s="1"/>
  <c r="AN11" i="1"/>
  <c r="AO11" i="1" s="1"/>
  <c r="AQ11" i="1" s="1"/>
  <c r="AR11" i="1" s="1"/>
  <c r="AS11" i="1" s="1"/>
  <c r="AN37" i="1"/>
  <c r="AO37" i="1" s="1"/>
  <c r="AP37" i="1" s="1"/>
  <c r="AN22" i="1"/>
  <c r="AO22" i="1" s="1"/>
  <c r="AP22" i="1" s="1"/>
  <c r="AN19" i="1"/>
  <c r="AO19" i="1" s="1"/>
  <c r="AQ19" i="1" s="1"/>
  <c r="AR19" i="1" s="1"/>
  <c r="AS19" i="1" s="1"/>
  <c r="AN20" i="1"/>
  <c r="AO20" i="1" s="1"/>
  <c r="AP20" i="1" s="1"/>
  <c r="AN30" i="1"/>
  <c r="AO30" i="1" s="1"/>
  <c r="AP30" i="1" s="1"/>
  <c r="AN9" i="1"/>
  <c r="AO9" i="1" s="1"/>
  <c r="AP9" i="1" s="1"/>
  <c r="AN17" i="1"/>
  <c r="AO17" i="1" s="1"/>
  <c r="AP17" i="1" s="1"/>
  <c r="AN18" i="1"/>
  <c r="AO18" i="1" s="1"/>
  <c r="AQ18" i="1" s="1"/>
  <c r="AR18" i="1" s="1"/>
  <c r="AS18" i="1" s="1"/>
  <c r="AP50" i="1"/>
  <c r="AP41" i="1"/>
  <c r="AQ58" i="1"/>
  <c r="AR58" i="1" s="1"/>
  <c r="AS58" i="1" s="1"/>
  <c r="AP58" i="1"/>
  <c r="AQ47" i="1"/>
  <c r="AR47" i="1" s="1"/>
  <c r="AP47" i="1"/>
  <c r="AQ57" i="1" l="1"/>
  <c r="AR57" i="1" s="1"/>
  <c r="AS57" i="1" s="1"/>
  <c r="AP28" i="1"/>
  <c r="AP38" i="1"/>
  <c r="AQ40" i="1"/>
  <c r="AR40" i="1" s="1"/>
  <c r="AS40" i="1" s="1"/>
  <c r="AP56" i="1"/>
  <c r="AQ39" i="1"/>
  <c r="AR39" i="1" s="1"/>
  <c r="AS39" i="1" s="1"/>
  <c r="AP29" i="1"/>
  <c r="AP48" i="1"/>
  <c r="AP11" i="1"/>
  <c r="AQ9" i="1"/>
  <c r="AQ17" i="1"/>
  <c r="AR17" i="1" s="1"/>
  <c r="AS17" i="1" s="1"/>
  <c r="AQ37" i="1"/>
  <c r="AR37" i="1" s="1"/>
  <c r="AS37" i="1" s="1"/>
  <c r="AR9" i="1"/>
  <c r="AS9" i="1" s="1"/>
  <c r="AQ8" i="1"/>
  <c r="AR8" i="1" s="1"/>
  <c r="AS8" i="1" s="1"/>
  <c r="AP21" i="1"/>
  <c r="AQ10" i="1"/>
  <c r="AR10" i="1" s="1"/>
  <c r="AS10" i="1" s="1"/>
  <c r="AQ20" i="1"/>
  <c r="AR20" i="1" s="1"/>
  <c r="AS20" i="1" s="1"/>
  <c r="AP18" i="1"/>
  <c r="AQ30" i="1"/>
  <c r="AR30" i="1" s="1"/>
  <c r="AS30" i="1" s="1"/>
  <c r="AS33" i="1" s="1"/>
  <c r="AP19" i="1"/>
  <c r="AQ22" i="1"/>
  <c r="AR22" i="1" s="1"/>
  <c r="AS22" i="1" s="1"/>
  <c r="AS47" i="1"/>
  <c r="AS52" i="1" s="1"/>
  <c r="AR52" i="1"/>
  <c r="AS56" i="1"/>
  <c r="AR60" i="1" l="1"/>
  <c r="AS60" i="1"/>
  <c r="AS43" i="1"/>
  <c r="AR43" i="1"/>
  <c r="AR33" i="1"/>
  <c r="AR34" i="1" s="1"/>
  <c r="AT31" i="1" s="1"/>
  <c r="AU31" i="1" s="1"/>
  <c r="AW31" i="1" s="1"/>
  <c r="AX31" i="1" s="1"/>
  <c r="AY31" i="1" s="1"/>
  <c r="AS13" i="1"/>
  <c r="AR13" i="1"/>
  <c r="AS24" i="1"/>
  <c r="AR24" i="1"/>
  <c r="AR53" i="1"/>
  <c r="AR61" i="1" l="1"/>
  <c r="AT58" i="1" s="1"/>
  <c r="AU58" i="1" s="1"/>
  <c r="AR44" i="1"/>
  <c r="AT48" i="1" s="1"/>
  <c r="AU48" i="1" s="1"/>
  <c r="AR14" i="1"/>
  <c r="AR25" i="1"/>
  <c r="AV31" i="1"/>
  <c r="AT49" i="1"/>
  <c r="AU49" i="1" s="1"/>
  <c r="AT50" i="1"/>
  <c r="AU50" i="1" s="1"/>
  <c r="AT57" i="1" l="1"/>
  <c r="AU57" i="1" s="1"/>
  <c r="AW57" i="1" s="1"/>
  <c r="AX57" i="1" s="1"/>
  <c r="AY57" i="1" s="1"/>
  <c r="AT28" i="1"/>
  <c r="AU28" i="1" s="1"/>
  <c r="AW28" i="1" s="1"/>
  <c r="AX28" i="1" s="1"/>
  <c r="AT10" i="1"/>
  <c r="AU10" i="1" s="1"/>
  <c r="AW10" i="1" s="1"/>
  <c r="AX10" i="1" s="1"/>
  <c r="AY10" i="1" s="1"/>
  <c r="AT56" i="1"/>
  <c r="AU56" i="1" s="1"/>
  <c r="AW56" i="1" s="1"/>
  <c r="AX56" i="1" s="1"/>
  <c r="AT29" i="1"/>
  <c r="AU29" i="1" s="1"/>
  <c r="AV29" i="1" s="1"/>
  <c r="AT40" i="1"/>
  <c r="AU40" i="1" s="1"/>
  <c r="AW40" i="1" s="1"/>
  <c r="AX40" i="1" s="1"/>
  <c r="AY40" i="1" s="1"/>
  <c r="AT41" i="1"/>
  <c r="AU41" i="1" s="1"/>
  <c r="AW41" i="1" s="1"/>
  <c r="AX41" i="1" s="1"/>
  <c r="AY41" i="1" s="1"/>
  <c r="AT39" i="1"/>
  <c r="AU39" i="1" s="1"/>
  <c r="AW39" i="1" s="1"/>
  <c r="AX39" i="1" s="1"/>
  <c r="AY39" i="1" s="1"/>
  <c r="AT38" i="1"/>
  <c r="AU38" i="1" s="1"/>
  <c r="AV38" i="1" s="1"/>
  <c r="AT17" i="1"/>
  <c r="AU17" i="1" s="1"/>
  <c r="AV17" i="1" s="1"/>
  <c r="AT37" i="1"/>
  <c r="AU37" i="1" s="1"/>
  <c r="AW37" i="1" s="1"/>
  <c r="AX37" i="1" s="1"/>
  <c r="AT11" i="1"/>
  <c r="AU11" i="1" s="1"/>
  <c r="AW11" i="1" s="1"/>
  <c r="AX11" i="1" s="1"/>
  <c r="AY11" i="1" s="1"/>
  <c r="AT8" i="1"/>
  <c r="AU8" i="1" s="1"/>
  <c r="AV8" i="1" s="1"/>
  <c r="AT47" i="1"/>
  <c r="AU47" i="1" s="1"/>
  <c r="AV47" i="1" s="1"/>
  <c r="AT22" i="1"/>
  <c r="AU22" i="1" s="1"/>
  <c r="AW22" i="1" s="1"/>
  <c r="AX22" i="1" s="1"/>
  <c r="AY22" i="1" s="1"/>
  <c r="AT19" i="1"/>
  <c r="AU19" i="1" s="1"/>
  <c r="AW19" i="1" s="1"/>
  <c r="AX19" i="1" s="1"/>
  <c r="AY19" i="1" s="1"/>
  <c r="AT21" i="1"/>
  <c r="AU21" i="1" s="1"/>
  <c r="AW21" i="1" s="1"/>
  <c r="AX21" i="1" s="1"/>
  <c r="AY21" i="1" s="1"/>
  <c r="AT18" i="1"/>
  <c r="AU18" i="1" s="1"/>
  <c r="AV18" i="1" s="1"/>
  <c r="AT20" i="1"/>
  <c r="AU20" i="1" s="1"/>
  <c r="AW20" i="1" s="1"/>
  <c r="AX20" i="1" s="1"/>
  <c r="AY20" i="1" s="1"/>
  <c r="AT9" i="1"/>
  <c r="AU9" i="1" s="1"/>
  <c r="AW9" i="1" s="1"/>
  <c r="AT30" i="1"/>
  <c r="AU30" i="1" s="1"/>
  <c r="AV30" i="1" s="1"/>
  <c r="AW49" i="1"/>
  <c r="AX49" i="1" s="1"/>
  <c r="AY49" i="1" s="1"/>
  <c r="AV49" i="1"/>
  <c r="AV58" i="1"/>
  <c r="AW58" i="1"/>
  <c r="AX58" i="1" s="1"/>
  <c r="AY58" i="1" s="1"/>
  <c r="AW50" i="1"/>
  <c r="AX50" i="1" s="1"/>
  <c r="AY50" i="1" s="1"/>
  <c r="AV50" i="1"/>
  <c r="AW48" i="1"/>
  <c r="AX48" i="1" s="1"/>
  <c r="AY48" i="1" s="1"/>
  <c r="AV48" i="1"/>
  <c r="AV39" i="1" l="1"/>
  <c r="AV57" i="1"/>
  <c r="AV28" i="1"/>
  <c r="AV40" i="1"/>
  <c r="AW29" i="1"/>
  <c r="AX29" i="1" s="1"/>
  <c r="AY29" i="1" s="1"/>
  <c r="AV56" i="1"/>
  <c r="AV10" i="1"/>
  <c r="AW38" i="1"/>
  <c r="AX38" i="1" s="1"/>
  <c r="AY38" i="1" s="1"/>
  <c r="AV41" i="1"/>
  <c r="AW17" i="1"/>
  <c r="AX17" i="1" s="1"/>
  <c r="AY17" i="1" s="1"/>
  <c r="AW8" i="1"/>
  <c r="AX8" i="1" s="1"/>
  <c r="AY8" i="1" s="1"/>
  <c r="AV20" i="1"/>
  <c r="AV37" i="1"/>
  <c r="AW47" i="1"/>
  <c r="AX47" i="1" s="1"/>
  <c r="AY47" i="1" s="1"/>
  <c r="AY52" i="1" s="1"/>
  <c r="AV21" i="1"/>
  <c r="AV11" i="1"/>
  <c r="AW30" i="1"/>
  <c r="AX30" i="1" s="1"/>
  <c r="AY30" i="1" s="1"/>
  <c r="AW18" i="1"/>
  <c r="AX18" i="1" s="1"/>
  <c r="AY18" i="1" s="1"/>
  <c r="AX9" i="1"/>
  <c r="AY9" i="1" s="1"/>
  <c r="AV22" i="1"/>
  <c r="AV19" i="1"/>
  <c r="AV9" i="1"/>
  <c r="AY28" i="1"/>
  <c r="AY56" i="1"/>
  <c r="AY60" i="1" s="1"/>
  <c r="AX60" i="1"/>
  <c r="AY37" i="1"/>
  <c r="AX43" i="1" l="1"/>
  <c r="AY43" i="1"/>
  <c r="AX52" i="1"/>
  <c r="AX53" i="1" s="1"/>
  <c r="AY24" i="1"/>
  <c r="AX13" i="1"/>
  <c r="AY33" i="1"/>
  <c r="AX33" i="1"/>
  <c r="AY13" i="1"/>
  <c r="AX24" i="1"/>
  <c r="AX61" i="1"/>
  <c r="AZ58" i="1" s="1"/>
  <c r="BA58" i="1" s="1"/>
  <c r="AX44" i="1" l="1"/>
  <c r="AZ41" i="1" s="1"/>
  <c r="BA41" i="1" s="1"/>
  <c r="AX34" i="1"/>
  <c r="AZ57" i="1" s="1"/>
  <c r="BA57" i="1" s="1"/>
  <c r="BB57" i="1" s="1"/>
  <c r="AX14" i="1"/>
  <c r="AZ11" i="1" s="1"/>
  <c r="BA11" i="1" s="1"/>
  <c r="AX25" i="1"/>
  <c r="BC58" i="1"/>
  <c r="BD58" i="1" s="1"/>
  <c r="BE58" i="1" s="1"/>
  <c r="BB58" i="1"/>
  <c r="AZ50" i="1"/>
  <c r="BA50" i="1" s="1"/>
  <c r="AZ49" i="1"/>
  <c r="BA49" i="1" s="1"/>
  <c r="AZ56" i="1" l="1"/>
  <c r="BA56" i="1" s="1"/>
  <c r="BB56" i="1" s="1"/>
  <c r="AZ48" i="1"/>
  <c r="BA48" i="1" s="1"/>
  <c r="BC48" i="1" s="1"/>
  <c r="BD48" i="1" s="1"/>
  <c r="BE48" i="1" s="1"/>
  <c r="AZ40" i="1"/>
  <c r="BA40" i="1" s="1"/>
  <c r="BC40" i="1" s="1"/>
  <c r="BD40" i="1" s="1"/>
  <c r="BE40" i="1" s="1"/>
  <c r="AZ37" i="1"/>
  <c r="BA37" i="1" s="1"/>
  <c r="BB37" i="1" s="1"/>
  <c r="AZ39" i="1"/>
  <c r="BA39" i="1" s="1"/>
  <c r="BC39" i="1" s="1"/>
  <c r="BD39" i="1" s="1"/>
  <c r="BE39" i="1" s="1"/>
  <c r="AZ30" i="1"/>
  <c r="BA30" i="1" s="1"/>
  <c r="BC30" i="1" s="1"/>
  <c r="BD30" i="1" s="1"/>
  <c r="BE30" i="1" s="1"/>
  <c r="AZ29" i="1"/>
  <c r="BA29" i="1" s="1"/>
  <c r="BB29" i="1" s="1"/>
  <c r="AZ47" i="1"/>
  <c r="BA47" i="1" s="1"/>
  <c r="BC47" i="1" s="1"/>
  <c r="BD47" i="1" s="1"/>
  <c r="AZ31" i="1"/>
  <c r="BA31" i="1" s="1"/>
  <c r="BC31" i="1" s="1"/>
  <c r="BD31" i="1" s="1"/>
  <c r="BE31" i="1" s="1"/>
  <c r="AZ28" i="1"/>
  <c r="BA28" i="1" s="1"/>
  <c r="BC28" i="1" s="1"/>
  <c r="BD28" i="1" s="1"/>
  <c r="BE28" i="1" s="1"/>
  <c r="AZ8" i="1"/>
  <c r="BA8" i="1" s="1"/>
  <c r="BB8" i="1" s="1"/>
  <c r="AZ10" i="1"/>
  <c r="BA10" i="1" s="1"/>
  <c r="BC10" i="1" s="1"/>
  <c r="BD10" i="1" s="1"/>
  <c r="BE10" i="1" s="1"/>
  <c r="AZ9" i="1"/>
  <c r="BA9" i="1" s="1"/>
  <c r="BC9" i="1" s="1"/>
  <c r="AZ17" i="1"/>
  <c r="BA17" i="1" s="1"/>
  <c r="BC17" i="1" s="1"/>
  <c r="BD17" i="1" s="1"/>
  <c r="AZ19" i="1"/>
  <c r="BA19" i="1" s="1"/>
  <c r="BB19" i="1" s="1"/>
  <c r="AZ21" i="1"/>
  <c r="BA21" i="1" s="1"/>
  <c r="BC21" i="1" s="1"/>
  <c r="BD21" i="1" s="1"/>
  <c r="BE21" i="1" s="1"/>
  <c r="AZ20" i="1"/>
  <c r="BA20" i="1" s="1"/>
  <c r="BB20" i="1" s="1"/>
  <c r="AZ18" i="1"/>
  <c r="BA18" i="1" s="1"/>
  <c r="BC18" i="1" s="1"/>
  <c r="BD18" i="1" s="1"/>
  <c r="BE18" i="1" s="1"/>
  <c r="AZ22" i="1"/>
  <c r="BA22" i="1" s="1"/>
  <c r="BC22" i="1" s="1"/>
  <c r="BD22" i="1" s="1"/>
  <c r="BE22" i="1" s="1"/>
  <c r="AZ38" i="1"/>
  <c r="BA38" i="1" s="1"/>
  <c r="BB38" i="1" s="1"/>
  <c r="BC57" i="1"/>
  <c r="BD57" i="1" s="1"/>
  <c r="BE57" i="1" s="1"/>
  <c r="BC11" i="1"/>
  <c r="BD11" i="1" s="1"/>
  <c r="BE11" i="1" s="1"/>
  <c r="BB11" i="1"/>
  <c r="BC49" i="1"/>
  <c r="BD49" i="1" s="1"/>
  <c r="BE49" i="1" s="1"/>
  <c r="BB49" i="1"/>
  <c r="BC41" i="1"/>
  <c r="BD41" i="1" s="1"/>
  <c r="BE41" i="1" s="1"/>
  <c r="BB41" i="1"/>
  <c r="BB50" i="1"/>
  <c r="BC50" i="1"/>
  <c r="BD50" i="1" s="1"/>
  <c r="BE50" i="1" s="1"/>
  <c r="BB28" i="1" l="1"/>
  <c r="BB40" i="1"/>
  <c r="BC29" i="1"/>
  <c r="BD29" i="1" s="1"/>
  <c r="BE29" i="1" s="1"/>
  <c r="BE33" i="1" s="1"/>
  <c r="BC56" i="1"/>
  <c r="BD56" i="1" s="1"/>
  <c r="BD60" i="1" s="1"/>
  <c r="BB48" i="1"/>
  <c r="BB39" i="1"/>
  <c r="BB47" i="1"/>
  <c r="BB30" i="1"/>
  <c r="BC37" i="1"/>
  <c r="BD37" i="1" s="1"/>
  <c r="BE37" i="1" s="1"/>
  <c r="BC8" i="1"/>
  <c r="BD8" i="1" s="1"/>
  <c r="BB10" i="1"/>
  <c r="BB21" i="1"/>
  <c r="BC20" i="1"/>
  <c r="BD20" i="1" s="1"/>
  <c r="BE20" i="1" s="1"/>
  <c r="BB31" i="1"/>
  <c r="BD9" i="1"/>
  <c r="BE9" i="1" s="1"/>
  <c r="BB9" i="1"/>
  <c r="BC38" i="1"/>
  <c r="BD38" i="1" s="1"/>
  <c r="BE38" i="1" s="1"/>
  <c r="BB22" i="1"/>
  <c r="BC19" i="1"/>
  <c r="BD19" i="1" s="1"/>
  <c r="BE19" i="1" s="1"/>
  <c r="BB18" i="1"/>
  <c r="BB17" i="1"/>
  <c r="BD52" i="1"/>
  <c r="BE47" i="1"/>
  <c r="BE52" i="1" s="1"/>
  <c r="BE17" i="1"/>
  <c r="BD13" i="1" l="1"/>
  <c r="BE8" i="1"/>
  <c r="BE13" i="1" s="1"/>
  <c r="BD33" i="1"/>
  <c r="BD34" i="1" s="1"/>
  <c r="BE56" i="1"/>
  <c r="BE60" i="1" s="1"/>
  <c r="BD61" i="1" s="1"/>
  <c r="BF58" i="1" s="1"/>
  <c r="BE24" i="1"/>
  <c r="BD24" i="1"/>
  <c r="BD43" i="1"/>
  <c r="BE43" i="1"/>
  <c r="BD53" i="1"/>
  <c r="BD14" i="1" l="1"/>
  <c r="BF47" i="1" s="1"/>
  <c r="BD25" i="1"/>
  <c r="BF30" i="1" s="1"/>
  <c r="BD44" i="1"/>
  <c r="BF29" i="1" s="1"/>
  <c r="BF57" i="1"/>
  <c r="BF28" i="1"/>
  <c r="BF31" i="1"/>
  <c r="BF50" i="1"/>
  <c r="BF49" i="1"/>
  <c r="BF19" i="1" l="1"/>
  <c r="BF17" i="1"/>
  <c r="BF20" i="1"/>
  <c r="BF18" i="1"/>
  <c r="BF11" i="1"/>
  <c r="BF8" i="1"/>
  <c r="BF41" i="1"/>
  <c r="BF22" i="1"/>
  <c r="BF40" i="1"/>
  <c r="BF38" i="1"/>
  <c r="BF9" i="1"/>
  <c r="BF10" i="1"/>
  <c r="BF56" i="1"/>
  <c r="BF39" i="1"/>
  <c r="BF48" i="1"/>
  <c r="BF21" i="1"/>
  <c r="B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tc={C0AAEF45-D962-4E93-928D-AADD8EB88908}</author>
    <author>tc={7B3CB18D-2B25-4130-B4D8-C54F60DD5886}</author>
    <author>tc={F44FAFF0-AE96-45D0-929B-71DBD7031A1E}</author>
    <author>tc={9AAA3AE4-6154-4DC5-BB94-2DE49527D40B}</author>
    <author>tc={CA6776B4-2527-4F24-9151-50DABC656680}</author>
    <author>tc={D551EA89-0626-4DD9-9999-AEC658C9A106}</author>
    <author>tc={23851E4E-C354-437F-A423-4C7A52529978}</author>
    <author>tc={89ECBF09-F69C-4462-993D-80BF221F6048}</author>
    <author>tc={6A3C0402-C403-4179-B0A4-E49B78FE8F76}</author>
    <author>tc={2789A0BE-F231-477B-9BF0-585795ABE1E0}</author>
    <author>tc={001DFC28-A682-4DA8-B3E5-4F16EB51C713}</author>
  </authors>
  <commentList>
    <comment ref="S2" authorId="0" shapeId="0" xr:uid="{C0AAEF45-D962-4E93-928D-AADD8EB889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mostra aonde foi localizado cada valor de cada fórmula para realizar o QLoteam. igual a 16,51.
Vazão de Distribuição / K2, ou seja, 17,55/1,5=11,7.</t>
      </text>
    </comment>
    <comment ref="K3" authorId="1" shapeId="0" xr:uid="{7B3CB18D-2B25-4130-B4D8-C54F60DD58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Utilizaram da maneira correta o K2, mas por usarem valor convergente na vazão de distribuição se considerou outro valor no Qloteam.
Vazão de Distribuição / K2, ou seja, 17,55/1,5=11,7.</t>
      </text>
    </comment>
    <comment ref="D8" authorId="2" shapeId="0" xr:uid="{F44FAFF0-AE96-45D0-929B-71DBD7031A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perda de carga unitária ficou maior que 7,5 (m/km) portanto aumentamos o diâmetro de 400 mm para 450 mm</t>
      </text>
    </comment>
    <comment ref="D11" authorId="3" shapeId="0" xr:uid="{9AAA3AE4-6154-4DC5-BB94-2DE49527D40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Aumentamos o diâmetro de 350 mm para 400 mm para passar na verificação da perda de carga unitária </t>
      </text>
    </comment>
    <comment ref="D21" authorId="4" shapeId="0" xr:uid="{CA6776B4-2527-4F24-9151-50DABC6566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Aumentamos o diâmetro de 325 mm para 350 mm para passar na verificação da perda de carga unitária</t>
      </text>
    </comment>
    <comment ref="D29" authorId="5" shapeId="0" xr:uid="{D551EA89-0626-4DD9-9999-AEC658C9A1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Aumentamos o diâmetro de 200 mm para 250 mm para passar na verificação da perda de carga unitária</t>
      </text>
    </comment>
    <comment ref="D38" authorId="6" shapeId="0" xr:uid="{23851E4E-C354-437F-A423-4C7A525299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Aumentamos o diâmetro de 325 mm para 350 mm para passar na verificação da perda de carga unitária</t>
      </text>
    </comment>
    <comment ref="D39" authorId="7" shapeId="0" xr:uid="{89ECBF09-F69C-4462-993D-80BF221F604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Aumentamos o diâmetro de 200 mm para 250 mm para passar na verificação da perda de carga unitária
</t>
      </text>
    </comment>
    <comment ref="D41" authorId="8" shapeId="0" xr:uid="{6A3C0402-C403-4179-B0A4-E49B78FE8F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perda de carga unitária durante a verificação das vazões aumenta e ultrapassa o limite de 7,5 (m/km) portanto foi feito o aumento do diâmetro de 200 mm para 250 mm</t>
      </text>
    </comment>
    <comment ref="D47" authorId="9" shapeId="0" xr:uid="{2789A0BE-F231-477B-9BF0-585795AB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perda de carga unitária ultrapassou bastante o limite de 7,5 (m/km), portanto realizamos os testes, e o diâmetro do qual passou todas as verificações foi o de 400 mm</t>
      </text>
    </comment>
    <comment ref="D50" authorId="10" shapeId="0" xr:uid="{001DFC28-A682-4DA8-B3E5-4F16EB51C71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valor de J maior que 7,5 aumentei diâmetro para 350 mm e era 325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tc={227C66F0-308E-421A-823B-AD6CE567F4A7}</author>
  </authors>
  <commentList>
    <comment ref="B22" authorId="0" shapeId="0" xr:uid="{227C66F0-308E-421A-823B-AD6CE567F4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 Não foi feito o  cálculo pela curva logística, por conta de não passar na condição:
P1² &gt; P0 * P2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<sst xmlns="http://schemas.openxmlformats.org/spreadsheetml/2006/main" count="663" uniqueCount="209">
  <si>
    <t>Método de Dimensionamento por Hardy-Cross</t>
  </si>
  <si>
    <t>Observações</t>
  </si>
  <si>
    <t>Dados do Reservatório</t>
  </si>
  <si>
    <t>Dados do Loteamento</t>
  </si>
  <si>
    <t>Contratada:</t>
  </si>
  <si>
    <t>Mat. Da Tubulação</t>
  </si>
  <si>
    <t>PVC</t>
  </si>
  <si>
    <t xml:space="preserve">j max </t>
  </si>
  <si>
    <t>K1</t>
  </si>
  <si>
    <t>P Loteam.</t>
  </si>
  <si>
    <t>Qc1 Loteam.</t>
  </si>
  <si>
    <t>QLoteam.</t>
  </si>
  <si>
    <t>Contratante:</t>
  </si>
  <si>
    <t>Coef. Hazen Williams</t>
  </si>
  <si>
    <t>Ø min aneis</t>
  </si>
  <si>
    <t>K2</t>
  </si>
  <si>
    <t>q loteam.</t>
  </si>
  <si>
    <t>Qc2 Loteam.</t>
  </si>
  <si>
    <t>REVISÃO 0</t>
  </si>
  <si>
    <t>Vazão de Distribuição Aneis [l/s]</t>
  </si>
  <si>
    <t>Vazão de Distribuição Total [l/s]</t>
  </si>
  <si>
    <t>P Aneis</t>
  </si>
  <si>
    <t>Qc3 Loteam.</t>
  </si>
  <si>
    <t>Anel</t>
  </si>
  <si>
    <t>Trecho</t>
  </si>
  <si>
    <t>Comprimento (m)</t>
  </si>
  <si>
    <t>Diâmetro (mm)</t>
  </si>
  <si>
    <t>Q0 (l/s)</t>
  </si>
  <si>
    <t>V0 (m/s)</t>
  </si>
  <si>
    <t>J0 (m/km)</t>
  </si>
  <si>
    <t>H0 (m)</t>
  </si>
  <si>
    <t>H0/Q0</t>
  </si>
  <si>
    <t>∆Q0</t>
  </si>
  <si>
    <t>Q1 (l/s)</t>
  </si>
  <si>
    <t>V1 (m/s)</t>
  </si>
  <si>
    <t>J1 (m/km)</t>
  </si>
  <si>
    <t>H1 (m)</t>
  </si>
  <si>
    <t>H1/Q1</t>
  </si>
  <si>
    <t>∆Q1</t>
  </si>
  <si>
    <t>Q2 (l/s)</t>
  </si>
  <si>
    <t>V2 (m/s)</t>
  </si>
  <si>
    <t>J2 (m/km)</t>
  </si>
  <si>
    <t>H2 (m)</t>
  </si>
  <si>
    <t>H2/Q2</t>
  </si>
  <si>
    <t>∆Q2</t>
  </si>
  <si>
    <t>Q3 (l/s)</t>
  </si>
  <si>
    <t>V3 (m/s)</t>
  </si>
  <si>
    <t>J3 (m/km)</t>
  </si>
  <si>
    <t>H3 (m)</t>
  </si>
  <si>
    <t>H3/Q3</t>
  </si>
  <si>
    <t>∆Q3</t>
  </si>
  <si>
    <t>Q4 (l/s)</t>
  </si>
  <si>
    <t>V4 (m/s)</t>
  </si>
  <si>
    <t>J4 (m/km)</t>
  </si>
  <si>
    <t>H4 (m)</t>
  </si>
  <si>
    <t>H4/Q4</t>
  </si>
  <si>
    <t>∆Q4</t>
  </si>
  <si>
    <t>Q5 (l/s)</t>
  </si>
  <si>
    <t>V5 (m/s)</t>
  </si>
  <si>
    <t>J5 (m/km)</t>
  </si>
  <si>
    <t>H5 (m)</t>
  </si>
  <si>
    <t>H5/Q5</t>
  </si>
  <si>
    <t>∆Q5</t>
  </si>
  <si>
    <t>Q6 (l/s)</t>
  </si>
  <si>
    <t>V6 (m/s)</t>
  </si>
  <si>
    <t>J6 (m/km)</t>
  </si>
  <si>
    <t>H6 (m)</t>
  </si>
  <si>
    <t>H6/Q6</t>
  </si>
  <si>
    <t>∆Q6</t>
  </si>
  <si>
    <t>Q7 (l/s)</t>
  </si>
  <si>
    <t>V7 (m/s)</t>
  </si>
  <si>
    <t>J7 (m/km)</t>
  </si>
  <si>
    <t>H7 (m)</t>
  </si>
  <si>
    <t>H7/Q7</t>
  </si>
  <si>
    <t>∆Q7</t>
  </si>
  <si>
    <t>Q8 (l/s)</t>
  </si>
  <si>
    <t>V8 (m/s)</t>
  </si>
  <si>
    <t>J8 (m/km)</t>
  </si>
  <si>
    <t>H8 (m)</t>
  </si>
  <si>
    <t>H8/Q8</t>
  </si>
  <si>
    <t>∆Q8</t>
  </si>
  <si>
    <t>I</t>
  </si>
  <si>
    <t>AB</t>
  </si>
  <si>
    <t>BC</t>
  </si>
  <si>
    <t>CD</t>
  </si>
  <si>
    <t>DA</t>
  </si>
  <si>
    <t>Soma H0</t>
  </si>
  <si>
    <t>Soma H1</t>
  </si>
  <si>
    <t>Soma H2</t>
  </si>
  <si>
    <t>Soma H3</t>
  </si>
  <si>
    <t>Soma H4</t>
  </si>
  <si>
    <t>Soma H5</t>
  </si>
  <si>
    <t>Soma Ho</t>
  </si>
  <si>
    <t>Soma H7</t>
  </si>
  <si>
    <t>(MÁXIMO |0,05| mca)</t>
  </si>
  <si>
    <t>Soma H8</t>
  </si>
  <si>
    <t>DeltaQ0</t>
  </si>
  <si>
    <t>DeltaQ1</t>
  </si>
  <si>
    <t>DeltaQ2</t>
  </si>
  <si>
    <t>DeltaQ3</t>
  </si>
  <si>
    <t>DeltaQ4</t>
  </si>
  <si>
    <t>DeltaQ5</t>
  </si>
  <si>
    <t>DeltaQ7</t>
  </si>
  <si>
    <t>(MÁXIMO |0,10| l/s)</t>
  </si>
  <si>
    <t>DeltaQ8</t>
  </si>
  <si>
    <t>II</t>
  </si>
  <si>
    <t>BE</t>
  </si>
  <si>
    <t>EF</t>
  </si>
  <si>
    <t>FG</t>
  </si>
  <si>
    <t>GH</t>
  </si>
  <si>
    <t>HC</t>
  </si>
  <si>
    <t>CB</t>
  </si>
  <si>
    <t>Soma H6</t>
  </si>
  <si>
    <t>DeltaQ6</t>
  </si>
  <si>
    <t>III</t>
  </si>
  <si>
    <t>IJ</t>
  </si>
  <si>
    <t>JH</t>
  </si>
  <si>
    <t>HG</t>
  </si>
  <si>
    <t>GI</t>
  </si>
  <si>
    <t>IV</t>
  </si>
  <si>
    <t>DC</t>
  </si>
  <si>
    <t>CH</t>
  </si>
  <si>
    <t>HJ</t>
  </si>
  <si>
    <t>JK</t>
  </si>
  <si>
    <t>KD</t>
  </si>
  <si>
    <t>V</t>
  </si>
  <si>
    <t>AD</t>
  </si>
  <si>
    <t>DK</t>
  </si>
  <si>
    <t>KL</t>
  </si>
  <si>
    <t>LA</t>
  </si>
  <si>
    <t>VI</t>
  </si>
  <si>
    <t>KJ</t>
  </si>
  <si>
    <t>JI</t>
  </si>
  <si>
    <t>IK</t>
  </si>
  <si>
    <t xml:space="preserve">Trecho </t>
  </si>
  <si>
    <t>Res - A</t>
  </si>
  <si>
    <t>IM</t>
  </si>
  <si>
    <t>PONTO A</t>
  </si>
  <si>
    <t>PONTO B</t>
  </si>
  <si>
    <t>PONTO MORTO C</t>
  </si>
  <si>
    <t>PONTO MORTO G</t>
  </si>
  <si>
    <t>ANEL I e V</t>
  </si>
  <si>
    <t>ANEL I e II</t>
  </si>
  <si>
    <t>ANEL I, II e IV</t>
  </si>
  <si>
    <t>ANEL II e III</t>
  </si>
  <si>
    <t>RES-A</t>
  </si>
  <si>
    <t>Maior Caminho</t>
  </si>
  <si>
    <t>Menor Caminho</t>
  </si>
  <si>
    <t>Maior Caminho/Menor Caminho</t>
  </si>
  <si>
    <t>Vazão</t>
  </si>
  <si>
    <t>DC (menor caminho)</t>
  </si>
  <si>
    <t>HG (menor caminho)</t>
  </si>
  <si>
    <t>PONTO D</t>
  </si>
  <si>
    <t>PONTO E</t>
  </si>
  <si>
    <t>BC (maior caminho)</t>
  </si>
  <si>
    <t>FG (maior caminho)</t>
  </si>
  <si>
    <t>ANEL I, IV e V</t>
  </si>
  <si>
    <t>ANEL II</t>
  </si>
  <si>
    <t>PONTO MORTO K</t>
  </si>
  <si>
    <t>PONTO MORTO I</t>
  </si>
  <si>
    <t>ANEL IV, V e VI</t>
  </si>
  <si>
    <t>ANEL III e VI</t>
  </si>
  <si>
    <t>PONTO F</t>
  </si>
  <si>
    <t>PONTO H</t>
  </si>
  <si>
    <t>ANEL II, III e IV</t>
  </si>
  <si>
    <t>LK (maior caminho)</t>
  </si>
  <si>
    <t xml:space="preserve">GI </t>
  </si>
  <si>
    <t>DK (menor caminho)</t>
  </si>
  <si>
    <t xml:space="preserve">JI </t>
  </si>
  <si>
    <t>KI</t>
  </si>
  <si>
    <t>PONTO M</t>
  </si>
  <si>
    <t>PONTO L</t>
  </si>
  <si>
    <t>PONTO MORTO J</t>
  </si>
  <si>
    <t>ANEL III, IV e VI</t>
  </si>
  <si>
    <t>AL</t>
  </si>
  <si>
    <t>KJ (menor caminho)</t>
  </si>
  <si>
    <t>HJ (maior caminho)</t>
  </si>
  <si>
    <t>Metodo Aritmético e Geométrico</t>
  </si>
  <si>
    <t>Tempo</t>
  </si>
  <si>
    <t>Ano</t>
  </si>
  <si>
    <t>População</t>
  </si>
  <si>
    <t>t0</t>
  </si>
  <si>
    <t>p0</t>
  </si>
  <si>
    <t>t1</t>
  </si>
  <si>
    <t>p1</t>
  </si>
  <si>
    <t>t</t>
  </si>
  <si>
    <t>p</t>
  </si>
  <si>
    <t>Metodo Aritmético</t>
  </si>
  <si>
    <t>r</t>
  </si>
  <si>
    <t>P</t>
  </si>
  <si>
    <t>Método Geométrico</t>
  </si>
  <si>
    <t>q</t>
  </si>
  <si>
    <t>Método da curva logistica</t>
  </si>
  <si>
    <t>t2</t>
  </si>
  <si>
    <t>p2</t>
  </si>
  <si>
    <t>* Não será possivel realizar os cálculos pela curva logistica porque ela não passa na condição p1²&gt;p0*p2</t>
  </si>
  <si>
    <t>t1-t0=t2-t1</t>
  </si>
  <si>
    <t>p0&lt;p1&lt;p2</t>
  </si>
  <si>
    <t>p1²&gt;p0*p2</t>
  </si>
  <si>
    <t>PS</t>
  </si>
  <si>
    <t>a</t>
  </si>
  <si>
    <t>d</t>
  </si>
  <si>
    <t>b</t>
  </si>
  <si>
    <t>D</t>
  </si>
  <si>
    <t>POPULAÇÃO</t>
  </si>
  <si>
    <t>Diametro</t>
  </si>
  <si>
    <t>Ferro Fundido</t>
  </si>
  <si>
    <t>ProInov Infraestrutura</t>
  </si>
  <si>
    <t>Phelipe Viana Ruiz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</si>
</sst>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Arial"/>
      <family val="2"/>
    </font>
    <font>
      <sz val="11"/>
      <color rgb="FF37698C"/>
      <name val="Arial"/>
      <family val="2"/>
    </font>
    <font>
      <sz val="7"/>
      <name val="Arial"/>
      <family val="2"/>
    </font>
    <font>
      <sz val="9"/>
      <color indexed="81"/>
      <name val="Segoe UI"/>
      <charset val="1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A2F41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19415A"/>
        <bgColor indexed="64"/>
      </patternFill>
    </fill>
    <fill>
      <patternFill patternType="solid">
        <fgColor rgb="FF285573"/>
        <bgColor indexed="64"/>
      </patternFill>
    </fill>
    <fill>
      <patternFill patternType="solid">
        <fgColor rgb="FF37698C"/>
        <bgColor indexed="64"/>
      </patternFill>
    </fill>
    <fill>
      <patternFill patternType="solid">
        <fgColor rgb="FF467DA5"/>
        <bgColor indexed="64"/>
      </patternFill>
    </fill>
    <fill>
      <patternFill patternType="solid">
        <fgColor rgb="FF5A91BE"/>
        <bgColor indexed="64"/>
      </patternFill>
    </fill>
    <fill>
      <patternFill patternType="solid">
        <fgColor rgb="FF6EA5D2"/>
        <bgColor indexed="64"/>
      </patternFill>
    </fill>
    <fill>
      <patternFill patternType="solid">
        <fgColor rgb="FF82B4E1"/>
        <bgColor indexed="64"/>
      </patternFill>
    </fill>
    <fill>
      <patternFill patternType="solid">
        <fgColor rgb="FF9BC3EB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vertic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2" fontId="0" fillId="4" borderId="0" xfId="0" applyNumberFormat="1" applyFill="1"/>
    <xf numFmtId="0" fontId="1" fillId="0" borderId="0" xfId="0" applyFont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5" fillId="0" borderId="0" xfId="0" applyFont="1"/>
    <xf numFmtId="0" fontId="4" fillId="5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11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2" fontId="7" fillId="6" borderId="2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9" fillId="3" borderId="0" xfId="0" applyFont="1" applyFill="1"/>
    <xf numFmtId="0" fontId="5" fillId="3" borderId="0" xfId="0" applyFont="1" applyFill="1"/>
    <xf numFmtId="0" fontId="10" fillId="0" borderId="4" xfId="0" applyFont="1" applyBorder="1" applyAlignment="1">
      <alignment horizontal="left" vertical="center"/>
    </xf>
    <xf numFmtId="0" fontId="5" fillId="0" borderId="7" xfId="0" applyFont="1" applyBorder="1"/>
    <xf numFmtId="0" fontId="10" fillId="0" borderId="12" xfId="0" applyFont="1" applyBorder="1" applyAlignment="1">
      <alignment vertical="center"/>
    </xf>
    <xf numFmtId="0" fontId="10" fillId="0" borderId="16" xfId="0" applyFont="1" applyBorder="1" applyAlignment="1">
      <alignment horizontal="righ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/>
    </xf>
    <xf numFmtId="0" fontId="5" fillId="0" borderId="10" xfId="0" applyFont="1" applyBorder="1" applyAlignment="1">
      <alignment horizontal="right" vertical="center"/>
    </xf>
    <xf numFmtId="0" fontId="5" fillId="0" borderId="11" xfId="0" applyFont="1" applyBorder="1"/>
    <xf numFmtId="0" fontId="10" fillId="0" borderId="3" xfId="0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left" vertical="center"/>
    </xf>
    <xf numFmtId="2" fontId="5" fillId="0" borderId="11" xfId="0" applyNumberFormat="1" applyFont="1" applyBorder="1" applyAlignment="1">
      <alignment horizontal="left"/>
    </xf>
    <xf numFmtId="0" fontId="10" fillId="0" borderId="0" xfId="0" applyFont="1"/>
    <xf numFmtId="0" fontId="10" fillId="0" borderId="4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7" xfId="0" applyNumberFormat="1" applyFont="1" applyBorder="1" applyAlignment="1">
      <alignment vertical="center"/>
    </xf>
    <xf numFmtId="0" fontId="11" fillId="0" borderId="5" xfId="0" applyFont="1" applyBorder="1" applyAlignment="1">
      <alignment horizontal="center"/>
    </xf>
    <xf numFmtId="2" fontId="10" fillId="0" borderId="10" xfId="0" applyNumberFormat="1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2" fontId="5" fillId="0" borderId="14" xfId="0" applyNumberFormat="1" applyFont="1" applyBorder="1" applyAlignment="1">
      <alignment horizontal="left" vertical="center"/>
    </xf>
    <xf numFmtId="0" fontId="5" fillId="0" borderId="6" xfId="0" applyFont="1" applyBorder="1"/>
    <xf numFmtId="0" fontId="5" fillId="3" borderId="6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/>
    <xf numFmtId="164" fontId="5" fillId="0" borderId="0" xfId="0" applyNumberFormat="1" applyFont="1"/>
    <xf numFmtId="164" fontId="5" fillId="0" borderId="0" xfId="0" applyNumberFormat="1" applyFont="1" applyAlignment="1">
      <alignment wrapText="1"/>
    </xf>
    <xf numFmtId="0" fontId="5" fillId="0" borderId="2" xfId="0" applyFont="1" applyBorder="1"/>
    <xf numFmtId="2" fontId="5" fillId="7" borderId="1" xfId="0" applyNumberFormat="1" applyFont="1" applyFill="1" applyBorder="1"/>
    <xf numFmtId="164" fontId="5" fillId="7" borderId="1" xfId="0" applyNumberFormat="1" applyFont="1" applyFill="1" applyBorder="1" applyAlignment="1">
      <alignment wrapText="1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0" fontId="1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2" xfId="0" applyFont="1" applyBorder="1"/>
    <xf numFmtId="0" fontId="6" fillId="8" borderId="1" xfId="0" applyFont="1" applyFill="1" applyBorder="1"/>
    <xf numFmtId="0" fontId="5" fillId="8" borderId="1" xfId="0" applyFont="1" applyFill="1" applyBorder="1"/>
    <xf numFmtId="0" fontId="6" fillId="8" borderId="2" xfId="0" applyFont="1" applyFill="1" applyBorder="1"/>
    <xf numFmtId="0" fontId="6" fillId="8" borderId="11" xfId="0" applyFont="1" applyFill="1" applyBorder="1"/>
    <xf numFmtId="0" fontId="6" fillId="8" borderId="17" xfId="0" applyFont="1" applyFill="1" applyBorder="1"/>
    <xf numFmtId="0" fontId="6" fillId="8" borderId="13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5" fillId="7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164" fontId="5" fillId="7" borderId="1" xfId="0" applyNumberFormat="1" applyFont="1" applyFill="1" applyBorder="1"/>
    <xf numFmtId="164" fontId="5" fillId="7" borderId="15" xfId="0" applyNumberFormat="1" applyFont="1" applyFill="1" applyBorder="1"/>
    <xf numFmtId="164" fontId="5" fillId="0" borderId="2" xfId="0" applyNumberFormat="1" applyFont="1" applyBorder="1"/>
    <xf numFmtId="164" fontId="5" fillId="2" borderId="1" xfId="0" applyNumberFormat="1" applyFont="1" applyFill="1" applyBorder="1"/>
    <xf numFmtId="0" fontId="12" fillId="18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21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/>
    </xf>
    <xf numFmtId="0" fontId="13" fillId="25" borderId="1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/>
    <xf numFmtId="2" fontId="5" fillId="0" borderId="18" xfId="0" applyNumberFormat="1" applyFont="1" applyBorder="1"/>
    <xf numFmtId="2" fontId="5" fillId="7" borderId="18" xfId="0" applyNumberFormat="1" applyFont="1" applyFill="1" applyBorder="1"/>
    <xf numFmtId="164" fontId="5" fillId="7" borderId="18" xfId="0" applyNumberFormat="1" applyFont="1" applyFill="1" applyBorder="1"/>
    <xf numFmtId="164" fontId="5" fillId="7" borderId="18" xfId="0" applyNumberFormat="1" applyFont="1" applyFill="1" applyBorder="1" applyAlignment="1">
      <alignment wrapText="1"/>
    </xf>
    <xf numFmtId="164" fontId="5" fillId="7" borderId="19" xfId="0" applyNumberFormat="1" applyFont="1" applyFill="1" applyBorder="1"/>
    <xf numFmtId="0" fontId="12" fillId="3" borderId="20" xfId="0" applyFont="1" applyFill="1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18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12" fillId="20" borderId="21" xfId="0" applyFont="1" applyFill="1" applyBorder="1" applyAlignment="1">
      <alignment horizontal="center"/>
    </xf>
    <xf numFmtId="0" fontId="12" fillId="21" borderId="21" xfId="0" applyFont="1" applyFill="1" applyBorder="1" applyAlignment="1">
      <alignment horizontal="center"/>
    </xf>
    <xf numFmtId="0" fontId="12" fillId="22" borderId="21" xfId="0" applyFont="1" applyFill="1" applyBorder="1" applyAlignment="1">
      <alignment horizontal="center"/>
    </xf>
    <xf numFmtId="0" fontId="12" fillId="23" borderId="21" xfId="0" applyFont="1" applyFill="1" applyBorder="1" applyAlignment="1">
      <alignment horizontal="center"/>
    </xf>
    <xf numFmtId="0" fontId="12" fillId="24" borderId="21" xfId="0" applyFont="1" applyFill="1" applyBorder="1" applyAlignment="1">
      <alignment horizontal="center"/>
    </xf>
    <xf numFmtId="0" fontId="13" fillId="25" borderId="2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2" fontId="5" fillId="7" borderId="2" xfId="0" applyNumberFormat="1" applyFont="1" applyFill="1" applyBorder="1"/>
    <xf numFmtId="164" fontId="5" fillId="2" borderId="2" xfId="0" applyNumberFormat="1" applyFont="1" applyFill="1" applyBorder="1"/>
    <xf numFmtId="164" fontId="5" fillId="7" borderId="2" xfId="0" applyNumberFormat="1" applyFont="1" applyFill="1" applyBorder="1" applyAlignment="1">
      <alignment wrapText="1"/>
    </xf>
    <xf numFmtId="164" fontId="5" fillId="7" borderId="2" xfId="0" applyNumberFormat="1" applyFont="1" applyFill="1" applyBorder="1"/>
    <xf numFmtId="2" fontId="14" fillId="0" borderId="0" xfId="0" applyNumberFormat="1" applyFont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4" fontId="11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2" fontId="5" fillId="4" borderId="7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right" vertical="center"/>
    </xf>
    <xf numFmtId="0" fontId="5" fillId="4" borderId="11" xfId="0" applyFont="1" applyFill="1" applyBorder="1"/>
    <xf numFmtId="0" fontId="0" fillId="4" borderId="2" xfId="0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0" fillId="4" borderId="0" xfId="0" applyFill="1"/>
  </cellXfs>
  <cellStyles count="1">
    <cellStyle name="Normal" xfId="0" builtinId="0"/>
  </cellStyles>
  <dxfs count="68"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fgColor theme="9" tint="0.59996337778862885"/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99FF66"/>
      <color rgb="FFFF33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512887</xdr:colOff>
      <xdr:row>33</xdr:row>
      <xdr:rowOff>66803</xdr:rowOff>
    </xdr:from>
    <xdr:to>
      <xdr:col>5</xdr:col>
      <xdr:colOff>370436</xdr:colOff>
      <xdr:row>51</xdr:row>
      <xdr:rowOff>80595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E39662-DF70-4BF1-A1E5-D1204C8BD7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61" r="1993"/>
        <a:stretch/>
      </xdr:blipFill>
      <xdr:spPr>
        <a:xfrm>
          <a:off x="710714" y="5012476"/>
          <a:ext cx="3345164" cy="3310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lipe Grolla Freitas" id="{052F33BC-EA96-4876-8D0A-4EC90EFA3550}" userId="S::candidato178006@fiap.com.br::58ec6ce4-b5e3-4196-8c6c-6ff809569a5b" providerId="AD"/>
  <person displayName="GIULIA LIMA MARCHEZAN" id="{01FA36EE-AEE9-4DD8-A18A-F33121ECA270}" userId="S::giulia.lm1@puccampinas.edu.br::9971fce5-9c0b-4211-87b2-223f167db3c6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5-06-09T02:17:02.68" personId="{052F33BC-EA96-4876-8D0A-4EC90EFA3550}" id="{C0AAEF45-D962-4E93-928D-AADD8EB88908}">
    <text>Não mostra aonde foi localizado cada valor de cada fórmula para realizar o QLoteam. igual a 16,51.
Vazão de Distribuição / K2, ou seja, 17,55/1,5=11,7.</text>
  </threadedComment>
  <threadedComment ref="K3" dT="2025-06-09T02:17:17.67" personId="{052F33BC-EA96-4876-8D0A-4EC90EFA3550}" id="{7B3CB18D-2B25-4130-B4D8-C54F60DD5886}">
    <text>Utilizaram da maneira correta o K2, mas por usarem valor convergente na vazão de distribuição se considerou outro valor no Qloteam.
Vazão de Distribuição / K2, ou seja, 17,55/1,5=11,7.</text>
  </threadedComment>
  <threadedComment ref="D8" dT="2025-05-21T01:22:34.03" personId="{01FA36EE-AEE9-4DD8-A18A-F33121ECA270}" id="{F44FAFF0-AE96-45D0-929B-71DBD7031A1E}">
    <text>A perda de carga unitária ficou maior que 7,5 (m/km) portanto aumentamos o diâmetro de 400 mm para 450 mm</text>
  </threadedComment>
  <threadedComment ref="D11" dT="2025-05-21T02:17:07.39" personId="{01FA36EE-AEE9-4DD8-A18A-F33121ECA270}" id="{9AAA3AE4-6154-4DC5-BB94-2DE49527D40B}">
    <text xml:space="preserve">Aumentamos o diâmetro de 350 mm para 400 mm para passar na verificação da perda de carga unitária </text>
  </threadedComment>
  <threadedComment ref="D21" dT="2025-05-21T02:18:44.90" personId="{01FA36EE-AEE9-4DD8-A18A-F33121ECA270}" id="{CA6776B4-2527-4F24-9151-50DABC656680}">
    <text>Aumentamos o diâmetro de 325 mm para 350 mm para passar na verificação da perda de carga unitária</text>
  </threadedComment>
  <threadedComment ref="D29" dT="2025-05-21T02:21:11.05" personId="{01FA36EE-AEE9-4DD8-A18A-F33121ECA270}" id="{D551EA89-0626-4DD9-9999-AEC658C9A106}">
    <text>Aumentamos o diâmetro de 200 mm para 250 mm para passar na verificação da perda de carga unitária</text>
  </threadedComment>
  <threadedComment ref="D38" dT="2025-05-21T02:20:15.09" personId="{01FA36EE-AEE9-4DD8-A18A-F33121ECA270}" id="{23851E4E-C354-437F-A423-4C7A52529978}">
    <text>Aumentamos o diâmetro de 325 mm para 350 mm para passar na verificação da perda de carga unitária</text>
  </threadedComment>
  <threadedComment ref="D39" dT="2025-05-21T02:21:54.99" personId="{01FA36EE-AEE9-4DD8-A18A-F33121ECA270}" id="{89ECBF09-F69C-4462-993D-80BF221F6048}">
    <text xml:space="preserve">Aumentamos o diâmetro de 200 mm para 250 mm para passar na verificação da perda de carga unitária
</text>
  </threadedComment>
  <threadedComment ref="D41" dT="2025-05-21T02:09:41.46" personId="{01FA36EE-AEE9-4DD8-A18A-F33121ECA270}" id="{6A3C0402-C403-4179-B0A4-E49B78FE8F76}">
    <text>A perda de carga unitária durante a verificação das vazões aumenta e ultrapassa o limite de 7,5 (m/km) portanto foi feito o aumento do diâmetro de 200 mm para 250 mm</text>
  </threadedComment>
  <threadedComment ref="D47" dT="2025-05-21T02:12:26.56" personId="{01FA36EE-AEE9-4DD8-A18A-F33121ECA270}" id="{2789A0BE-F231-477B-9BF0-585795ABE1E0}">
    <text>A perda de carga unitária ultrapassou bastante o limite de 7,5 (m/km), portanto realizamos os testes, e o diâmetro do qual passou todas as verificações foi o de 400 mm</text>
  </threadedComment>
  <threadedComment ref="D50" dT="2025-05-20T21:55:31.14" personId="{01FA36EE-AEE9-4DD8-A18A-F33121ECA270}" id="{001DFC28-A682-4DA8-B3E5-4F16EB51C713}">
    <text xml:space="preserve">O valor de J maior que 7,5 aumentei diâmetro para 350 mm e era 325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2" dT="2025-06-09T02:27:48.50" personId="{052F33BC-EA96-4876-8D0A-4EC90EFA3550}" id="{227C66F0-308E-421A-823B-AD6CE567F4A7}">
    <text xml:space="preserve"> Não foi feito o  cálculo pela curva logística, por conta de não passar na condição:
P1² &gt; P0 * P2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5"/>
  <sheetViews>
    <sheetView showGridLines="0" tabSelected="1" zoomScaleNormal="100" workbookViewId="0">
      <pane ySplit="7" topLeftCell="A8" activePane="bottomLeft" state="frozen"/>
      <selection activeCell="A7" sqref="A7"/>
      <selection pane="bottomLeft" activeCell="K13" sqref="K13"/>
    </sheetView>
  </sheetViews>
  <sheetFormatPr defaultColWidth="8.85546875" defaultRowHeight="14.25" outlineLevelRow="1" x14ac:dyDescent="0.2"/>
  <cols>
    <col min="1" max="1" width="11.42578125" style="23" bestFit="1" customWidth="1"/>
    <col min="2" max="2" width="7.7109375" style="23" bestFit="1" customWidth="1"/>
    <col min="3" max="3" width="18" style="23" customWidth="1"/>
    <col min="4" max="4" width="17.5703125" style="23" customWidth="1"/>
    <col min="5" max="5" width="9" style="23" bestFit="1" customWidth="1"/>
    <col min="6" max="6" width="8.7109375" style="23" bestFit="1" customWidth="1"/>
    <col min="7" max="7" width="10.28515625" style="23" customWidth="1"/>
    <col min="8" max="8" width="10.5703125" style="23" customWidth="1"/>
    <col min="9" max="9" width="12" style="23" customWidth="1"/>
    <col min="10" max="10" width="10.140625" style="23" customWidth="1"/>
    <col min="11" max="11" width="11" style="23" bestFit="1" customWidth="1"/>
    <col min="12" max="12" width="9.28515625" style="23" bestFit="1" customWidth="1"/>
    <col min="13" max="13" width="10.28515625" style="23" customWidth="1"/>
    <col min="14" max="14" width="12.140625" style="23" bestFit="1" customWidth="1"/>
    <col min="15" max="15" width="10.7109375" style="23" bestFit="1" customWidth="1"/>
    <col min="16" max="16" width="16" style="23" customWidth="1"/>
    <col min="17" max="17" width="10.7109375" style="23" customWidth="1"/>
    <col min="18" max="19" width="9.28515625" style="23" bestFit="1" customWidth="1"/>
    <col min="20" max="20" width="9" style="23" bestFit="1" customWidth="1"/>
    <col min="21" max="21" width="9.28515625" style="23" bestFit="1" customWidth="1"/>
    <col min="22" max="22" width="9" style="23" bestFit="1" customWidth="1"/>
    <col min="23" max="23" width="11" style="23" bestFit="1" customWidth="1"/>
    <col min="24" max="24" width="9" style="23" bestFit="1" customWidth="1"/>
    <col min="25" max="25" width="9.28515625" style="23" bestFit="1" customWidth="1"/>
    <col min="26" max="26" width="9" style="23" bestFit="1" customWidth="1"/>
    <col min="27" max="27" width="9.28515625" style="23" bestFit="1" customWidth="1"/>
    <col min="28" max="28" width="9" style="23" bestFit="1" customWidth="1"/>
    <col min="29" max="29" width="11" style="23" bestFit="1" customWidth="1"/>
    <col min="30" max="30" width="9" style="23" bestFit="1" customWidth="1"/>
    <col min="31" max="31" width="9.28515625" style="23" bestFit="1" customWidth="1"/>
    <col min="32" max="32" width="9" style="23" bestFit="1" customWidth="1"/>
    <col min="33" max="33" width="9.28515625" style="23" bestFit="1" customWidth="1"/>
    <col min="34" max="34" width="9" style="23" bestFit="1" customWidth="1"/>
    <col min="35" max="35" width="11" style="23" bestFit="1" customWidth="1"/>
    <col min="36" max="36" width="9" style="23" bestFit="1" customWidth="1"/>
    <col min="37" max="37" width="9.28515625" style="23" bestFit="1" customWidth="1"/>
    <col min="38" max="38" width="9" style="23" bestFit="1" customWidth="1"/>
    <col min="39" max="39" width="9.28515625" style="23" bestFit="1" customWidth="1"/>
    <col min="40" max="40" width="9" style="23" bestFit="1" customWidth="1"/>
    <col min="41" max="41" width="10.7109375" style="23" bestFit="1" customWidth="1"/>
    <col min="42" max="42" width="9" style="23" bestFit="1" customWidth="1"/>
    <col min="43" max="43" width="9.28515625" style="23" bestFit="1" customWidth="1"/>
    <col min="44" max="44" width="9" style="23" bestFit="1" customWidth="1"/>
    <col min="45" max="45" width="9.28515625" style="23" bestFit="1" customWidth="1"/>
    <col min="46" max="46" width="9" style="23" bestFit="1" customWidth="1"/>
    <col min="47" max="47" width="11" style="23" bestFit="1" customWidth="1"/>
    <col min="48" max="48" width="9.7109375" style="23" bestFit="1" customWidth="1"/>
    <col min="49" max="49" width="10.28515625" style="23" bestFit="1" customWidth="1"/>
    <col min="50" max="50" width="8.85546875" style="23"/>
    <col min="51" max="51" width="9.28515625" style="23" bestFit="1" customWidth="1"/>
    <col min="52" max="52" width="8.85546875" style="23"/>
    <col min="53" max="53" width="11" style="23" bestFit="1" customWidth="1"/>
    <col min="54" max="54" width="9.7109375" style="23" bestFit="1" customWidth="1"/>
    <col min="55" max="55" width="10.28515625" style="23" bestFit="1" customWidth="1"/>
    <col min="56" max="56" width="8.85546875" style="23"/>
    <col min="57" max="57" width="9.28515625" style="23" bestFit="1" customWidth="1"/>
    <col min="58" max="58" width="8.85546875" style="23"/>
    <col min="59" max="59" width="11" style="23" bestFit="1" customWidth="1"/>
    <col min="60" max="60" width="9.7109375" style="23" bestFit="1" customWidth="1"/>
    <col min="61" max="62" width="8.85546875" style="23"/>
    <col min="63" max="63" width="9.28515625" style="23" bestFit="1" customWidth="1"/>
    <col min="64" max="64" width="8.85546875" style="23"/>
    <col min="65" max="65" width="11" style="23" bestFit="1" customWidth="1"/>
    <col min="66" max="66" width="10.7109375" style="23" bestFit="1" customWidth="1"/>
    <col min="67" max="67" width="11.28515625" style="23" bestFit="1" customWidth="1"/>
    <col min="68" max="68" width="8.85546875" style="23"/>
    <col min="69" max="69" width="9.28515625" style="23" bestFit="1" customWidth="1"/>
    <col min="70" max="70" width="8.85546875" style="23"/>
    <col min="71" max="71" width="11" style="23" bestFit="1" customWidth="1"/>
    <col min="72" max="72" width="10.7109375" style="23" bestFit="1" customWidth="1"/>
    <col min="73" max="73" width="11.28515625" style="23" customWidth="1"/>
    <col min="74" max="74" width="8.28515625" style="23" bestFit="1" customWidth="1"/>
    <col min="75" max="75" width="9.140625" style="23" bestFit="1" customWidth="1"/>
    <col min="76" max="76" width="7.85546875" style="23" bestFit="1" customWidth="1"/>
    <col min="77" max="77" width="10" style="23" bestFit="1" customWidth="1"/>
    <col min="78" max="80" width="8.85546875" style="23"/>
    <col min="81" max="81" width="9.28515625" style="23" bestFit="1" customWidth="1"/>
    <col min="82" max="82" width="8.85546875" style="23"/>
    <col min="83" max="83" width="10" style="23" bestFit="1" customWidth="1"/>
    <col min="84" max="86" width="8.85546875" style="23"/>
    <col min="87" max="87" width="9.28515625" style="23" bestFit="1" customWidth="1"/>
    <col min="88" max="88" width="8.85546875" style="23"/>
    <col min="89" max="89" width="10" style="23" bestFit="1" customWidth="1"/>
    <col min="90" max="92" width="8.85546875" style="23"/>
    <col min="93" max="93" width="9.28515625" style="23" bestFit="1" customWidth="1"/>
    <col min="94" max="94" width="8.85546875" style="23"/>
    <col min="95" max="95" width="10" style="23" bestFit="1" customWidth="1"/>
    <col min="96" max="98" width="8.85546875" style="23"/>
    <col min="99" max="99" width="9.28515625" style="23" bestFit="1" customWidth="1"/>
    <col min="100" max="100" width="8.85546875" style="23"/>
    <col min="101" max="101" width="10" style="23" bestFit="1" customWidth="1"/>
    <col min="102" max="104" width="8.85546875" style="23"/>
    <col min="105" max="105" width="9.28515625" style="23" bestFit="1" customWidth="1"/>
    <col min="106" max="106" width="8.85546875" style="23"/>
    <col min="107" max="107" width="10" style="23" bestFit="1" customWidth="1"/>
    <col min="108" max="110" width="8.85546875" style="23"/>
    <col min="111" max="111" width="9.28515625" style="23" bestFit="1" customWidth="1"/>
    <col min="112" max="112" width="8.85546875" style="23"/>
    <col min="113" max="113" width="10" style="23" bestFit="1" customWidth="1"/>
    <col min="114" max="116" width="8.85546875" style="23"/>
    <col min="117" max="117" width="9.28515625" style="23" bestFit="1" customWidth="1"/>
    <col min="118" max="118" width="8.85546875" style="23"/>
    <col min="119" max="119" width="10" style="23" bestFit="1" customWidth="1"/>
    <col min="120" max="122" width="8.85546875" style="23"/>
    <col min="123" max="123" width="9.28515625" style="23" bestFit="1" customWidth="1"/>
    <col min="124" max="124" width="8.85546875" style="23"/>
    <col min="125" max="125" width="10" style="23" bestFit="1" customWidth="1"/>
    <col min="126" max="128" width="8.85546875" style="23"/>
    <col min="129" max="129" width="9.28515625" style="23" bestFit="1" customWidth="1"/>
    <col min="130" max="130" width="8.85546875" style="23"/>
    <col min="131" max="131" width="10" style="23" bestFit="1" customWidth="1"/>
    <col min="132" max="134" width="8.85546875" style="23"/>
    <col min="135" max="135" width="9.28515625" style="23" bestFit="1" customWidth="1"/>
    <col min="136" max="136" width="8.85546875" style="23"/>
    <col min="137" max="137" width="10" style="23" bestFit="1" customWidth="1"/>
    <col min="138" max="140" width="8.85546875" style="23"/>
    <col min="141" max="141" width="9.28515625" style="23" bestFit="1" customWidth="1"/>
    <col min="142" max="142" width="8.85546875" style="23"/>
    <col min="143" max="143" width="10" style="23" bestFit="1" customWidth="1"/>
    <col min="144" max="146" width="8.85546875" style="23"/>
    <col min="147" max="147" width="9.28515625" style="23" bestFit="1" customWidth="1"/>
    <col min="148" max="148" width="8.85546875" style="23"/>
    <col min="149" max="149" width="10" style="23" bestFit="1" customWidth="1"/>
    <col min="150" max="152" width="8.85546875" style="23"/>
    <col min="153" max="153" width="9.28515625" style="23" bestFit="1" customWidth="1"/>
    <col min="154" max="154" width="8.85546875" style="23"/>
    <col min="155" max="155" width="10" style="23" bestFit="1" customWidth="1"/>
    <col min="156" max="158" width="8.85546875" style="23"/>
    <col min="159" max="159" width="9.28515625" style="23" bestFit="1" customWidth="1"/>
    <col min="160" max="160" width="8.85546875" style="23"/>
    <col min="161" max="161" width="10" style="23" bestFit="1" customWidth="1"/>
    <col min="162" max="164" width="8.85546875" style="23"/>
    <col min="165" max="165" width="9.28515625" style="23" bestFit="1" customWidth="1"/>
    <col min="166" max="166" width="8.85546875" style="23"/>
    <col min="167" max="167" width="10" style="23" bestFit="1" customWidth="1"/>
    <col min="168" max="170" width="8.85546875" style="23"/>
    <col min="171" max="171" width="9.28515625" style="23" bestFit="1" customWidth="1"/>
    <col min="172" max="172" width="8.85546875" style="23"/>
    <col min="173" max="173" width="10" style="23" bestFit="1" customWidth="1"/>
    <col min="174" max="176" width="8.85546875" style="23"/>
    <col min="177" max="177" width="9.28515625" style="23" bestFit="1" customWidth="1"/>
    <col min="178" max="178" width="8.85546875" style="23"/>
    <col min="179" max="179" width="10" style="23" bestFit="1" customWidth="1"/>
    <col min="180" max="184" width="8.85546875" style="23"/>
    <col min="185" max="185" width="10" style="23" bestFit="1" customWidth="1"/>
    <col min="186" max="214" width="8.85546875" style="23"/>
    <col min="215" max="215" width="10" style="23" bestFit="1" customWidth="1"/>
    <col min="216" max="220" width="8.85546875" style="23"/>
    <col min="221" max="221" width="10" style="23" bestFit="1" customWidth="1"/>
    <col min="222" max="226" width="8.85546875" style="23"/>
    <col min="227" max="227" width="10" style="23" bestFit="1" customWidth="1"/>
    <col min="228" max="232" width="8.85546875" style="23"/>
    <col min="233" max="233" width="10" style="23" bestFit="1" customWidth="1"/>
    <col min="234" max="238" width="8.85546875" style="23"/>
    <col min="239" max="239" width="10" style="23" bestFit="1" customWidth="1"/>
    <col min="240" max="244" width="8.85546875" style="23"/>
    <col min="245" max="245" width="10" style="23" bestFit="1" customWidth="1"/>
    <col min="246" max="250" width="8.85546875" style="23"/>
    <col min="251" max="251" width="10" style="23" bestFit="1" customWidth="1"/>
    <col min="252" max="262" width="8.85546875" style="23"/>
    <col min="263" max="263" width="10" style="23" bestFit="1" customWidth="1"/>
    <col min="264" max="268" width="8.85546875" style="23"/>
    <col min="269" max="269" width="10" style="23" bestFit="1" customWidth="1"/>
    <col min="270" max="298" width="8.85546875" style="23"/>
    <col min="299" max="299" width="10" style="23" bestFit="1" customWidth="1"/>
    <col min="300" max="304" width="8.85546875" style="23"/>
    <col min="305" max="305" width="10" style="23" bestFit="1" customWidth="1"/>
    <col min="306" max="310" width="8.85546875" style="23"/>
    <col min="311" max="311" width="10" style="23" bestFit="1" customWidth="1"/>
    <col min="312" max="16384" width="8.85546875" style="23"/>
  </cols>
  <sheetData>
    <row r="1" spans="1:58" s="34" customFormat="1" ht="15" outlineLevel="1" x14ac:dyDescent="0.25">
      <c r="A1" s="128" t="s">
        <v>0</v>
      </c>
      <c r="B1" s="129"/>
      <c r="C1" s="129"/>
      <c r="D1" s="129"/>
      <c r="E1" s="127" t="s">
        <v>1</v>
      </c>
      <c r="F1" s="127"/>
      <c r="G1" s="127"/>
      <c r="H1" s="127"/>
      <c r="I1" s="127"/>
      <c r="J1" s="127"/>
      <c r="K1" s="129" t="s">
        <v>2</v>
      </c>
      <c r="L1" s="129"/>
      <c r="M1" s="129"/>
      <c r="N1" s="127" t="s">
        <v>3</v>
      </c>
      <c r="O1" s="127"/>
      <c r="P1" s="127"/>
      <c r="Q1" s="127"/>
      <c r="R1" s="127"/>
      <c r="S1" s="127"/>
      <c r="T1" s="33"/>
    </row>
    <row r="2" spans="1:58" ht="13.9" customHeight="1" outlineLevel="1" x14ac:dyDescent="0.25">
      <c r="A2" s="35" t="s">
        <v>4</v>
      </c>
      <c r="B2" s="136" t="s">
        <v>207</v>
      </c>
      <c r="C2" s="136"/>
      <c r="D2" s="125" t="e" vm="1">
        <v>#VALUE!</v>
      </c>
      <c r="F2" s="37"/>
      <c r="G2" s="38" t="s">
        <v>5</v>
      </c>
      <c r="H2" s="39" t="s">
        <v>6</v>
      </c>
      <c r="I2" s="40" t="s">
        <v>7</v>
      </c>
      <c r="K2" s="41" t="s">
        <v>8</v>
      </c>
      <c r="L2" s="42">
        <v>1.34</v>
      </c>
      <c r="M2" s="43"/>
      <c r="N2" s="44" t="s">
        <v>9</v>
      </c>
      <c r="O2" s="45">
        <v>3430</v>
      </c>
      <c r="P2" s="41" t="s">
        <v>10</v>
      </c>
      <c r="Q2" s="46">
        <v>1.5</v>
      </c>
      <c r="R2" s="145" t="s">
        <v>11</v>
      </c>
      <c r="S2" s="146">
        <v>16.510000000000002</v>
      </c>
    </row>
    <row r="3" spans="1:58" ht="15" customHeight="1" outlineLevel="1" x14ac:dyDescent="0.25">
      <c r="A3" s="35" t="s">
        <v>12</v>
      </c>
      <c r="B3" s="137" t="s">
        <v>208</v>
      </c>
      <c r="C3" s="137"/>
      <c r="D3" s="125"/>
      <c r="F3" s="47"/>
      <c r="G3" s="48" t="s">
        <v>13</v>
      </c>
      <c r="H3" s="49">
        <v>140</v>
      </c>
      <c r="I3" s="40" t="s">
        <v>14</v>
      </c>
      <c r="J3" s="23">
        <v>100</v>
      </c>
      <c r="K3" s="147" t="s">
        <v>15</v>
      </c>
      <c r="L3" s="148">
        <v>1.5</v>
      </c>
      <c r="M3" s="149"/>
      <c r="N3" s="44" t="s">
        <v>16</v>
      </c>
      <c r="O3" s="50">
        <v>220</v>
      </c>
      <c r="P3" s="41" t="s">
        <v>17</v>
      </c>
      <c r="Q3" s="46">
        <v>1.2</v>
      </c>
      <c r="S3" s="51"/>
    </row>
    <row r="4" spans="1:58" ht="42.75" customHeight="1" outlineLevel="1" x14ac:dyDescent="0.2">
      <c r="A4" s="52" t="s">
        <v>18</v>
      </c>
      <c r="B4" s="134">
        <v>45795</v>
      </c>
      <c r="C4" s="135"/>
      <c r="D4" s="126"/>
      <c r="E4" s="130" t="s">
        <v>19</v>
      </c>
      <c r="F4" s="131"/>
      <c r="G4" s="131"/>
      <c r="H4" s="53">
        <f>(L2*L3*O4*(O3/86400))</f>
        <v>555.91807638888906</v>
      </c>
      <c r="I4" s="54">
        <f>H4*10%</f>
        <v>55.591807638888909</v>
      </c>
      <c r="J4" s="43"/>
      <c r="K4" s="132" t="s">
        <v>20</v>
      </c>
      <c r="L4" s="133"/>
      <c r="M4" s="55">
        <f>H4+S2</f>
        <v>572.42807638888905</v>
      </c>
      <c r="N4" s="44" t="s">
        <v>21</v>
      </c>
      <c r="O4" s="45">
        <f>População!E33</f>
        <v>108619</v>
      </c>
      <c r="P4" s="56" t="s">
        <v>22</v>
      </c>
      <c r="Q4" s="57">
        <v>2.1</v>
      </c>
      <c r="R4" s="58"/>
      <c r="S4" s="36"/>
    </row>
    <row r="5" spans="1:58" s="34" customFormat="1" outlineLevel="1" x14ac:dyDescent="0.2">
      <c r="O5" s="59"/>
      <c r="P5" s="59"/>
      <c r="Q5" s="59"/>
      <c r="R5" s="59"/>
      <c r="S5" s="59"/>
    </row>
    <row r="7" spans="1:58" x14ac:dyDescent="0.2">
      <c r="A7" s="108" t="s">
        <v>23</v>
      </c>
      <c r="B7" s="109" t="s">
        <v>24</v>
      </c>
      <c r="C7" s="109" t="s">
        <v>25</v>
      </c>
      <c r="D7" s="109" t="s">
        <v>26</v>
      </c>
      <c r="E7" s="109" t="s">
        <v>27</v>
      </c>
      <c r="F7" s="109" t="s">
        <v>28</v>
      </c>
      <c r="G7" s="109" t="s">
        <v>29</v>
      </c>
      <c r="H7" s="109" t="s">
        <v>30</v>
      </c>
      <c r="I7" s="109" t="s">
        <v>31</v>
      </c>
      <c r="J7" s="109" t="s">
        <v>32</v>
      </c>
      <c r="K7" s="110" t="s">
        <v>33</v>
      </c>
      <c r="L7" s="110" t="s">
        <v>34</v>
      </c>
      <c r="M7" s="110" t="s">
        <v>35</v>
      </c>
      <c r="N7" s="110" t="s">
        <v>36</v>
      </c>
      <c r="O7" s="110" t="s">
        <v>37</v>
      </c>
      <c r="P7" s="110" t="s">
        <v>38</v>
      </c>
      <c r="Q7" s="111" t="s">
        <v>39</v>
      </c>
      <c r="R7" s="111" t="s">
        <v>40</v>
      </c>
      <c r="S7" s="111" t="s">
        <v>41</v>
      </c>
      <c r="T7" s="111" t="s">
        <v>42</v>
      </c>
      <c r="U7" s="111" t="s">
        <v>43</v>
      </c>
      <c r="V7" s="111" t="s">
        <v>44</v>
      </c>
      <c r="W7" s="112" t="s">
        <v>45</v>
      </c>
      <c r="X7" s="112" t="s">
        <v>46</v>
      </c>
      <c r="Y7" s="112" t="s">
        <v>47</v>
      </c>
      <c r="Z7" s="112" t="s">
        <v>48</v>
      </c>
      <c r="AA7" s="112" t="s">
        <v>49</v>
      </c>
      <c r="AB7" s="112" t="s">
        <v>50</v>
      </c>
      <c r="AC7" s="113" t="s">
        <v>51</v>
      </c>
      <c r="AD7" s="113" t="s">
        <v>52</v>
      </c>
      <c r="AE7" s="113" t="s">
        <v>53</v>
      </c>
      <c r="AF7" s="113" t="s">
        <v>54</v>
      </c>
      <c r="AG7" s="113" t="s">
        <v>55</v>
      </c>
      <c r="AH7" s="113" t="s">
        <v>56</v>
      </c>
      <c r="AI7" s="114" t="s">
        <v>57</v>
      </c>
      <c r="AJ7" s="114" t="s">
        <v>58</v>
      </c>
      <c r="AK7" s="114" t="s">
        <v>59</v>
      </c>
      <c r="AL7" s="114" t="s">
        <v>60</v>
      </c>
      <c r="AM7" s="114" t="s">
        <v>61</v>
      </c>
      <c r="AN7" s="114" t="s">
        <v>62</v>
      </c>
      <c r="AO7" s="115" t="s">
        <v>63</v>
      </c>
      <c r="AP7" s="115" t="s">
        <v>64</v>
      </c>
      <c r="AQ7" s="115" t="s">
        <v>65</v>
      </c>
      <c r="AR7" s="115" t="s">
        <v>66</v>
      </c>
      <c r="AS7" s="115" t="s">
        <v>67</v>
      </c>
      <c r="AT7" s="115" t="s">
        <v>68</v>
      </c>
      <c r="AU7" s="116" t="s">
        <v>69</v>
      </c>
      <c r="AV7" s="116" t="s">
        <v>70</v>
      </c>
      <c r="AW7" s="116" t="s">
        <v>71</v>
      </c>
      <c r="AX7" s="116" t="s">
        <v>72</v>
      </c>
      <c r="AY7" s="116" t="s">
        <v>73</v>
      </c>
      <c r="AZ7" s="116" t="s">
        <v>74</v>
      </c>
      <c r="BA7" s="117" t="s">
        <v>75</v>
      </c>
      <c r="BB7" s="117" t="s">
        <v>76</v>
      </c>
      <c r="BC7" s="117" t="s">
        <v>77</v>
      </c>
      <c r="BD7" s="117" t="s">
        <v>78</v>
      </c>
      <c r="BE7" s="117" t="s">
        <v>79</v>
      </c>
      <c r="BF7" s="117" t="s">
        <v>80</v>
      </c>
    </row>
    <row r="8" spans="1:58" x14ac:dyDescent="0.2">
      <c r="A8" s="101" t="s">
        <v>81</v>
      </c>
      <c r="B8" s="102" t="s">
        <v>82</v>
      </c>
      <c r="C8" s="103">
        <v>125</v>
      </c>
      <c r="D8" s="104">
        <v>450</v>
      </c>
      <c r="E8" s="103">
        <f>Vazões!E3</f>
        <v>256.70533347124376</v>
      </c>
      <c r="F8" s="105">
        <f>ABS((4000*E8)/(PI()*($D$8^2)))</f>
        <v>1.6140611452840226</v>
      </c>
      <c r="G8" s="106">
        <f>(10.641*((0.001*ABS(E8))^1.85))/((140^1.85)*((0.001*$D$8)^4.87))*1000</f>
        <v>4.4973344454372972</v>
      </c>
      <c r="H8" s="105">
        <f>IF(E8&lt;0,((-$C$8*G8)/1000),(($C$8*G8)/1000))</f>
        <v>0.56216680567966215</v>
      </c>
      <c r="I8" s="105">
        <f>ABS(H8/E8)</f>
        <v>2.1899303691040621E-3</v>
      </c>
      <c r="J8" s="105">
        <f ca="1">H$14</f>
        <v>-8.4614116177031669</v>
      </c>
      <c r="K8" s="105">
        <f ca="1">J8+E8</f>
        <v>248.2439218535406</v>
      </c>
      <c r="L8" s="105">
        <f ca="1">ABS((4000*K8)/(PI()*($D$8^2)))</f>
        <v>1.5608591508349303</v>
      </c>
      <c r="M8" s="106">
        <f ca="1">(10.641*((0.001*ABS(K8))^1.85))/((140^1.85)*((0.001*$D$8)^4.87))*1000</f>
        <v>4.2269400573357405</v>
      </c>
      <c r="N8" s="105">
        <f ca="1">IF(K8&lt;0,((-$C$8*M8)/1000),(($C$8*M8)/1000))</f>
        <v>0.52836750716696756</v>
      </c>
      <c r="O8" s="105">
        <f ca="1">ABS(N8/K8)</f>
        <v>2.1284207211272419E-3</v>
      </c>
      <c r="P8" s="107">
        <f ca="1">N$14</f>
        <v>-4.2563685110680369</v>
      </c>
      <c r="Q8" s="105">
        <f ca="1">P8+K8</f>
        <v>243.98755334247255</v>
      </c>
      <c r="R8" s="105">
        <f ca="1">ABS((4000*Q8)/(PI()*($D$8^2)))</f>
        <v>1.534096796734894</v>
      </c>
      <c r="S8" s="106">
        <f ca="1">(10.641*((0.001*ABS(Q8))^1.85))/((140^1.85)*((0.001*$D$8)^4.87))*1000</f>
        <v>4.0938396537496917</v>
      </c>
      <c r="T8" s="105">
        <f ca="1">IF(Q8&lt;0,((-$C$8*S8)/1000),(($C$8*S8)/1000))</f>
        <v>0.51172995671871147</v>
      </c>
      <c r="U8" s="105">
        <f ca="1">ABS(T8/Q8)</f>
        <v>2.097360909228115E-3</v>
      </c>
      <c r="V8" s="107">
        <f ca="1">T$14</f>
        <v>-1.1156449738765462</v>
      </c>
      <c r="W8" s="105">
        <f ca="1">V8+Q8</f>
        <v>242.871908368596</v>
      </c>
      <c r="X8" s="105">
        <f ca="1">ABS((4000*W8)/(PI()*($D$8^2)))</f>
        <v>1.5270820643960066</v>
      </c>
      <c r="Y8" s="106">
        <f ca="1">(10.641*((0.001*ABS(W8))^1.85))/((140^1.85)*((0.001*$D$8)^4.87))*1000</f>
        <v>4.0592762977674433</v>
      </c>
      <c r="Z8" s="105">
        <f ca="1">IF(W8&lt;0,((-$C$8*Y8)/1000),(($C$8*Y8)/1000))</f>
        <v>0.50740953722093041</v>
      </c>
      <c r="AA8" s="105">
        <f ca="1">ABS(Z8/W8)</f>
        <v>2.0892063665545763E-3</v>
      </c>
      <c r="AB8" s="107">
        <f ca="1">Z$14</f>
        <v>-0.36657405705501045</v>
      </c>
      <c r="AC8" s="105">
        <f ca="1">AB8+W8</f>
        <v>242.50533431154099</v>
      </c>
      <c r="AD8" s="105">
        <f ca="1">ABS((4000*AC8)/(PI()*($D$8^2)))</f>
        <v>1.524777192368765</v>
      </c>
      <c r="AE8" s="106">
        <f ca="1">(10.641*((0.001*ABS(AC8))^1.85))/((140^1.85)*((0.001*$D$8)^4.87))*1000</f>
        <v>4.0479490060122165</v>
      </c>
      <c r="AF8" s="105">
        <f ca="1">IF(AC8&lt;0,((-$C$8*AE8)/1000),(($C$8*AE8)/1000))</f>
        <v>0.50599362575152707</v>
      </c>
      <c r="AG8" s="105">
        <f ca="1">ABS(AF8/AC8)</f>
        <v>2.0865257549406678E-3</v>
      </c>
      <c r="AH8" s="107">
        <f ca="1">AF$14</f>
        <v>1.1521214133181445E-2</v>
      </c>
      <c r="AI8" s="105">
        <f ca="1">AH8+AC8</f>
        <v>242.51685552567417</v>
      </c>
      <c r="AJ8" s="105">
        <f ca="1">ABS((4000*AI8)/(PI()*($D$8^2)))</f>
        <v>1.5248496331857415</v>
      </c>
      <c r="AK8" s="106">
        <f ca="1">(10.641*((0.001*ABS(AI8))^1.85))/((140^1.85)*((0.001*$D$8)^4.87))*1000</f>
        <v>4.0483047949841744</v>
      </c>
      <c r="AL8" s="105">
        <f ca="1">IF(AI8&lt;0,((-$C$8*AK8)/1000),(($C$8*AK8)/1000))</f>
        <v>0.5060380993730218</v>
      </c>
      <c r="AM8" s="105">
        <f ca="1">ABS(AL8/AI8)</f>
        <v>2.086610014285996E-3</v>
      </c>
      <c r="AN8" s="107">
        <f ca="1">AL$14</f>
        <v>-0.24065566151829546</v>
      </c>
      <c r="AO8" s="105">
        <f ca="1">AN8+AI8</f>
        <v>242.27619986415587</v>
      </c>
      <c r="AP8" s="105">
        <f ca="1">ABS((4000*AO8)/(PI()*($D$8^2)))</f>
        <v>1.5233364860010032</v>
      </c>
      <c r="AQ8" s="106">
        <f ca="1">(10.641*((0.001*ABS(AO8))^1.85))/((140^1.85)*((0.001*$D$8)^4.87))*1000</f>
        <v>4.0408760426542178</v>
      </c>
      <c r="AR8" s="105">
        <f ca="1">IF(AO8&lt;0,((-$C$8*AQ8)/1000),(($C$8*AQ8)/1000))</f>
        <v>0.50510950533177723</v>
      </c>
      <c r="AS8" s="105">
        <f ca="1">ABS(AR8/AO8)</f>
        <v>2.0848498763600875E-3</v>
      </c>
      <c r="AT8" s="107">
        <f ca="1">AR$14</f>
        <v>-0.19813640935904361</v>
      </c>
      <c r="AU8" s="105">
        <f ca="1">AT8+AO8</f>
        <v>242.07806345479682</v>
      </c>
      <c r="AV8" s="105">
        <f ca="1">ABS((4000*AU8)/(PI()*($D$8^2)))</f>
        <v>1.5220906829805203</v>
      </c>
      <c r="AW8" s="106">
        <f ca="1">(10.641*((0.001*ABS(AU8))^1.85))/((140^1.85)*((0.001*$D$8)^4.87))*1000</f>
        <v>4.0347645145698126</v>
      </c>
      <c r="AX8" s="105">
        <f ca="1">IF(AU8&lt;0,((-$C$8*AW8)/1000),(($C$8*AW8)/1000))</f>
        <v>0.50434556432122657</v>
      </c>
      <c r="AY8" s="105">
        <f ca="1">ABS(AX8/AU8)</f>
        <v>2.0834005242916318E-3</v>
      </c>
      <c r="AZ8" s="107">
        <f ca="1">AX$14</f>
        <v>-7.3968726491069725E-2</v>
      </c>
      <c r="BA8" s="105">
        <f ca="1">AZ8+AU8</f>
        <v>242.00409472830574</v>
      </c>
      <c r="BB8" s="105">
        <f ca="1">ABS((4000*BA8)/(PI()*($D$8^2)))</f>
        <v>1.5216255970168553</v>
      </c>
      <c r="BC8" s="106">
        <f ca="1">(10.641*((0.001*ABS(BA8))^1.85))/((140^1.85)*((0.001*$D$8)^4.87))*1000</f>
        <v>4.032484034803578</v>
      </c>
      <c r="BD8" s="105">
        <f ca="1">IF(BA8&lt;0,((-$C$8*BC8)/1000),(($C$8*BC8)/1000))</f>
        <v>0.50406050435044725</v>
      </c>
      <c r="BE8" s="105">
        <f ca="1">ABS(BD8/BA8)</f>
        <v>2.0828594033350891E-3</v>
      </c>
      <c r="BF8" s="107">
        <f ca="1">BD$14</f>
        <v>1.2017045143991692E-2</v>
      </c>
    </row>
    <row r="9" spans="1:58" x14ac:dyDescent="0.2">
      <c r="A9" s="60" t="s">
        <v>81</v>
      </c>
      <c r="B9" s="81" t="s">
        <v>83</v>
      </c>
      <c r="C9" s="62">
        <v>261.01</v>
      </c>
      <c r="D9" s="66">
        <f ca="1">IFERROR(IF(OFFSET(Auxiliar!$A$1,MATCH(ABS(E9),IF($H$2="PVC",Auxiliar!$B$1:$B$12,Auxiliar!$C$1:$C$12),1),0)&gt;$J$3,OFFSET(Auxiliar!$A$1,MATCH(ABS(E9),IF($H$2="PVC",Auxiliar!$B$1:$B$12,Auxiliar!$C$1:$C$12),1),0),$J$3),$J$3)</f>
        <v>250</v>
      </c>
      <c r="E9" s="62">
        <f>Vazões!H8</f>
        <v>52.634209668695718</v>
      </c>
      <c r="F9" s="89">
        <f ca="1">ABS((4000*E9)/(PI()*($D$9^2)))</f>
        <v>1.0722553144970437</v>
      </c>
      <c r="G9" s="67">
        <f ca="1">(10.641*((0.001*ABS(E9))^1.85))/((140^1.85)*((0.001*$D$9)^4.87))*1000</f>
        <v>4.1978192168370612</v>
      </c>
      <c r="H9" s="89">
        <f ca="1">IF(E9&lt;0,((-$C$9*G9)/1000),(($C$9*G9)/1000))</f>
        <v>1.0956727937866413</v>
      </c>
      <c r="I9" s="89">
        <f ca="1">ABS(H9/E9)</f>
        <v>2.0816742584021254E-2</v>
      </c>
      <c r="J9" s="89">
        <f ca="1">H14-H25</f>
        <v>-0.24725657728725814</v>
      </c>
      <c r="K9" s="89">
        <f ca="1">J9+E9</f>
        <v>52.386953091408458</v>
      </c>
      <c r="L9" s="89">
        <f ca="1">ABS((4000*K9)/(PI()*($D$9^2)))</f>
        <v>1.0672182448666758</v>
      </c>
      <c r="M9" s="67">
        <f ca="1">(10.641*((0.001*ABS(K9))^1.85))/((140^1.85)*((0.001*$D$9)^4.87))*1000</f>
        <v>4.1614103579209134</v>
      </c>
      <c r="N9" s="89">
        <f ca="1">IF(K9&lt;0,((-$C$9*M9)/1000),(($C$9*G9)/1000))</f>
        <v>1.0956727937866413</v>
      </c>
      <c r="O9" s="89">
        <f ca="1">ABS(N9/K9)</f>
        <v>2.0914993698427812E-2</v>
      </c>
      <c r="P9" s="90">
        <f ca="1">N14-N25</f>
        <v>-1.5056046452233152</v>
      </c>
      <c r="Q9" s="89">
        <f ca="1">P9+K9</f>
        <v>50.881348446185143</v>
      </c>
      <c r="R9" s="89">
        <f ca="1">ABS((4000*Q9)/(PI()*($D$9^2)))</f>
        <v>1.0365463188981112</v>
      </c>
      <c r="S9" s="67">
        <f ca="1">(10.641*((0.001*ABS(Q9))^1.85))/((140^1.85)*((0.001*$D$9)^4.87))*1000</f>
        <v>3.9428582848309803</v>
      </c>
      <c r="T9" s="89">
        <f ca="1">IF(Q9&lt;0,((-$C$9*S9)/1000),(($C$9*M9)/1000))</f>
        <v>1.0861697175209377</v>
      </c>
      <c r="U9" s="89">
        <f ca="1">ABS(T9/Q9)</f>
        <v>2.1347109514397587E-2</v>
      </c>
      <c r="V9" s="90">
        <f ca="1">T14-T25</f>
        <v>-0.29515984872116718</v>
      </c>
      <c r="W9" s="89">
        <f ca="1">V9+Q9</f>
        <v>50.586188597463973</v>
      </c>
      <c r="X9" s="89">
        <f ca="1">ABS((4000*W9)/(PI()*($D$9^2)))</f>
        <v>1.0305333718355538</v>
      </c>
      <c r="Y9" s="67">
        <f ca="1">(10.641*((0.001*ABS(W9))^1.85))/((140^1.85)*((0.001*$D$9)^4.87))*1000</f>
        <v>3.900648880925957</v>
      </c>
      <c r="Z9" s="89">
        <f ca="1">IF(W9&lt;0,((-$C$9*Y9)/1000),(($C$9*S9)/1000))</f>
        <v>1.0291254409237343</v>
      </c>
      <c r="AA9" s="89">
        <f ca="1">ABS(Z9/W9)</f>
        <v>2.0344000397280914E-2</v>
      </c>
      <c r="AB9" s="90">
        <f ca="1">Z14-Z25</f>
        <v>0.12384125632620141</v>
      </c>
      <c r="AC9" s="89">
        <f ca="1">AB9+W9</f>
        <v>50.710029853790175</v>
      </c>
      <c r="AD9" s="89">
        <f ca="1">ABS((4000*AC9)/(PI()*($D$9^2)))</f>
        <v>1.033056245192741</v>
      </c>
      <c r="AE9" s="67">
        <f ca="1">(10.641*((0.001*ABS(AC9))^1.85))/((140^1.85)*((0.001*$D$9)^4.87))*1000</f>
        <v>3.9183334120709543</v>
      </c>
      <c r="AF9" s="89">
        <f ca="1">IF(AC9&lt;0,((-$C$9*AE9)/1000),(($C$9*Y9)/1000))</f>
        <v>1.018108364410484</v>
      </c>
      <c r="AG9" s="89">
        <f ca="1">ABS(AF9/AC9)</f>
        <v>2.007706103399954E-2</v>
      </c>
      <c r="AH9" s="90">
        <f ca="1">AF14-AF25</f>
        <v>8.4723644245689983E-2</v>
      </c>
      <c r="AI9" s="89">
        <f ca="1">AH9+AC9</f>
        <v>50.794753498035867</v>
      </c>
      <c r="AJ9" s="89">
        <f ca="1">ABS((4000*AI9)/(PI()*($D$9^2)))</f>
        <v>1.0347822211003841</v>
      </c>
      <c r="AK9" s="67">
        <f ca="1">(10.641*((0.001*ABS(AI9))^1.85))/((140^1.85)*((0.001*$D$9)^4.87))*1000</f>
        <v>3.9304531190765934</v>
      </c>
      <c r="AL9" s="89">
        <f ca="1">IF(AI9&lt;0,((-$C$9*AK9)/1000),(($C$9*AE9)/1000))</f>
        <v>1.0227242038846398</v>
      </c>
      <c r="AM9" s="89">
        <f ca="1">ABS(AL9/AI9)</f>
        <v>2.0134445655380265E-2</v>
      </c>
      <c r="AN9" s="90">
        <f ca="1">AL14-AL25</f>
        <v>-0.16895326728606971</v>
      </c>
      <c r="AO9" s="89">
        <f ca="1">AN9+AI9</f>
        <v>50.625800230749796</v>
      </c>
      <c r="AP9" s="89">
        <f ca="1">ABS((4000*AO9)/(PI()*($D$9^2)))</f>
        <v>1.0313403334024507</v>
      </c>
      <c r="AQ9" s="67">
        <f ca="1">(10.641*((0.001*ABS(AO9))^1.85))/((140^1.85)*((0.001*$D$9)^4.87))*1000</f>
        <v>3.9063014240001181</v>
      </c>
      <c r="AR9" s="89">
        <f ca="1">IF(AO9&lt;0,((-$C$9*AQ9)/1000),(($C$9*AK9)/1000))</f>
        <v>1.0258875686101816</v>
      </c>
      <c r="AS9" s="89">
        <f ca="1">ABS(AR9/AO9)</f>
        <v>2.0264125484125463E-2</v>
      </c>
      <c r="AT9" s="90">
        <f ca="1">AR14-AR25</f>
        <v>-0.13481266983003209</v>
      </c>
      <c r="AU9" s="89">
        <f ca="1">AT9+AO9</f>
        <v>50.490987560919763</v>
      </c>
      <c r="AV9" s="89">
        <f ca="1">ABS((4000*AU9)/(PI()*($D$9^2)))</f>
        <v>1.0285939522447078</v>
      </c>
      <c r="AW9" s="67">
        <f ca="1">(10.641*((0.001*ABS(AU9))^1.85))/((140^1.85)*((0.001*$D$9)^4.87))*1000</f>
        <v>3.8870791645293359</v>
      </c>
      <c r="AX9" s="89">
        <f ca="1">IF(AU9&lt;0,((-$C$9*AW9)/1000),(($C$9*AQ9)/1000))</f>
        <v>1.0195837346782708</v>
      </c>
      <c r="AY9" s="89">
        <f ca="1">ABS(AX9/AU9)</f>
        <v>2.0193380718649935E-2</v>
      </c>
      <c r="AZ9" s="90">
        <f ca="1">AX14-AX25</f>
        <v>-3.0835604344597589E-3</v>
      </c>
      <c r="BA9" s="89">
        <f ca="1">AZ9+AU9</f>
        <v>50.487904000485301</v>
      </c>
      <c r="BB9" s="89">
        <f ca="1">ABS((4000*BA9)/(PI()*($D$9^2)))</f>
        <v>1.0285311344673682</v>
      </c>
      <c r="BC9" s="67">
        <f ca="1">(10.641*((0.001*ABS(BA9))^1.85))/((140^1.85)*((0.001*$D$9)^4.87))*1000</f>
        <v>3.8866400048686303</v>
      </c>
      <c r="BD9" s="89">
        <f ca="1">IF(BA9&lt;0,((-$C$9*BC9)/1000),(($C$9*AW9)/1000))</f>
        <v>1.014566532733802</v>
      </c>
      <c r="BE9" s="89">
        <f ca="1">ABS(BD9/BA9)</f>
        <v>2.0095239697889813E-2</v>
      </c>
      <c r="BF9" s="90">
        <f ca="1">BD14-BD25</f>
        <v>3.8124751641444451E-2</v>
      </c>
    </row>
    <row r="10" spans="1:58" x14ac:dyDescent="0.2">
      <c r="A10" s="60" t="s">
        <v>81</v>
      </c>
      <c r="B10" s="80" t="s">
        <v>84</v>
      </c>
      <c r="C10" s="62">
        <v>191.3</v>
      </c>
      <c r="D10" s="66">
        <f ca="1">IFERROR(IF(OFFSET(Auxiliar!$A$1,MATCH(ABS(E10),IF($H$2="PVC",Auxiliar!$B$1:$B$12,Auxiliar!$C$1:$C$12),1),0)&gt;$J$3,OFFSET(Auxiliar!$A$1,MATCH(ABS(E10),IF($H$2="PVC",Auxiliar!$B$1:$B$12,Auxiliar!$C$1:$C$12),1),0),$J$3),$J$3)</f>
        <v>300</v>
      </c>
      <c r="E10" s="62">
        <f>-Vazões!H7</f>
        <v>-77.925951933112401</v>
      </c>
      <c r="F10" s="89">
        <f ca="1">ABS((4000*E10)/(PI()*($D$10^2)))</f>
        <v>1.1024267062485578</v>
      </c>
      <c r="G10" s="67">
        <f ca="1">(10.641*((0.001*ABS(E10))^1.85))/((140^1.85)*((0.001*$D$10)^4.87))*1000</f>
        <v>3.5700720566262798</v>
      </c>
      <c r="H10" s="89">
        <f ca="1">IF(E10&lt;0,((-$C$10*G10)/1000),(($C$10*G10)/1000))</f>
        <v>-0.68295478443260726</v>
      </c>
      <c r="I10" s="89">
        <f ca="1">ABS(H10/E10)</f>
        <v>8.7641506775409071E-3</v>
      </c>
      <c r="J10" s="89">
        <f ca="1">H14-H44</f>
        <v>-2.9378790102647496</v>
      </c>
      <c r="K10" s="89">
        <f ca="1">J10+E10</f>
        <v>-80.863830943377152</v>
      </c>
      <c r="L10" s="89">
        <f ca="1">ABS((4000*K10)/(PI()*($D$10^2)))</f>
        <v>1.1439891921765186</v>
      </c>
      <c r="M10" s="67">
        <f ca="1">(10.641*((0.001*ABS(K10))^1.85))/((140^1.85)*((0.001*$D$10)^4.87))*1000</f>
        <v>3.8230549862741969</v>
      </c>
      <c r="N10" s="89">
        <f ca="1">IF(K10&lt;0,((-$C$10*M10)/1000),(($C$10*M10)/1000))</f>
        <v>-0.73135041887425389</v>
      </c>
      <c r="O10" s="89">
        <f ca="1">ABS(N10/K10)</f>
        <v>9.044221753312225E-3</v>
      </c>
      <c r="P10" s="90">
        <f ca="1">N14-N44</f>
        <v>-9.8118620256612985</v>
      </c>
      <c r="Q10" s="89">
        <f ca="1">P10+K10</f>
        <v>-90.675692969038451</v>
      </c>
      <c r="R10" s="89">
        <f ca="1">ABS((4000*Q10)/(PI()*($D$10^2)))</f>
        <v>1.2827986448271547</v>
      </c>
      <c r="S10" s="67">
        <f ca="1">(10.641*((0.001*ABS(Q10))^1.85))/((140^1.85)*((0.001*$D$10)^4.87))*1000</f>
        <v>4.7252326999493466</v>
      </c>
      <c r="T10" s="89">
        <f ca="1">IF(Q10&lt;0,((-$C$10*S10)/1000),(($C$10*S10)/1000))</f>
        <v>-0.90393701550031003</v>
      </c>
      <c r="U10" s="89">
        <f ca="1">ABS(T10/Q10)</f>
        <v>9.9689011013013445E-3</v>
      </c>
      <c r="V10" s="90">
        <f ca="1">T14-T44</f>
        <v>1.5976226685945942</v>
      </c>
      <c r="W10" s="89">
        <f ca="1">V10+Q10</f>
        <v>-89.078070300443855</v>
      </c>
      <c r="X10" s="89">
        <f ca="1">ABS((4000*W10)/(PI()*($D$10^2)))</f>
        <v>1.2601969075024884</v>
      </c>
      <c r="Y10" s="67">
        <f ca="1">(10.641*((0.001*ABS(W10))^1.85))/((140^1.85)*((0.001*$D$10)^4.87))*1000</f>
        <v>4.5723666383917072</v>
      </c>
      <c r="Z10" s="89">
        <f ca="1">IF(W10&lt;0,((-$C$10*Y10)/1000),(($C$10*Y10)/1000))</f>
        <v>-0.87469373792433358</v>
      </c>
      <c r="AA10" s="89">
        <f ca="1">ABS(Z10/W10)</f>
        <v>9.8194059994132499E-3</v>
      </c>
      <c r="AB10" s="90">
        <f ca="1">Z14-Z44</f>
        <v>-0.96773484410627642</v>
      </c>
      <c r="AC10" s="89">
        <f ca="1">AB10+W10</f>
        <v>-90.04580514455013</v>
      </c>
      <c r="AD10" s="89">
        <f ca="1">ABS((4000*AC10)/(PI()*($D$10^2)))</f>
        <v>1.2738875549728685</v>
      </c>
      <c r="AE10" s="67">
        <f ca="1">(10.641*((0.001*ABS(AC10))^1.85))/((140^1.85)*((0.001*$D$10)^4.87))*1000</f>
        <v>4.6646870778743095</v>
      </c>
      <c r="AF10" s="89">
        <f ca="1">IF(AC10&lt;0,((-$C$10*AE10)/1000),(($C$10*AE10)/1000))</f>
        <v>-0.89235463799735548</v>
      </c>
      <c r="AG10" s="89">
        <f ca="1">ABS(AF10/AC10)</f>
        <v>9.9100078739355214E-3</v>
      </c>
      <c r="AH10" s="90">
        <f ca="1">AF14-AF44</f>
        <v>0.71508510459205188</v>
      </c>
      <c r="AI10" s="89">
        <f ca="1">AH10+AC10</f>
        <v>-89.330720039958081</v>
      </c>
      <c r="AJ10" s="89">
        <f ca="1">ABS((4000*AI10)/(PI()*($D$10^2)))</f>
        <v>1.263771170161561</v>
      </c>
      <c r="AK10" s="67">
        <f ca="1">(10.641*((0.001*ABS(AI10))^1.85))/((140^1.85)*((0.001*$D$10)^4.87))*1000</f>
        <v>4.5963872436542061</v>
      </c>
      <c r="AL10" s="89">
        <f ca="1">IF(AI10&lt;0,((-$C$10*AK10)/1000),(($C$10*AK10)/1000))</f>
        <v>-0.87928887971104974</v>
      </c>
      <c r="AM10" s="89">
        <f ca="1">ABS(AL10/AI10)</f>
        <v>9.8430739091517391E-3</v>
      </c>
      <c r="AN10" s="90">
        <f ca="1">AL14-AL44</f>
        <v>-0.29680083593840856</v>
      </c>
      <c r="AO10" s="89">
        <f ca="1">AN10+AI10</f>
        <v>-89.627520875896494</v>
      </c>
      <c r="AP10" s="89">
        <f ca="1">ABS((4000*AO10)/(PI()*($D$10^2)))</f>
        <v>1.2679700430640859</v>
      </c>
      <c r="AQ10" s="67">
        <f ca="1">(10.641*((0.001*ABS(AO10))^1.85))/((140^1.85)*((0.001*$D$10)^4.87))*1000</f>
        <v>4.6246793537909934</v>
      </c>
      <c r="AR10" s="89">
        <f ca="1">IF(AO10&lt;0,((-$C$10*AQ10)/1000),(($C$10*AQ10)/1000))</f>
        <v>-0.88470116038021707</v>
      </c>
      <c r="AS10" s="89">
        <f ca="1">ABS(AR10/AO10)</f>
        <v>9.8708650170657511E-3</v>
      </c>
      <c r="AT10" s="90">
        <f ca="1">AR14-AR44</f>
        <v>7.0932387854861501E-3</v>
      </c>
      <c r="AU10" s="89">
        <f ca="1">AT10+AO10</f>
        <v>-89.620427637111007</v>
      </c>
      <c r="AV10" s="89">
        <f ca="1">ABS((4000*AU10)/(PI()*($D$10^2)))</f>
        <v>1.2678696942627312</v>
      </c>
      <c r="AW10" s="67">
        <f ca="1">(10.641*((0.001*ABS(AU10))^1.85))/((140^1.85)*((0.001*$D$10)^4.87))*1000</f>
        <v>4.6240022707381643</v>
      </c>
      <c r="AX10" s="89">
        <f ca="1">IF(AU10&lt;0,((-$C$10*AW10)/1000),(($C$10*AW10)/1000))</f>
        <v>-0.88457163439221087</v>
      </c>
      <c r="AY10" s="89">
        <f ca="1">ABS(AX10/AU10)</f>
        <v>9.8702009989731151E-3</v>
      </c>
      <c r="AZ10" s="90">
        <f ca="1">AX14-AX44</f>
        <v>-2.6387132661375073E-2</v>
      </c>
      <c r="BA10" s="89">
        <f ca="1">AZ10+AU10</f>
        <v>-89.646814769772377</v>
      </c>
      <c r="BB10" s="89">
        <f ca="1">ABS((4000*BA10)/(PI()*($D$10^2)))</f>
        <v>1.2682429958269159</v>
      </c>
      <c r="BC10" s="67">
        <f ca="1">(10.641*((0.001*ABS(BA10))^1.85))/((140^1.85)*((0.001*$D$10)^4.87))*1000</f>
        <v>4.6265212772857502</v>
      </c>
      <c r="BD10" s="89">
        <f ca="1">IF(BA10&lt;0,((-$C$10*BC10)/1000),(($C$10*BC10)/1000))</f>
        <v>-0.88505352034476403</v>
      </c>
      <c r="BE10" s="89">
        <f ca="1">ABS(BD10/BA10)</f>
        <v>9.8726711330204605E-3</v>
      </c>
      <c r="BF10" s="90">
        <f ca="1">BD14-BD44</f>
        <v>8.5537322291331042E-2</v>
      </c>
    </row>
    <row r="11" spans="1:58" x14ac:dyDescent="0.2">
      <c r="A11" s="60" t="s">
        <v>81</v>
      </c>
      <c r="B11" s="82" t="s">
        <v>85</v>
      </c>
      <c r="C11" s="62">
        <v>115.84</v>
      </c>
      <c r="D11" s="66">
        <v>400</v>
      </c>
      <c r="E11" s="62">
        <f>-Vazões!B10</f>
        <v>-171.32799304762068</v>
      </c>
      <c r="F11" s="89">
        <f>ABS((4000*E11)/(PI()*($D$11^2)))</f>
        <v>1.3633848491771356</v>
      </c>
      <c r="G11" s="67">
        <f>(10.641*((0.001*ABS(E11))^1.85))/((140^1.85)*((0.001*$D$11)^4.87))*1000</f>
        <v>3.7774247835436969</v>
      </c>
      <c r="H11" s="89">
        <f>IF(E11&lt;0,((-$C$11*G11)/1000),(($C$11*G11)/1000))</f>
        <v>-0.43757688692570185</v>
      </c>
      <c r="I11" s="89">
        <f>ABS(H11/E11)</f>
        <v>2.5540303084276321E-3</v>
      </c>
      <c r="J11" s="89">
        <f ca="1">H14-H53</f>
        <v>-34.875572333225911</v>
      </c>
      <c r="K11" s="89">
        <f ca="1">J11+E11</f>
        <v>-206.20356538084658</v>
      </c>
      <c r="L11" s="89">
        <f ca="1">ABS((4000*K11)/(PI()*($D$11^2)))</f>
        <v>1.6409158356767279</v>
      </c>
      <c r="M11" s="67">
        <f ca="1">(10.641*((0.001*ABS(K11))^1.85))/((140^1.85)*((0.001*$D$11)^4.87))*1000</f>
        <v>5.321834128944591</v>
      </c>
      <c r="N11" s="89">
        <f ca="1">IF(K11&lt;0,((-$C$11*M11)/1000),(($C$11*M11)/1000))</f>
        <v>-0.61648126549694138</v>
      </c>
      <c r="O11" s="89">
        <f ca="1">ABS(N11/K11)</f>
        <v>2.989673162820122E-3</v>
      </c>
      <c r="P11" s="90">
        <f ca="1">N14-N53</f>
        <v>-0.422139544451265</v>
      </c>
      <c r="Q11" s="89">
        <f ca="1">P11+K11</f>
        <v>-206.62570492529784</v>
      </c>
      <c r="R11" s="89">
        <f ca="1">ABS((4000*Q11)/(PI()*($D$11^2)))</f>
        <v>1.6442751154354269</v>
      </c>
      <c r="S11" s="67">
        <f ca="1">(10.641*((0.001*ABS(Q11))^1.85))/((140^1.85)*((0.001*$D$11)^4.87))*1000</f>
        <v>5.3420071335952848</v>
      </c>
      <c r="T11" s="89">
        <f ca="1">IF(Q11&lt;0,((-$C$11*S11)/1000),(($C$11*S11)/1000))</f>
        <v>-0.61881810635567791</v>
      </c>
      <c r="U11" s="89">
        <f ca="1">ABS(T11/Q11)</f>
        <v>2.9948747498739401E-3</v>
      </c>
      <c r="V11" s="90">
        <f ca="1">T14-T53</f>
        <v>-3.4216585971971112</v>
      </c>
      <c r="W11" s="89">
        <f ca="1">V11+Q11</f>
        <v>-210.04736352249495</v>
      </c>
      <c r="X11" s="89">
        <f ca="1">ABS((4000*W11)/(PI()*($D$11^2)))</f>
        <v>1.6715038094012666</v>
      </c>
      <c r="Y11" s="67">
        <f ca="1">(10.641*((0.001*ABS(W11))^1.85))/((140^1.85)*((0.001*$D$11)^4.87))*1000</f>
        <v>5.5068126787505864</v>
      </c>
      <c r="Z11" s="89">
        <f ca="1">IF(W11&lt;0,((-$C$11*Y11)/1000),(($C$11*Y11)/1000))</f>
        <v>-0.63790918070646796</v>
      </c>
      <c r="AA11" s="89">
        <f ca="1">ABS(Z11/W11)</f>
        <v>3.0369778035235911E-3</v>
      </c>
      <c r="AB11" s="90">
        <f ca="1">Z14-Z53</f>
        <v>0.96545567128176946</v>
      </c>
      <c r="AC11" s="89">
        <f ca="1">AB11+W11</f>
        <v>-209.08190785121317</v>
      </c>
      <c r="AD11" s="89">
        <f ca="1">ABS((4000*AC11)/(PI()*($D$11^2)))</f>
        <v>1.6638209572802369</v>
      </c>
      <c r="AE11" s="67">
        <f ca="1">(10.641*((0.001*ABS(AC11))^1.85))/((140^1.85)*((0.001*$D$11)^4.87))*1000</f>
        <v>5.4600781643911995</v>
      </c>
      <c r="AF11" s="89">
        <f ca="1">IF(AC11&lt;0,((-$C$11*AE11)/1000),(($C$11*AE11)/1000))</f>
        <v>-0.63249545456307654</v>
      </c>
      <c r="AG11" s="89">
        <f ca="1">ABS(AF11/AC11)</f>
        <v>3.025108490081183E-3</v>
      </c>
      <c r="AH11" s="90">
        <f ca="1">AF14-AF53</f>
        <v>-0.2419024128071777</v>
      </c>
      <c r="AI11" s="89">
        <f ca="1">AH11+AC11</f>
        <v>-209.32381026402035</v>
      </c>
      <c r="AJ11" s="89">
        <f ca="1">ABS((4000*AI11)/(PI()*($D$11^2)))</f>
        <v>1.6657459555174428</v>
      </c>
      <c r="AK11" s="67">
        <f ca="1">(10.641*((0.001*ABS(AI11))^1.85))/((140^1.85)*((0.001*$D$11)^4.87))*1000</f>
        <v>5.4717706762236888</v>
      </c>
      <c r="AL11" s="89">
        <f ca="1">IF(AI11&lt;0,((-$C$11*AK11)/1000),(($C$11*AK11)/1000))</f>
        <v>-0.63384991513375211</v>
      </c>
      <c r="AM11" s="89">
        <f ca="1">ABS(AL11/AI11)</f>
        <v>3.0280832091403101E-3</v>
      </c>
      <c r="AN11" s="90">
        <f ca="1">AL14-AL53</f>
        <v>8.4597473177785015E-2</v>
      </c>
      <c r="AO11" s="89">
        <f ca="1">AN11+AI11</f>
        <v>-209.23921279084257</v>
      </c>
      <c r="AP11" s="89">
        <f ca="1">ABS((4000*AO11)/(PI()*($D$11^2)))</f>
        <v>1.6650727502159766</v>
      </c>
      <c r="AQ11" s="67">
        <f ca="1">(10.641*((0.001*ABS(AO11))^1.85))/((140^1.85)*((0.001*$D$11)^4.87))*1000</f>
        <v>5.467680295127038</v>
      </c>
      <c r="AR11" s="89">
        <f ca="1">IF(AO11&lt;0,((-$C$11*AQ11)/1000),(($C$11*AQ11)/1000))</f>
        <v>-0.63337608538751611</v>
      </c>
      <c r="AS11" s="89">
        <f ca="1">ABS(AR11/AO11)</f>
        <v>3.0270429569081042E-3</v>
      </c>
      <c r="AT11" s="90">
        <f ca="1">AR14-AR53</f>
        <v>-0.20847124311893295</v>
      </c>
      <c r="AU11" s="89">
        <f ca="1">AT11+AO11</f>
        <v>-209.44768403396151</v>
      </c>
      <c r="AV11" s="89">
        <f ca="1">ABS((4000*AU11)/(PI()*($D$11^2)))</f>
        <v>1.6667317116577209</v>
      </c>
      <c r="AW11" s="67">
        <f ca="1">(10.641*((0.001*ABS(AU11))^1.85))/((140^1.85)*((0.001*$D$11)^4.87))*1000</f>
        <v>5.4777626451240433</v>
      </c>
      <c r="AX11" s="89">
        <f ca="1">IF(AU11&lt;0,((-$C$11*AW11)/1000),(($C$11*AW11)/1000))</f>
        <v>-0.63454402481116912</v>
      </c>
      <c r="AY11" s="89">
        <f ca="1">ABS(AX11/AU11)</f>
        <v>3.029606308314582E-3</v>
      </c>
      <c r="AZ11" s="90">
        <f ca="1">AX14-AX53</f>
        <v>3.4013867344440216E-2</v>
      </c>
      <c r="BA11" s="89">
        <f ca="1">AZ11+AU11</f>
        <v>-209.41367016661707</v>
      </c>
      <c r="BB11" s="89">
        <f ca="1">ABS((4000*BA11)/(PI()*($D$11^2)))</f>
        <v>1.6664610379016438</v>
      </c>
      <c r="BC11" s="67">
        <f ca="1">(10.641*((0.001*ABS(BA11))^1.85))/((140^1.85)*((0.001*$D$11)^4.87))*1000</f>
        <v>5.4761170408234205</v>
      </c>
      <c r="BD11" s="89">
        <f ca="1">IF(BA11&lt;0,((-$C$11*BC11)/1000),(($C$11*BC11)/1000))</f>
        <v>-0.63435339800898505</v>
      </c>
      <c r="BE11" s="89">
        <f ca="1">ABS(BD11/BA11)</f>
        <v>3.0291881017331418E-3</v>
      </c>
      <c r="BF11" s="90">
        <f ca="1">BD14-BD53</f>
        <v>3.8881673899496219E-2</v>
      </c>
    </row>
    <row r="12" spans="1:58" x14ac:dyDescent="0.2">
      <c r="A12" s="68"/>
      <c r="C12" s="69"/>
      <c r="D12" s="69"/>
      <c r="E12" s="69"/>
      <c r="F12" s="69"/>
      <c r="G12" s="64"/>
      <c r="H12" s="69"/>
      <c r="I12" s="69"/>
      <c r="J12" s="69"/>
      <c r="K12" s="69"/>
      <c r="L12" s="69"/>
      <c r="M12" s="64"/>
      <c r="N12" s="69"/>
      <c r="O12" s="69"/>
      <c r="P12" s="69"/>
      <c r="Q12" s="69"/>
      <c r="R12" s="69"/>
      <c r="S12" s="64"/>
      <c r="T12" s="69"/>
      <c r="U12" s="69"/>
      <c r="V12" s="69"/>
      <c r="W12" s="69"/>
      <c r="X12" s="69"/>
      <c r="Y12" s="64"/>
      <c r="Z12" s="69"/>
      <c r="AA12" s="69"/>
      <c r="AB12" s="69"/>
      <c r="AC12" s="69"/>
      <c r="AD12" s="69"/>
      <c r="AE12" s="64"/>
      <c r="AF12" s="69"/>
      <c r="AG12" s="69"/>
      <c r="AH12" s="69"/>
      <c r="AI12" s="69"/>
      <c r="AJ12" s="69"/>
      <c r="AK12" s="64"/>
      <c r="AL12" s="69"/>
      <c r="AM12" s="69"/>
      <c r="AN12" s="69"/>
      <c r="AO12" s="69"/>
      <c r="AP12" s="69"/>
      <c r="AQ12" s="64"/>
      <c r="AR12" s="69"/>
      <c r="AS12" s="69"/>
      <c r="AT12" s="69"/>
      <c r="AU12" s="69"/>
      <c r="AV12" s="69"/>
      <c r="AW12" s="64"/>
      <c r="AX12" s="69"/>
      <c r="AY12" s="69"/>
      <c r="AZ12" s="69"/>
      <c r="BA12" s="69"/>
      <c r="BB12" s="69"/>
      <c r="BC12" s="64"/>
      <c r="BD12" s="69"/>
      <c r="BE12" s="69"/>
      <c r="BF12" s="69"/>
    </row>
    <row r="13" spans="1:58" x14ac:dyDescent="0.2">
      <c r="G13" s="65" t="s">
        <v>86</v>
      </c>
      <c r="H13" s="91">
        <f ca="1">SUM(H8:H11)</f>
        <v>0.53730792810799421</v>
      </c>
      <c r="I13" s="91">
        <f ca="1">SUM(I8:I11)</f>
        <v>3.4324853939093854E-2</v>
      </c>
      <c r="J13" s="63"/>
      <c r="K13" s="63"/>
      <c r="L13" s="63"/>
      <c r="M13" s="91" t="s">
        <v>87</v>
      </c>
      <c r="N13" s="91">
        <f ca="1">SUM(N8:N11)</f>
        <v>0.27620861658241358</v>
      </c>
      <c r="O13" s="91">
        <f ca="1">SUM(O8:O11)</f>
        <v>3.5077309335687402E-2</v>
      </c>
      <c r="Q13" s="63"/>
      <c r="R13" s="63"/>
      <c r="S13" s="91" t="s">
        <v>88</v>
      </c>
      <c r="T13" s="91">
        <f ca="1">SUM(T8:T11)</f>
        <v>7.5144552383661245E-2</v>
      </c>
      <c r="U13" s="91">
        <f ca="1">SUM(U8:U11)</f>
        <v>3.6408246274800986E-2</v>
      </c>
      <c r="W13" s="63"/>
      <c r="X13" s="63"/>
      <c r="Y13" s="91" t="s">
        <v>89</v>
      </c>
      <c r="Z13" s="91">
        <f ca="1">SUM(Z8:Z11)</f>
        <v>2.3932059513863124E-2</v>
      </c>
      <c r="AA13" s="91">
        <f ca="1">SUM(AA8:AA11)</f>
        <v>3.5289590566772333E-2</v>
      </c>
      <c r="AC13" s="63"/>
      <c r="AD13" s="63"/>
      <c r="AE13" s="91" t="s">
        <v>90</v>
      </c>
      <c r="AF13" s="91">
        <f ca="1">SUM(AF8:AF11)</f>
        <v>-7.4810239842104664E-4</v>
      </c>
      <c r="AG13" s="91">
        <f ca="1">SUM(AG8:AG11)</f>
        <v>3.5098703152956913E-2</v>
      </c>
      <c r="AI13" s="63"/>
      <c r="AJ13" s="63"/>
      <c r="AK13" s="91" t="s">
        <v>91</v>
      </c>
      <c r="AL13" s="91">
        <f ca="1">SUM(AL8:AL11)</f>
        <v>1.5623508412859755E-2</v>
      </c>
      <c r="AM13" s="91">
        <f ca="1">SUM(AM8:AM11)</f>
        <v>3.5092212787958307E-2</v>
      </c>
      <c r="AO13" s="63"/>
      <c r="AP13" s="63"/>
      <c r="AQ13" s="91" t="s">
        <v>92</v>
      </c>
      <c r="AR13" s="91">
        <f ca="1">SUM(AR8:AR11)</f>
        <v>1.2919828174225767E-2</v>
      </c>
      <c r="AS13" s="91">
        <f ca="1">SUM(AS8:AS11)</f>
        <v>3.5246883334459404E-2</v>
      </c>
      <c r="AU13" s="63"/>
      <c r="AV13" s="63"/>
      <c r="AW13" s="91" t="s">
        <v>93</v>
      </c>
      <c r="AX13" s="91">
        <f ca="1">SUM(AX8:AX11)</f>
        <v>4.8136397961174859E-3</v>
      </c>
      <c r="AY13" s="91">
        <f ca="1">SUM(AY8:AY11)</f>
        <v>3.517658855022926E-2</v>
      </c>
      <c r="BA13" s="123" t="s">
        <v>94</v>
      </c>
      <c r="BB13" s="124"/>
      <c r="BC13" s="91" t="s">
        <v>95</v>
      </c>
      <c r="BD13" s="91">
        <f ca="1">SUM(BD8:BD11)</f>
        <v>-7.7988126949968262E-4</v>
      </c>
      <c r="BE13" s="91">
        <f ca="1">SUM(BE8:BE11)</f>
        <v>3.507995833597851E-2</v>
      </c>
    </row>
    <row r="14" spans="1:58" x14ac:dyDescent="0.2">
      <c r="G14" s="65" t="s">
        <v>96</v>
      </c>
      <c r="H14" s="91">
        <f ca="1">-(H13/(1.85*I13))</f>
        <v>-8.4614116177031669</v>
      </c>
      <c r="I14" s="63"/>
      <c r="J14" s="63"/>
      <c r="K14" s="63"/>
      <c r="L14" s="63"/>
      <c r="M14" s="91" t="s">
        <v>97</v>
      </c>
      <c r="N14" s="91">
        <f ca="1">-(N13/(1.85*O13))</f>
        <v>-4.2563685110680369</v>
      </c>
      <c r="O14" s="63"/>
      <c r="Q14" s="63"/>
      <c r="R14" s="63"/>
      <c r="S14" s="91" t="s">
        <v>98</v>
      </c>
      <c r="T14" s="91">
        <f ca="1">-(T13/(1.85*U13))</f>
        <v>-1.1156449738765462</v>
      </c>
      <c r="U14" s="63"/>
      <c r="W14" s="63"/>
      <c r="X14" s="63"/>
      <c r="Y14" s="91" t="s">
        <v>99</v>
      </c>
      <c r="Z14" s="91">
        <f ca="1">-(Z13/(1.85*AA13))</f>
        <v>-0.36657405705501045</v>
      </c>
      <c r="AA14" s="63"/>
      <c r="AC14" s="63"/>
      <c r="AD14" s="63"/>
      <c r="AE14" s="91" t="s">
        <v>100</v>
      </c>
      <c r="AF14" s="91">
        <f ca="1">-(AF13/(1.85*AG13))</f>
        <v>1.1521214133181445E-2</v>
      </c>
      <c r="AG14" s="63"/>
      <c r="AI14" s="63"/>
      <c r="AJ14" s="63"/>
      <c r="AK14" s="91" t="s">
        <v>101</v>
      </c>
      <c r="AL14" s="91">
        <f ca="1">-(AL13/(1.85*AM13))</f>
        <v>-0.24065566151829546</v>
      </c>
      <c r="AM14" s="63"/>
      <c r="AO14" s="63"/>
      <c r="AP14" s="63"/>
      <c r="AQ14" s="91" t="s">
        <v>96</v>
      </c>
      <c r="AR14" s="91">
        <f ca="1">-(AR13/(1.85*AS13))</f>
        <v>-0.19813640935904361</v>
      </c>
      <c r="AS14" s="63"/>
      <c r="AU14" s="63"/>
      <c r="AV14" s="63"/>
      <c r="AW14" s="91" t="s">
        <v>102</v>
      </c>
      <c r="AX14" s="91">
        <f ca="1">-(AX13/(1.85*AY13))</f>
        <v>-7.3968726491069725E-2</v>
      </c>
      <c r="AY14" s="63"/>
      <c r="BA14" s="123" t="s">
        <v>103</v>
      </c>
      <c r="BB14" s="124"/>
      <c r="BC14" s="91" t="s">
        <v>104</v>
      </c>
      <c r="BD14" s="91">
        <f ca="1">-(BD13/(1.85*BE13))</f>
        <v>1.2017045143991692E-2</v>
      </c>
      <c r="BE14" s="63"/>
    </row>
    <row r="16" spans="1:58" x14ac:dyDescent="0.2">
      <c r="A16" s="70" t="s">
        <v>23</v>
      </c>
      <c r="B16" s="70" t="s">
        <v>24</v>
      </c>
      <c r="C16" s="70" t="s">
        <v>25</v>
      </c>
      <c r="D16" s="70" t="s">
        <v>26</v>
      </c>
      <c r="E16" s="70" t="s">
        <v>27</v>
      </c>
      <c r="F16" s="70" t="s">
        <v>28</v>
      </c>
      <c r="G16" s="70" t="s">
        <v>29</v>
      </c>
      <c r="H16" s="70" t="s">
        <v>30</v>
      </c>
      <c r="I16" s="70" t="s">
        <v>31</v>
      </c>
      <c r="J16" s="70" t="s">
        <v>32</v>
      </c>
      <c r="K16" s="93" t="s">
        <v>33</v>
      </c>
      <c r="L16" s="93" t="s">
        <v>34</v>
      </c>
      <c r="M16" s="93" t="s">
        <v>35</v>
      </c>
      <c r="N16" s="93" t="s">
        <v>36</v>
      </c>
      <c r="O16" s="93" t="s">
        <v>37</v>
      </c>
      <c r="P16" s="93" t="s">
        <v>38</v>
      </c>
      <c r="Q16" s="94" t="s">
        <v>39</v>
      </c>
      <c r="R16" s="94" t="s">
        <v>40</v>
      </c>
      <c r="S16" s="94" t="s">
        <v>41</v>
      </c>
      <c r="T16" s="94" t="s">
        <v>42</v>
      </c>
      <c r="U16" s="94" t="s">
        <v>43</v>
      </c>
      <c r="V16" s="94" t="s">
        <v>44</v>
      </c>
      <c r="W16" s="95" t="s">
        <v>45</v>
      </c>
      <c r="X16" s="95" t="s">
        <v>46</v>
      </c>
      <c r="Y16" s="95" t="s">
        <v>47</v>
      </c>
      <c r="Z16" s="95" t="s">
        <v>48</v>
      </c>
      <c r="AA16" s="95" t="s">
        <v>49</v>
      </c>
      <c r="AB16" s="95" t="s">
        <v>50</v>
      </c>
      <c r="AC16" s="96" t="s">
        <v>51</v>
      </c>
      <c r="AD16" s="96" t="s">
        <v>52</v>
      </c>
      <c r="AE16" s="96" t="s">
        <v>53</v>
      </c>
      <c r="AF16" s="96" t="s">
        <v>54</v>
      </c>
      <c r="AG16" s="96" t="s">
        <v>55</v>
      </c>
      <c r="AH16" s="96" t="s">
        <v>56</v>
      </c>
      <c r="AI16" s="97" t="s">
        <v>57</v>
      </c>
      <c r="AJ16" s="97" t="s">
        <v>58</v>
      </c>
      <c r="AK16" s="97" t="s">
        <v>59</v>
      </c>
      <c r="AL16" s="97" t="s">
        <v>60</v>
      </c>
      <c r="AM16" s="97" t="s">
        <v>61</v>
      </c>
      <c r="AN16" s="97" t="s">
        <v>62</v>
      </c>
      <c r="AO16" s="98" t="s">
        <v>63</v>
      </c>
      <c r="AP16" s="98" t="s">
        <v>64</v>
      </c>
      <c r="AQ16" s="98" t="s">
        <v>65</v>
      </c>
      <c r="AR16" s="98" t="s">
        <v>66</v>
      </c>
      <c r="AS16" s="98" t="s">
        <v>67</v>
      </c>
      <c r="AT16" s="98" t="s">
        <v>68</v>
      </c>
      <c r="AU16" s="99" t="s">
        <v>69</v>
      </c>
      <c r="AV16" s="99" t="s">
        <v>70</v>
      </c>
      <c r="AW16" s="99" t="s">
        <v>71</v>
      </c>
      <c r="AX16" s="99" t="s">
        <v>72</v>
      </c>
      <c r="AY16" s="99" t="s">
        <v>73</v>
      </c>
      <c r="AZ16" s="99" t="s">
        <v>74</v>
      </c>
      <c r="BA16" s="100" t="s">
        <v>75</v>
      </c>
      <c r="BB16" s="100" t="s">
        <v>76</v>
      </c>
      <c r="BC16" s="100" t="s">
        <v>77</v>
      </c>
      <c r="BD16" s="100" t="s">
        <v>78</v>
      </c>
      <c r="BE16" s="100" t="s">
        <v>79</v>
      </c>
      <c r="BF16" s="100" t="s">
        <v>80</v>
      </c>
    </row>
    <row r="17" spans="1:58" x14ac:dyDescent="0.2">
      <c r="A17" s="60" t="s">
        <v>105</v>
      </c>
      <c r="B17" s="61" t="s">
        <v>106</v>
      </c>
      <c r="C17" s="61">
        <v>96.09</v>
      </c>
      <c r="D17" s="66">
        <f ca="1">IFERROR(IF(OFFSET(Auxiliar!$A$1,MATCH(ABS(E17),IF($H$2="PVC",Auxiliar!$B$1:$B$12,Auxiliar!$C$1:$C$12),1),0)&gt;$J$3,OFFSET(Auxiliar!$A$1,MATCH(ABS(E17),IF($H$2="PVC",Auxiliar!$B$1:$B$12,Auxiliar!$C$1:$C$12),1),0),$J$3),$J$3)</f>
        <v>325</v>
      </c>
      <c r="E17" s="61">
        <f>Vazões!E10</f>
        <v>148.47931616365912</v>
      </c>
      <c r="F17" s="92">
        <f ca="1">ABS((4000*E17)/(PI()*($D$17^2)))</f>
        <v>1.7898199944596982</v>
      </c>
      <c r="G17" s="67">
        <f ca="1">(10.641*((0.001*ABS(E17))^1.85))/((140^1.85)*((0.001*$D$17)^4.87))*1000</f>
        <v>7.9681157224321257</v>
      </c>
      <c r="H17" s="89">
        <f ca="1">IF(E17&lt;0,((-$C$17*G17)/1000),(($C$17*G17)/1000))</f>
        <v>0.76565623976850306</v>
      </c>
      <c r="I17" s="92">
        <f ca="1">ABS(H17/E17)</f>
        <v>5.1566525193621569E-3</v>
      </c>
      <c r="J17" s="92">
        <f ca="1">H$25</f>
        <v>-8.2141550404159087</v>
      </c>
      <c r="K17" s="92">
        <f ca="1">J17+E17</f>
        <v>140.26516112324322</v>
      </c>
      <c r="L17" s="92">
        <f ca="1">ABS((4000*K17)/(PI()*($D$17^2)))</f>
        <v>1.6908037859480467</v>
      </c>
      <c r="M17" s="67">
        <f ca="1">(10.641*((0.001*ABS(K17))^1.85))/((140^1.85)*((0.001*$D$17)^4.87))*1000</f>
        <v>7.1718428853223077</v>
      </c>
      <c r="N17" s="89">
        <f ca="1">IF(K17&lt;0,((-$C$17*M17)/1000),(($C$17*M17)/1000))</f>
        <v>0.68914238285062057</v>
      </c>
      <c r="O17" s="92">
        <f t="shared" ref="O17:O22" ca="1" si="0">ABS(N17/K17)</f>
        <v>4.9131400650879332E-3</v>
      </c>
      <c r="P17" s="92">
        <f ca="1">N25</f>
        <v>-2.7507638658447218</v>
      </c>
      <c r="Q17" s="92">
        <f ca="1">P17+K17</f>
        <v>137.51439725739849</v>
      </c>
      <c r="R17" s="92">
        <f ca="1">ABS((4000*Q17)/(PI()*($D$17^2)))</f>
        <v>1.6576451461163584</v>
      </c>
      <c r="S17" s="67">
        <f ca="1">(10.641*((0.001*ABS(Q17))^1.85))/((140^1.85)*((0.001*$D$17)^4.87))*1000</f>
        <v>6.913814498181674</v>
      </c>
      <c r="T17" s="89">
        <f ca="1">IF(Q17&lt;0,((-$C$17*S17)/1000),(($C$17*S17)/1000))</f>
        <v>0.66434843513027708</v>
      </c>
      <c r="U17" s="92">
        <f t="shared" ref="U17:U22" ca="1" si="1">ABS(T17/Q17)</f>
        <v>4.8311191291974635E-3</v>
      </c>
      <c r="V17" s="92">
        <f ca="1">T25</f>
        <v>-0.82048512515537897</v>
      </c>
      <c r="W17" s="92">
        <f ca="1">V17+Q17</f>
        <v>136.6939121322431</v>
      </c>
      <c r="X17" s="92">
        <f ca="1">ABS((4000*W17)/(PI()*($D$17^2)))</f>
        <v>1.647754740367579</v>
      </c>
      <c r="Y17" s="67">
        <f ca="1">(10.641*((0.001*ABS(W17))^1.85))/((140^1.85)*((0.001*$D$17)^4.87))*1000</f>
        <v>6.8376927085291408</v>
      </c>
      <c r="Z17" s="89">
        <f ca="1">IF(W17&lt;0,((-$C$17*Y17)/1000),(($C$17*Y17)/1000))</f>
        <v>0.65703389236256526</v>
      </c>
      <c r="AA17" s="92">
        <f t="shared" ref="AA17:AA22" ca="1" si="2">ABS(Z17/W17)</f>
        <v>4.8066068350353791E-3</v>
      </c>
      <c r="AB17" s="92">
        <f ca="1">Z25</f>
        <v>-0.49041531338121186</v>
      </c>
      <c r="AC17" s="92">
        <f ca="1">AB17+W17</f>
        <v>136.20349681886188</v>
      </c>
      <c r="AD17" s="92">
        <f ca="1">ABS((4000*AC17)/(PI()*($D$17^2)))</f>
        <v>1.6418431079856555</v>
      </c>
      <c r="AE17" s="67">
        <f ca="1">(10.641*((0.001*ABS(AC17))^1.85))/((140^1.85)*((0.001*$D$17)^4.87))*1000</f>
        <v>6.7923786110448363</v>
      </c>
      <c r="AF17" s="89">
        <f ca="1">IF(AC17&lt;0,((-$C$17*AE17)/1000),(($C$17*AE17)/1000))</f>
        <v>0.65267966073529837</v>
      </c>
      <c r="AG17" s="92">
        <f t="shared" ref="AG17:AG22" ca="1" si="3">ABS(AF17/AC17)</f>
        <v>4.7919449645503764E-3</v>
      </c>
      <c r="AH17" s="92">
        <f ca="1">AF25</f>
        <v>-7.3202430112508543E-2</v>
      </c>
      <c r="AI17" s="92">
        <f ca="1">AH17+AC17</f>
        <v>136.13029438874938</v>
      </c>
      <c r="AJ17" s="92">
        <f ca="1">ABS((4000*AI17)/(PI()*($D$17^2)))</f>
        <v>1.6409607010858691</v>
      </c>
      <c r="AK17" s="67">
        <f ca="1">(10.641*((0.001*ABS(AI17))^1.85))/((140^1.85)*((0.001*$D$17)^4.87))*1000</f>
        <v>6.7856266233603248</v>
      </c>
      <c r="AL17" s="89">
        <f ca="1">IF(AI17&lt;0,((-$C$17*AK17)/1000),(($C$17*AK17)/1000))</f>
        <v>0.65203086223869366</v>
      </c>
      <c r="AM17" s="92">
        <f t="shared" ref="AM17:AM22" ca="1" si="4">ABS(AL17/AI17)</f>
        <v>4.7897557642583152E-3</v>
      </c>
      <c r="AN17" s="92">
        <f ca="1">AL25</f>
        <v>-7.1702394232225741E-2</v>
      </c>
      <c r="AO17" s="92">
        <f ca="1">AN17+AI17</f>
        <v>136.05859199451714</v>
      </c>
      <c r="AP17" s="92">
        <f ca="1">ABS((4000*AO17)/(PI()*($D$17^2)))</f>
        <v>1.6400963761269229</v>
      </c>
      <c r="AQ17" s="67">
        <f ca="1">(10.641*((0.001*ABS(AO17))^1.85))/((140^1.85)*((0.001*$D$17)^4.87))*1000</f>
        <v>6.779015986077213</v>
      </c>
      <c r="AR17" s="89">
        <f ca="1">IF(AO17&lt;0,((-$C$17*AQ17)/1000),(($C$17*AQ17)/1000))</f>
        <v>0.65139564610215939</v>
      </c>
      <c r="AS17" s="92">
        <f t="shared" ref="AS17:AS22" ca="1" si="5">ABS(AR17/AO17)</f>
        <v>4.7876112530137694E-3</v>
      </c>
      <c r="AT17" s="92">
        <f ca="1">AR25</f>
        <v>-6.3323739529011519E-2</v>
      </c>
      <c r="AU17" s="92">
        <f ca="1">AT17+AO17</f>
        <v>135.99526825498813</v>
      </c>
      <c r="AV17" s="92">
        <f ca="1">ABS((4000*AU17)/(PI()*($D$17^2)))</f>
        <v>1.6393330503111707</v>
      </c>
      <c r="AW17" s="67">
        <f ca="1">(10.641*((0.001*ABS(AU17))^1.85))/((140^1.85)*((0.001*$D$17)^4.87))*1000</f>
        <v>6.7731802847918656</v>
      </c>
      <c r="AX17" s="89">
        <f ca="1">IF(AU17&lt;0,((-$C$17*AW17)/1000),(($C$17*AW17)/1000))</f>
        <v>0.65083489356565039</v>
      </c>
      <c r="AY17" s="92">
        <f t="shared" ref="AY17:AY22" ca="1" si="6">ABS(AX17/AU17)</f>
        <v>4.7857171938169886E-3</v>
      </c>
      <c r="AZ17" s="92">
        <f ca="1">AX25</f>
        <v>-7.0885166056609966E-2</v>
      </c>
      <c r="BA17" s="92">
        <f ca="1">AZ17+AU17</f>
        <v>135.92438308893153</v>
      </c>
      <c r="BB17" s="92">
        <f ca="1">ABS((4000*BA17)/(PI()*($D$17^2)))</f>
        <v>1.6384785764976002</v>
      </c>
      <c r="BC17" s="67">
        <f ca="1">(10.641*((0.001*ABS(BA17))^1.85))/((140^1.85)*((0.001*$D$17)^4.87))*1000</f>
        <v>6.7666504873821571</v>
      </c>
      <c r="BD17" s="89">
        <f ca="1">IF(BA17&lt;0,((-$C$17*BC17)/1000),(($C$17*BC17)/1000))</f>
        <v>0.65020744533255148</v>
      </c>
      <c r="BE17" s="92">
        <f t="shared" ref="BE17:BE22" ca="1" si="7">ABS(BD17/BA17)</f>
        <v>4.7835968099052464E-3</v>
      </c>
      <c r="BF17" s="92">
        <f ca="1">BD25</f>
        <v>-2.6107706497452757E-2</v>
      </c>
    </row>
    <row r="18" spans="1:58" x14ac:dyDescent="0.2">
      <c r="A18" s="60" t="s">
        <v>105</v>
      </c>
      <c r="B18" s="61" t="s">
        <v>107</v>
      </c>
      <c r="C18" s="61">
        <v>296.64</v>
      </c>
      <c r="D18" s="66">
        <f ca="1">IFERROR(IF(OFFSET(Auxiliar!$A$1,MATCH(ABS(E18),IF($H$2="PVC",Auxiliar!$B$1:$B$12,Auxiliar!$C$1:$C$12),1),0)&gt;$J$3,OFFSET(Auxiliar!$A$1,MATCH(ABS(E18),IF($H$2="PVC",Auxiliar!$B$1:$B$12,Auxiliar!$C$1:$C$12),1),0),$J$3),$J$3)</f>
        <v>300</v>
      </c>
      <c r="E18" s="61">
        <f>Vazões!B17</f>
        <v>92.887508524770226</v>
      </c>
      <c r="F18" s="92">
        <f ca="1">ABS((4000*E18)/(PI()*($D$18^2)))</f>
        <v>1.3140894340629108</v>
      </c>
      <c r="G18" s="67">
        <f ca="1">(10.641*((0.001*ABS(E18))^1.85))/((140^1.85)*((0.001*$D$18)^4.87))*1000</f>
        <v>4.9406728520521677</v>
      </c>
      <c r="H18" s="89">
        <f ca="1">IF(E18&lt;0,((-$C$18*G18)/1000),(($C$18*G18)/1000))</f>
        <v>1.465601194832755</v>
      </c>
      <c r="I18" s="92">
        <f t="shared" ref="I18:I22" ca="1" si="8">ABS(H18/E18)</f>
        <v>1.5778237764251416E-2</v>
      </c>
      <c r="J18" s="92">
        <f ca="1">H$25</f>
        <v>-8.2141550404159087</v>
      </c>
      <c r="K18" s="92">
        <f t="shared" ref="K18:K22" ca="1" si="9">J18+E18</f>
        <v>84.673353484354323</v>
      </c>
      <c r="L18" s="92">
        <f ca="1">ABS((4000*K18)/(PI()*($D$18^2)))</f>
        <v>1.1978829115735421</v>
      </c>
      <c r="M18" s="67">
        <f ca="1">(10.641*((0.001*ABS(K18))^1.85))/((140^1.85)*((0.001*$D$18)^4.87))*1000</f>
        <v>4.1629057013331172</v>
      </c>
      <c r="N18" s="89">
        <f ca="1">IF(K18&lt;0,((-$C$18*M18)/1000),(($C$18*M18)/1000))</f>
        <v>1.2348843472434559</v>
      </c>
      <c r="O18" s="92">
        <f t="shared" ca="1" si="0"/>
        <v>1.4584096370667946E-2</v>
      </c>
      <c r="P18" s="92">
        <f ca="1">N25</f>
        <v>-2.7507638658447218</v>
      </c>
      <c r="Q18" s="92">
        <f t="shared" ref="Q18:Q22" ca="1" si="10">P18+K18</f>
        <v>81.922589618509605</v>
      </c>
      <c r="R18" s="92">
        <f ca="1">ABS((4000*Q18)/(PI()*($D$18^2)))</f>
        <v>1.1589675634377414</v>
      </c>
      <c r="S18" s="67">
        <f ca="1">(10.641*((0.001*ABS(Q18))^1.85))/((140^1.85)*((0.001*$D$18)^4.87))*1000</f>
        <v>3.9161729215961163</v>
      </c>
      <c r="T18" s="89">
        <f ca="1">IF(Q18&lt;0,((-$C$18*S18)/1000),(($C$18*S18)/1000))</f>
        <v>1.1616935354622719</v>
      </c>
      <c r="U18" s="92">
        <f t="shared" ca="1" si="1"/>
        <v>1.4180381026429354E-2</v>
      </c>
      <c r="V18" s="92">
        <f ca="1">T25</f>
        <v>-0.82048512515537897</v>
      </c>
      <c r="W18" s="92">
        <f t="shared" ref="W18:W22" ca="1" si="11">V18+Q18</f>
        <v>81.102104493354233</v>
      </c>
      <c r="X18" s="92">
        <f ca="1">ABS((4000*W18)/(PI()*($D$18^2)))</f>
        <v>1.1473600733575771</v>
      </c>
      <c r="Y18" s="67">
        <f ca="1">(10.641*((0.001*ABS(W18))^1.85))/((140^1.85)*((0.001*$D$18)^4.87))*1000</f>
        <v>3.8439213726697807</v>
      </c>
      <c r="Z18" s="89">
        <f ca="1">IF(W18&lt;0,((-$C$18*Y18)/1000),(($C$18*Y18)/1000))</f>
        <v>1.1402608359887638</v>
      </c>
      <c r="AA18" s="92">
        <f t="shared" ca="1" si="2"/>
        <v>1.405957148845873E-2</v>
      </c>
      <c r="AB18" s="92">
        <f ca="1">Z25</f>
        <v>-0.49041531338121186</v>
      </c>
      <c r="AC18" s="92">
        <f t="shared" ref="AC18:AC22" ca="1" si="12">AB18+W18</f>
        <v>80.611689179973027</v>
      </c>
      <c r="AD18" s="92">
        <f ca="1">ABS((4000*AC18)/(PI()*($D$18^2)))</f>
        <v>1.1404221159093477</v>
      </c>
      <c r="AE18" s="67">
        <f ca="1">(10.641*((0.001*ABS(AC18))^1.85))/((140^1.85)*((0.001*$D$18)^4.87))*1000</f>
        <v>3.8010309582795485</v>
      </c>
      <c r="AF18" s="89">
        <f ca="1">IF(AC18&lt;0,((-$C$18*AE18)/1000),(($C$18*AE18)/1000))</f>
        <v>1.1275378234640452</v>
      </c>
      <c r="AG18" s="92">
        <f t="shared" ca="1" si="3"/>
        <v>1.3987274487533849E-2</v>
      </c>
      <c r="AH18" s="92">
        <f ca="1">AF25</f>
        <v>-7.3202430112508543E-2</v>
      </c>
      <c r="AI18" s="92">
        <f t="shared" ref="AI18:AI22" ca="1" si="13">AH18+AC18</f>
        <v>80.538486749860525</v>
      </c>
      <c r="AJ18" s="92">
        <f ca="1">ABS((4000*AI18)/(PI()*($D$18^2)))</f>
        <v>1.1393865133672372</v>
      </c>
      <c r="AK18" s="67">
        <f ca="1">(10.641*((0.001*ABS(AI18))^1.85))/((140^1.85)*((0.001*$D$18)^4.87))*1000</f>
        <v>3.7946478389726721</v>
      </c>
      <c r="AL18" s="89">
        <f ca="1">IF(AI18&lt;0,((-$C$18*AK18)/1000),(($C$18*AK18)/1000))</f>
        <v>1.1256443349528533</v>
      </c>
      <c r="AM18" s="92">
        <f t="shared" ca="1" si="4"/>
        <v>1.3976477338702949E-2</v>
      </c>
      <c r="AN18" s="92">
        <f ca="1">AL25</f>
        <v>-7.1702394232225741E-2</v>
      </c>
      <c r="AO18" s="92">
        <f t="shared" ref="AO18:AO22" ca="1" si="14">AN18+AI18</f>
        <v>80.466784355628292</v>
      </c>
      <c r="AP18" s="92">
        <f ca="1">ABS((4000*AO18)/(PI()*($D$18^2)))</f>
        <v>1.1383721319918074</v>
      </c>
      <c r="AQ18" s="67">
        <f ca="1">(10.641*((0.001*ABS(AO18))^1.85))/((140^1.85)*((0.001*$D$18)^4.87))*1000</f>
        <v>3.7884002991244601</v>
      </c>
      <c r="AR18" s="89">
        <f ca="1">IF(AO18&lt;0,((-$C$18*AQ18)/1000),(($C$18*AQ18)/1000))</f>
        <v>1.12379106473228</v>
      </c>
      <c r="AS18" s="92">
        <f t="shared" ca="1" si="5"/>
        <v>1.3965900013670372E-2</v>
      </c>
      <c r="AT18" s="92">
        <f ca="1">AR25</f>
        <v>-6.3323739529011519E-2</v>
      </c>
      <c r="AU18" s="92">
        <f t="shared" ref="AU18:AU22" ca="1" si="15">AT18+AO18</f>
        <v>80.403460616099281</v>
      </c>
      <c r="AV18" s="92">
        <f ca="1">ABS((4000*AU18)/(PI()*($D$18^2)))</f>
        <v>1.1374762843330426</v>
      </c>
      <c r="AW18" s="67">
        <f ca="1">(10.641*((0.001*ABS(AU18))^1.85))/((140^1.85)*((0.001*$D$18)^4.87))*1000</f>
        <v>3.7828867377173339</v>
      </c>
      <c r="AX18" s="89">
        <f ca="1">IF(AU18&lt;0,((-$C$18*AW18)/1000),(($C$18*AW18)/1000))</f>
        <v>1.1221555218764701</v>
      </c>
      <c r="AY18" s="92">
        <f t="shared" ca="1" si="6"/>
        <v>1.395655750732425E-2</v>
      </c>
      <c r="AZ18" s="92">
        <f ca="1">AX25</f>
        <v>-7.0885166056609966E-2</v>
      </c>
      <c r="BA18" s="92">
        <f t="shared" ref="BA18:BA22" ca="1" si="16">AZ18+AU18</f>
        <v>80.332575450042668</v>
      </c>
      <c r="BB18" s="92">
        <f ca="1">ABS((4000*BA18)/(PI()*($D$18^2)))</f>
        <v>1.1364734643712826</v>
      </c>
      <c r="BC18" s="67">
        <f ca="1">(10.641*((0.001*ABS(BA18))^1.85))/((140^1.85)*((0.001*$D$18)^4.87))*1000</f>
        <v>3.7767191842389072</v>
      </c>
      <c r="BD18" s="89">
        <f ca="1">IF(BA18&lt;0,((-$C$18*BC18)/1000),(($C$18*BC18)/1000))</f>
        <v>1.1203259788126292</v>
      </c>
      <c r="BE18" s="92">
        <f t="shared" ca="1" si="7"/>
        <v>1.3946098111958816E-2</v>
      </c>
      <c r="BF18" s="92">
        <f ca="1">BD25</f>
        <v>-2.6107706497452757E-2</v>
      </c>
    </row>
    <row r="19" spans="1:58" x14ac:dyDescent="0.2">
      <c r="A19" s="60" t="s">
        <v>105</v>
      </c>
      <c r="B19" s="61" t="s">
        <v>108</v>
      </c>
      <c r="C19" s="61">
        <v>236.53</v>
      </c>
      <c r="D19" s="66">
        <f ca="1">IFERROR(IF(OFFSET(Auxiliar!$A$1,MATCH(ABS(E19),IF($H$2="PVC",Auxiliar!$B$1:$B$12,Auxiliar!$C$1:$C$12),1),0)&gt;$J$3,OFFSET(Auxiliar!$A$1,MATCH(ABS(E19),IF($H$2="PVC",Auxiliar!$B$1:$B$12,Auxiliar!$C$1:$C$12),1),0),$J$3),$J$3)</f>
        <v>200</v>
      </c>
      <c r="E19" s="61">
        <f>Vazões!K8</f>
        <v>37.295700885881317</v>
      </c>
      <c r="F19" s="92">
        <f ca="1">ABS((4000*E19)/(PI()*($D$19^2)))</f>
        <v>1.1871590304129582</v>
      </c>
      <c r="G19" s="67">
        <f ca="1">(10.641*((0.001*ABS(E19))^1.85))/((140^1.85)*((0.001*$D$19)^4.87))*1000</f>
        <v>6.579580860032026</v>
      </c>
      <c r="H19" s="89">
        <f ca="1">IF(E19&lt;0,((-$C$19*G19)/1000),(($C$19*G19)/1000))</f>
        <v>1.5562682608233751</v>
      </c>
      <c r="I19" s="92">
        <f t="shared" ca="1" si="8"/>
        <v>4.1727819128142919E-2</v>
      </c>
      <c r="J19" s="92">
        <f ca="1">H$25</f>
        <v>-8.2141550404159087</v>
      </c>
      <c r="K19" s="92">
        <f t="shared" ca="1" si="9"/>
        <v>29.081545845465406</v>
      </c>
      <c r="L19" s="92">
        <f ca="1">ABS((4000*K19)/(PI()*($D$19^2)))</f>
        <v>0.92569435481187845</v>
      </c>
      <c r="M19" s="67">
        <f ca="1">(10.641*((0.001*ABS(K19))^1.85))/((140^1.85)*((0.001*$D$19)^4.87))*1000</f>
        <v>4.1526167464880634</v>
      </c>
      <c r="N19" s="89">
        <f ca="1">IF(K19&lt;0,((-$C$19*M19)/1000),(($C$19*M19)/1000))</f>
        <v>0.98221843904682171</v>
      </c>
      <c r="O19" s="92">
        <f t="shared" ca="1" si="0"/>
        <v>3.3774629597276923E-2</v>
      </c>
      <c r="P19" s="92">
        <f ca="1">N25</f>
        <v>-2.7507638658447218</v>
      </c>
      <c r="Q19" s="92">
        <f t="shared" ca="1" si="10"/>
        <v>26.330781979620685</v>
      </c>
      <c r="R19" s="92">
        <f ca="1">ABS((4000*Q19)/(PI()*($D$19^2)))</f>
        <v>0.83813482150632668</v>
      </c>
      <c r="S19" s="67">
        <f ca="1">(10.641*((0.001*ABS(Q19))^1.85))/((140^1.85)*((0.001*$D$19)^4.87))*1000</f>
        <v>3.4553134362834843</v>
      </c>
      <c r="T19" s="89">
        <f ca="1">IF(Q19&lt;0,((-$C$19*S19)/1000),(($C$19*S19)/1000))</f>
        <v>0.81728528708413251</v>
      </c>
      <c r="U19" s="92">
        <f t="shared" ca="1" si="1"/>
        <v>3.1039157428620588E-2</v>
      </c>
      <c r="V19" s="92">
        <f ca="1">T25</f>
        <v>-0.82048512515537897</v>
      </c>
      <c r="W19" s="92">
        <f t="shared" ca="1" si="11"/>
        <v>25.510296854465306</v>
      </c>
      <c r="X19" s="92">
        <f ca="1">ABS((4000*W19)/(PI()*($D$19^2)))</f>
        <v>0.81201796882595645</v>
      </c>
      <c r="Y19" s="67">
        <f ca="1">(10.641*((0.001*ABS(W19))^1.85))/((140^1.85)*((0.001*$D$19)^4.87))*1000</f>
        <v>3.2587661478085415</v>
      </c>
      <c r="Z19" s="89">
        <f ca="1">IF(W19&lt;0,((-$C$19*Y19)/1000),(($C$19*Y19)/1000))</f>
        <v>0.77079595694115421</v>
      </c>
      <c r="AA19" s="92">
        <f t="shared" ca="1" si="2"/>
        <v>3.0215091629019385E-2</v>
      </c>
      <c r="AB19" s="92">
        <f ca="1">Z25</f>
        <v>-0.49041531338121186</v>
      </c>
      <c r="AC19" s="92">
        <f t="shared" ca="1" si="12"/>
        <v>25.019881541084093</v>
      </c>
      <c r="AD19" s="92">
        <f ca="1">ABS((4000*AC19)/(PI()*($D$19^2)))</f>
        <v>0.79640756456744033</v>
      </c>
      <c r="AE19" s="67">
        <f ca="1">(10.641*((0.001*ABS(AC19))^1.85))/((140^1.85)*((0.001*$D$19)^4.87))*1000</f>
        <v>3.1438166467417261</v>
      </c>
      <c r="AF19" s="89">
        <f ca="1">IF(AC19&lt;0,((-$C$19*AE19)/1000),(($C$19*AE19)/1000))</f>
        <v>0.7436069514538205</v>
      </c>
      <c r="AG19" s="92">
        <f t="shared" ca="1" si="3"/>
        <v>2.9720642371258828E-2</v>
      </c>
      <c r="AH19" s="92">
        <f ca="1">AF25</f>
        <v>-7.3202430112508543E-2</v>
      </c>
      <c r="AI19" s="92">
        <f t="shared" ca="1" si="13"/>
        <v>24.946679110971584</v>
      </c>
      <c r="AJ19" s="92">
        <f ca="1">ABS((4000*AI19)/(PI()*($D$19^2)))</f>
        <v>0.79407745884769132</v>
      </c>
      <c r="AK19" s="67">
        <f ca="1">(10.641*((0.001*ABS(AI19))^1.85))/((140^1.85)*((0.001*$D$19)^4.87))*1000</f>
        <v>3.1268213501746005</v>
      </c>
      <c r="AL19" s="89">
        <f ca="1">IF(AI19&lt;0,((-$C$19*AK19)/1000),(($C$19*AK19)/1000))</f>
        <v>0.73958705395679825</v>
      </c>
      <c r="AM19" s="92">
        <f t="shared" ca="1" si="4"/>
        <v>2.9646713723572405E-2</v>
      </c>
      <c r="AN19" s="92">
        <f ca="1">AL25</f>
        <v>-7.1702394232225741E-2</v>
      </c>
      <c r="AO19" s="92">
        <f t="shared" ca="1" si="14"/>
        <v>24.874976716739358</v>
      </c>
      <c r="AP19" s="92">
        <f ca="1">ABS((4000*AO19)/(PI()*($D$19^2)))</f>
        <v>0.79179510075297488</v>
      </c>
      <c r="AQ19" s="67">
        <f ca="1">(10.641*((0.001*ABS(AO19))^1.85))/((140^1.85)*((0.001*$D$19)^4.87))*1000</f>
        <v>3.1102153590109225</v>
      </c>
      <c r="AR19" s="89">
        <f ca="1">IF(AO19&lt;0,((-$C$19*AQ19)/1000),(($C$19*AQ19)/1000))</f>
        <v>0.73565923886685347</v>
      </c>
      <c r="AS19" s="92">
        <f t="shared" ca="1" si="5"/>
        <v>2.9574268440291613E-2</v>
      </c>
      <c r="AT19" s="92">
        <f ca="1">AR25</f>
        <v>-6.3323739529011519E-2</v>
      </c>
      <c r="AU19" s="92">
        <f t="shared" ca="1" si="15"/>
        <v>24.811652977210347</v>
      </c>
      <c r="AV19" s="92">
        <f ca="1">ABS((4000*AU19)/(PI()*($D$19^2)))</f>
        <v>0.78977944352075358</v>
      </c>
      <c r="AW19" s="67">
        <f ca="1">(10.641*((0.001*ABS(AU19))^1.85))/((140^1.85)*((0.001*$D$19)^4.87))*1000</f>
        <v>3.0955836223095412</v>
      </c>
      <c r="AX19" s="89">
        <f ca="1">IF(AU19&lt;0,((-$C$19*AW19)/1000),(($C$19*AW19)/1000))</f>
        <v>0.73219839418487587</v>
      </c>
      <c r="AY19" s="92">
        <f t="shared" ca="1" si="6"/>
        <v>2.9510262571276671E-2</v>
      </c>
      <c r="AZ19" s="92">
        <f ca="1">AX25</f>
        <v>-7.0885166056609966E-2</v>
      </c>
      <c r="BA19" s="92">
        <f t="shared" ca="1" si="16"/>
        <v>24.740767811153738</v>
      </c>
      <c r="BB19" s="92">
        <f ca="1">ABS((4000*BA19)/(PI()*($D$19^2)))</f>
        <v>0.78752309860679381</v>
      </c>
      <c r="BC19" s="67">
        <f ca="1">(10.641*((0.001*ABS(BA19))^1.85))/((140^1.85)*((0.001*$D$19)^4.87))*1000</f>
        <v>3.0792423368283144</v>
      </c>
      <c r="BD19" s="89">
        <f ca="1">IF(BA19&lt;0,((-$C$19*BC19)/1000),(($C$19*BC19)/1000))</f>
        <v>0.72833318993000129</v>
      </c>
      <c r="BE19" s="92">
        <f t="shared" ca="1" si="7"/>
        <v>2.9438584747626589E-2</v>
      </c>
      <c r="BF19" s="92">
        <f ca="1">BD25</f>
        <v>-2.6107706497452757E-2</v>
      </c>
    </row>
    <row r="20" spans="1:58" x14ac:dyDescent="0.2">
      <c r="A20" s="60" t="s">
        <v>105</v>
      </c>
      <c r="B20" s="84" t="s">
        <v>109</v>
      </c>
      <c r="C20" s="61">
        <v>119.32</v>
      </c>
      <c r="D20" s="66">
        <f ca="1">IFERROR(IF(OFFSET(Auxiliar!$A$1,MATCH(ABS(E20),IF($H$2="PVC",Auxiliar!$B$1:$B$12,Auxiliar!$C$1:$C$12),1),0)&gt;$J$3,OFFSET(Auxiliar!$A$1,MATCH(ABS(E20),IF($H$2="PVC",Auxiliar!$B$1:$B$12,Auxiliar!$C$1:$C$12),1),0),$J$3),$J$3)</f>
        <v>250</v>
      </c>
      <c r="E20" s="61">
        <f>-Vazões!K7</f>
        <v>-42.33004263263723</v>
      </c>
      <c r="F20" s="92">
        <f ca="1">ABS((4000*E20)/(PI()*($D$20^2)))</f>
        <v>0.86234054736318499</v>
      </c>
      <c r="G20" s="67">
        <f ca="1">(10.641*((0.001*ABS(E20))^1.85))/((140^1.85)*((0.001*D20)^4.87))*1000</f>
        <v>2.8052904988447938</v>
      </c>
      <c r="H20" s="89">
        <f ca="1">IF(E20&lt;0,((-C20*G20)/1000),((C20*G20)/1000))</f>
        <v>-0.33472726232216077</v>
      </c>
      <c r="I20" s="92">
        <f ca="1">ABS(H20/E20)</f>
        <v>7.9075578833478419E-3</v>
      </c>
      <c r="J20" s="92">
        <f ca="1">H25-H34</f>
        <v>-8.0328068777640382</v>
      </c>
      <c r="K20" s="92">
        <f t="shared" ca="1" si="9"/>
        <v>-50.362849510401269</v>
      </c>
      <c r="L20" s="92">
        <f ca="1">ABS((4000*K20)/(PI()*($D$20^2)))</f>
        <v>1.0259835453150212</v>
      </c>
      <c r="M20" s="67">
        <f ca="1">(10.641*((0.001*ABS(K20))^1.85))/((140^1.85)*((0.001*$D$20)^4.87))*1000</f>
        <v>3.8688489983890633</v>
      </c>
      <c r="N20" s="89">
        <f ca="1">IF(K20&lt;0,((-$C$20*M20)/1000),(($C$20*M20)/1000))</f>
        <v>-0.46163106248778302</v>
      </c>
      <c r="O20" s="92">
        <f t="shared" ca="1" si="0"/>
        <v>9.1661029305429575E-3</v>
      </c>
      <c r="P20" s="92">
        <f ca="1">N25-N34</f>
        <v>-0.7956479126133309</v>
      </c>
      <c r="Q20" s="92">
        <f t="shared" ca="1" si="10"/>
        <v>-51.158497423014602</v>
      </c>
      <c r="R20" s="92">
        <f ca="1">ABS((4000*Q20)/(PI()*($D$20^2)))</f>
        <v>1.0421923514914258</v>
      </c>
      <c r="S20" s="67">
        <f ca="1">(10.641*((0.001*ABS(Q20))^1.85))/((140^1.85)*((0.001*$D$20)^4.87))*1000</f>
        <v>3.982681975273854</v>
      </c>
      <c r="T20" s="89">
        <f ca="1">IF(Q20&lt;0,((-$C$20*S20)/1000),(($C$20*S20)/1000))</f>
        <v>-0.47521361328967621</v>
      </c>
      <c r="U20" s="92">
        <f t="shared" ca="1" si="1"/>
        <v>9.2890455589474084E-3</v>
      </c>
      <c r="V20" s="92">
        <f ca="1">T25-T34</f>
        <v>-0.8331542012922728</v>
      </c>
      <c r="W20" s="92">
        <f t="shared" ca="1" si="11"/>
        <v>-51.991651624306876</v>
      </c>
      <c r="X20" s="92">
        <f ca="1">ABS((4000*W20)/(PI()*($D$20^2)))</f>
        <v>1.0591652295065868</v>
      </c>
      <c r="Y20" s="67">
        <f ca="1">(10.641*((0.001*ABS(W20))^1.85))/((140^1.85)*((0.001*$D$20)^4.87))*1000</f>
        <v>4.1035045634032912</v>
      </c>
      <c r="Z20" s="89">
        <f ca="1">IF(W20&lt;0,((-$C$20*Y20)/1000),(($C$20*Y20)/1000))</f>
        <v>-0.48963016450528069</v>
      </c>
      <c r="AA20" s="92">
        <f t="shared" ca="1" si="2"/>
        <v>9.4174766372755753E-3</v>
      </c>
      <c r="AB20" s="92">
        <f ca="1">Z25-Z34</f>
        <v>-0.17438338776819878</v>
      </c>
      <c r="AC20" s="92">
        <f t="shared" ca="1" si="12"/>
        <v>-52.166035012075078</v>
      </c>
      <c r="AD20" s="92">
        <f ca="1">ABS((4000*AC20)/(PI()*($D$20^2)))</f>
        <v>1.0627177387106086</v>
      </c>
      <c r="AE20" s="67">
        <f ca="1">(10.641*((0.001*ABS(AC20))^1.85))/((140^1.85)*((0.001*$D$20)^4.87))*1000</f>
        <v>4.1290031834973835</v>
      </c>
      <c r="AF20" s="89">
        <f ca="1">IF(AC20&lt;0,((-$C$20*AE20)/1000),(($C$20*AE20)/1000))</f>
        <v>-0.49267265985490777</v>
      </c>
      <c r="AG20" s="92">
        <f t="shared" ca="1" si="3"/>
        <v>9.4443186978053224E-3</v>
      </c>
      <c r="AH20" s="92">
        <f ca="1">AF25-AF34</f>
        <v>7.0600477108627435E-2</v>
      </c>
      <c r="AI20" s="92">
        <f t="shared" ca="1" si="13"/>
        <v>-52.095434534966451</v>
      </c>
      <c r="AJ20" s="92">
        <f ca="1">ABS((4000*AI20)/(PI()*($D$20^2)))</f>
        <v>1.0612794776012986</v>
      </c>
      <c r="AK20" s="67">
        <f ca="1">(10.641*((0.001*ABS(AI20))^1.85))/((140^1.85)*((0.001*$D$20)^4.87))*1000</f>
        <v>4.1186711248083441</v>
      </c>
      <c r="AL20" s="89">
        <f ca="1">IF(AI20&lt;0,((-$C$20*AK20)/1000),(($C$20*AK20)/1000))</f>
        <v>-0.49143983861213159</v>
      </c>
      <c r="AM20" s="92">
        <f t="shared" ca="1" si="4"/>
        <v>9.4334531038852785E-3</v>
      </c>
      <c r="AN20" s="92">
        <f ca="1">AL25-AL34</f>
        <v>2.5578092715580536E-2</v>
      </c>
      <c r="AO20" s="92">
        <f t="shared" ca="1" si="14"/>
        <v>-52.069856442250867</v>
      </c>
      <c r="AP20" s="92">
        <f ca="1">ABS((4000*AO20)/(PI()*($D$20^2)))</f>
        <v>1.0607584049753083</v>
      </c>
      <c r="AQ20" s="67">
        <f ca="1">(10.641*((0.001*ABS(AO20))^1.85))/((140^1.85)*((0.001*$D$20)^4.87))*1000</f>
        <v>4.1149308225420018</v>
      </c>
      <c r="AR20" s="89">
        <f ca="1">IF(AO20&lt;0,((-$C$20*AQ20)/1000),(($C$20*AQ20)/1000))</f>
        <v>-0.49099354574571163</v>
      </c>
      <c r="AS20" s="92">
        <f t="shared" ca="1" si="5"/>
        <v>9.4295160250779265E-3</v>
      </c>
      <c r="AT20" s="92">
        <f ca="1">AR25-AR34</f>
        <v>-2.3552650228750374E-3</v>
      </c>
      <c r="AU20" s="92">
        <f t="shared" ca="1" si="15"/>
        <v>-52.072211707273745</v>
      </c>
      <c r="AV20" s="92">
        <f ca="1">ABS((4000*AU20)/(PI()*($D$20^2)))</f>
        <v>1.0608063860403558</v>
      </c>
      <c r="AW20" s="67">
        <f ca="1">(10.641*((0.001*ABS(AU20))^1.85))/((140^1.85)*((0.001*$D$20)^4.87))*1000</f>
        <v>4.1152751693154457</v>
      </c>
      <c r="AX20" s="89">
        <f ca="1">IF(AU20&lt;0,((-$C$20*AW20)/1000),(($C$20*AW20)/1000))</f>
        <v>-0.49103463320271895</v>
      </c>
      <c r="AY20" s="92">
        <f t="shared" ca="1" si="6"/>
        <v>9.4298785686901879E-3</v>
      </c>
      <c r="AZ20" s="92">
        <f ca="1">AX25-AX34</f>
        <v>-2.9765353395118821E-2</v>
      </c>
      <c r="BA20" s="92">
        <f t="shared" ca="1" si="16"/>
        <v>-52.101977060668865</v>
      </c>
      <c r="BB20" s="92">
        <f ca="1">ABS((4000*BA20)/(PI()*($D$20^2)))</f>
        <v>1.0614127608404467</v>
      </c>
      <c r="BC20" s="67">
        <f ca="1">(10.641*((0.001*ABS(BA20))^1.85))/((140^1.85)*((0.001*$D$20)^4.87))*1000</f>
        <v>4.1196280936452894</v>
      </c>
      <c r="BD20" s="89">
        <f ca="1">IF(BA20&lt;0,((-$C$20*BC20)/1000),(($C$20*BC20)/1000))</f>
        <v>-0.49155402413375587</v>
      </c>
      <c r="BE20" s="92">
        <f t="shared" ca="1" si="7"/>
        <v>9.434460108133284E-3</v>
      </c>
      <c r="BF20" s="92">
        <f ca="1">BD25-BD34</f>
        <v>7.8047699065101235E-3</v>
      </c>
    </row>
    <row r="21" spans="1:58" x14ac:dyDescent="0.2">
      <c r="A21" s="60" t="s">
        <v>105</v>
      </c>
      <c r="B21" s="83" t="s">
        <v>110</v>
      </c>
      <c r="C21" s="61">
        <v>198.13</v>
      </c>
      <c r="D21" s="66">
        <v>350</v>
      </c>
      <c r="E21" s="61">
        <f>-Vazões!E17</f>
        <v>-130.56016160180812</v>
      </c>
      <c r="F21" s="92">
        <f>ABS((4000*E21)/(PI()*($D$21^2)))</f>
        <v>1.3570151895382485</v>
      </c>
      <c r="G21" s="67">
        <f>(10.641*((0.001*ABS(E21))^1.85))/((140^1.85)*((0.001*$D$21)^4.87))*1000</f>
        <v>4.378082663143811</v>
      </c>
      <c r="H21" s="89">
        <f>IF(E21&lt;0,((-$C$21*G21)/1000),(($C$21*G21)/1000))</f>
        <v>-0.86742951804868329</v>
      </c>
      <c r="I21" s="92">
        <f t="shared" si="8"/>
        <v>6.643906589930801E-3</v>
      </c>
      <c r="J21" s="92">
        <f ca="1">H25-H44</f>
        <v>-2.6906224329774915</v>
      </c>
      <c r="K21" s="92">
        <f t="shared" ca="1" si="9"/>
        <v>-133.25078403478562</v>
      </c>
      <c r="L21" s="92">
        <f ca="1">ABS((4000*K21)/(PI()*($D$21^2)))</f>
        <v>1.3849809600004401</v>
      </c>
      <c r="M21" s="67">
        <f ca="1">(10.641*((0.001*ABS(K21))^1.85))/((140^1.85)*((0.001*$D$21)^4.87))*1000</f>
        <v>4.5464590249045003</v>
      </c>
      <c r="N21" s="89">
        <f ca="1">IF(K21&lt;0,((-$C$21*M21)/1000),(($C$21*M21)/1000))</f>
        <v>-0.90078992660432855</v>
      </c>
      <c r="O21" s="92">
        <f t="shared" ca="1" si="0"/>
        <v>6.7601097669277048E-3</v>
      </c>
      <c r="P21" s="92">
        <f ca="1">N25-N44</f>
        <v>-8.3062573804379838</v>
      </c>
      <c r="Q21" s="92">
        <f t="shared" ca="1" si="10"/>
        <v>-141.55704141522361</v>
      </c>
      <c r="R21" s="92">
        <f ca="1">ABS((4000*Q21)/(PI()*($D$21^2)))</f>
        <v>1.4713144731883747</v>
      </c>
      <c r="S21" s="67">
        <f ca="1">(10.641*((0.001*ABS(Q21))^1.85))/((140^1.85)*((0.001*$D$21)^4.87))*1000</f>
        <v>5.0846075029090265</v>
      </c>
      <c r="T21" s="89">
        <f ca="1">IF(Q21&lt;0,((-$C$21*S21)/1000),(($C$21*S21)/1000))</f>
        <v>-1.0074132845513655</v>
      </c>
      <c r="U21" s="92">
        <f t="shared" ca="1" si="1"/>
        <v>7.1166596481510259E-3</v>
      </c>
      <c r="V21" s="92">
        <f ca="1">T25-T44</f>
        <v>1.8927825173157613</v>
      </c>
      <c r="W21" s="92">
        <f t="shared" ca="1" si="11"/>
        <v>-139.66425889790784</v>
      </c>
      <c r="X21" s="92">
        <f ca="1">ABS((4000*W21)/(PI()*($D$21^2)))</f>
        <v>1.4516412850199678</v>
      </c>
      <c r="Y21" s="67">
        <f ca="1">(10.641*((0.001*ABS(W21))^1.85))/((140^1.85)*((0.001*$D$21)^4.87))*1000</f>
        <v>4.9595465563717616</v>
      </c>
      <c r="Z21" s="89">
        <f ca="1">IF(W21&lt;0,((-$C$21*Y21)/1000),(($C$21*Y21)/1000))</f>
        <v>-0.98263495921393718</v>
      </c>
      <c r="AA21" s="92">
        <f t="shared" ca="1" si="2"/>
        <v>7.0356937914389846E-3</v>
      </c>
      <c r="AB21" s="92">
        <f ca="1">Z25-Z44</f>
        <v>-1.0915761004324778</v>
      </c>
      <c r="AC21" s="92">
        <f t="shared" ca="1" si="12"/>
        <v>-140.75583499834033</v>
      </c>
      <c r="AD21" s="92">
        <f ca="1">ABS((4000*AC21)/(PI()*($D$21^2)))</f>
        <v>1.4629869001804452</v>
      </c>
      <c r="AE21" s="67">
        <f ca="1">(10.641*((0.001*ABS(AC21))^1.85))/((140^1.85)*((0.001*$D$21)^4.87))*1000</f>
        <v>5.0314951108121972</v>
      </c>
      <c r="AF21" s="89">
        <f ca="1">IF(AC21&lt;0,((-$C$21*AE21)/1000),(($C$21*AE21)/1000))</f>
        <v>-0.99689012630522067</v>
      </c>
      <c r="AG21" s="92">
        <f t="shared" ca="1" si="3"/>
        <v>7.0824071081456415E-3</v>
      </c>
      <c r="AH21" s="92">
        <f ca="1">AF25-AF44</f>
        <v>0.63036146034636187</v>
      </c>
      <c r="AI21" s="92">
        <f t="shared" ca="1" si="13"/>
        <v>-140.12547353799397</v>
      </c>
      <c r="AJ21" s="92">
        <f ca="1">ABS((4000*AI21)/(PI()*($D$21^2)))</f>
        <v>1.4564350541495064</v>
      </c>
      <c r="AK21" s="67">
        <f ca="1">(10.641*((0.001*ABS(AI21))^1.85))/((140^1.85)*((0.001*$D$21)^4.87))*1000</f>
        <v>4.9898882975665604</v>
      </c>
      <c r="AL21" s="89">
        <f ca="1">IF(AI21&lt;0,((-$C$21*AK21)/1000),(($C$21*AK21)/1000))</f>
        <v>-0.9886465683968626</v>
      </c>
      <c r="AM21" s="92">
        <f t="shared" ca="1" si="4"/>
        <v>7.0554378403495533E-3</v>
      </c>
      <c r="AN21" s="92">
        <f ca="1">AL25-AL44</f>
        <v>-0.12784756865233884</v>
      </c>
      <c r="AO21" s="92">
        <f t="shared" ca="1" si="14"/>
        <v>-140.2533211066463</v>
      </c>
      <c r="AP21" s="92">
        <f ca="1">ABS((4000*AO21)/(PI()*($D$21^2)))</f>
        <v>1.4577638752115993</v>
      </c>
      <c r="AQ21" s="67">
        <f ca="1">(10.641*((0.001*ABS(AO21))^1.85))/((140^1.85)*((0.001*$D$21)^4.87))*1000</f>
        <v>4.9983140034343423</v>
      </c>
      <c r="AR21" s="89">
        <f ca="1">IF(AO21&lt;0,((-$C$21*AQ21)/1000),(($C$21*AQ21)/1000))</f>
        <v>-0.99031595350044621</v>
      </c>
      <c r="AS21" s="92">
        <f t="shared" ca="1" si="5"/>
        <v>7.0609091156381698E-3</v>
      </c>
      <c r="AT21" s="92">
        <f ca="1">AR25-AR44</f>
        <v>0.14190590861551824</v>
      </c>
      <c r="AU21" s="92">
        <f t="shared" ca="1" si="15"/>
        <v>-140.11141519803078</v>
      </c>
      <c r="AV21" s="92">
        <f ca="1">ABS((4000*AU21)/(PI()*($D$21^2)))</f>
        <v>1.4562889346852252</v>
      </c>
      <c r="AW21" s="67">
        <f ca="1">(10.641*((0.001*ABS(AU21))^1.85))/((140^1.85)*((0.001*$D$21)^4.87))*1000</f>
        <v>4.9889621909609243</v>
      </c>
      <c r="AX21" s="89">
        <f ca="1">IF(AU21&lt;0,((-$C$21*AW21)/1000),(($C$21*AW21)/1000))</f>
        <v>-0.988463078895088</v>
      </c>
      <c r="AY21" s="92">
        <f t="shared" ca="1" si="6"/>
        <v>7.0548361637630544E-3</v>
      </c>
      <c r="AZ21" s="92">
        <f ca="1">AX25-AX44</f>
        <v>-2.3303572226915314E-2</v>
      </c>
      <c r="BA21" s="92">
        <f t="shared" ca="1" si="16"/>
        <v>-140.13471877025771</v>
      </c>
      <c r="BB21" s="92">
        <f ca="1">ABS((4000*BA21)/(PI()*($D$21^2)))</f>
        <v>1.456531147172514</v>
      </c>
      <c r="BC21" s="67">
        <f ca="1">(10.641*((0.001*ABS(BA21))^1.85))/((140^1.85)*((0.001*$D$21)^4.87))*1000</f>
        <v>4.9904973791425755</v>
      </c>
      <c r="BD21" s="89">
        <f ca="1">IF(BA21&lt;0,((-$C$21*BC21)/1000),(($C$21*BC21)/1000))</f>
        <v>-0.98876724572951846</v>
      </c>
      <c r="BE21" s="92">
        <f t="shared" ca="1" si="7"/>
        <v>7.05583351796311E-3</v>
      </c>
      <c r="BF21" s="92">
        <f ca="1">BD25-BD44</f>
        <v>4.741257064988659E-2</v>
      </c>
    </row>
    <row r="22" spans="1:58" x14ac:dyDescent="0.2">
      <c r="A22" s="60" t="s">
        <v>105</v>
      </c>
      <c r="B22" s="81" t="s">
        <v>111</v>
      </c>
      <c r="C22" s="61">
        <v>261.01</v>
      </c>
      <c r="D22" s="66">
        <f ca="1">IFERROR(IF(OFFSET(Auxiliar!$A$1,MATCH(ABS(E22),IF($H$2="PVC",Auxiliar!$B$1:$B$12,Auxiliar!$C$1:$C$12),1),0)&gt;$J$3,OFFSET(Auxiliar!$A$1,MATCH(ABS(E22),IF($H$2="PVC",Auxiliar!$B$1:$B$12,Auxiliar!$C$1:$C$12),1),0),$J$3),$J$3)</f>
        <v>250</v>
      </c>
      <c r="E22" s="61">
        <f>-Vazões!H8</f>
        <v>-52.634209668695718</v>
      </c>
      <c r="F22" s="92">
        <f ca="1">ABS((4000*E22)/(PI()*($D$22^2)))</f>
        <v>1.0722553144970437</v>
      </c>
      <c r="G22" s="67">
        <f ca="1">(10.641*((0.001*ABS(E22))^1.85))/((140^1.85)*((0.001*$D$22)^4.87))*1000</f>
        <v>4.1978192168370612</v>
      </c>
      <c r="H22" s="89">
        <f ca="1">IF(E22&lt;0,((-$C$22*G22)/1000),(($C$22*G22)/1000))</f>
        <v>-1.0956727937866413</v>
      </c>
      <c r="I22" s="92">
        <f t="shared" ca="1" si="8"/>
        <v>2.0816742584021254E-2</v>
      </c>
      <c r="J22" s="92">
        <f ca="1">H25-H14</f>
        <v>0.24725657728725814</v>
      </c>
      <c r="K22" s="92">
        <f t="shared" ca="1" si="9"/>
        <v>-52.386953091408458</v>
      </c>
      <c r="L22" s="92">
        <f ca="1">ABS((4000*K22)/(PI()*($D$22^2)))</f>
        <v>1.0672182448666758</v>
      </c>
      <c r="M22" s="67">
        <f ca="1">(10.641*((0.001*ABS(K22))^1.85))/((140^1.85)*((0.001*$D$22)^4.87))*1000</f>
        <v>4.1614103579209134</v>
      </c>
      <c r="N22" s="89">
        <f ca="1">IF(K22&lt;0,((-$C$22*M22)/1000),(($C$22*M22)/1000))</f>
        <v>-1.0861697175209377</v>
      </c>
      <c r="O22" s="92">
        <f t="shared" ca="1" si="0"/>
        <v>2.0733592114542565E-2</v>
      </c>
      <c r="P22" s="92">
        <f ca="1">N25-N14</f>
        <v>1.5056046452233152</v>
      </c>
      <c r="Q22" s="92">
        <f t="shared" ca="1" si="10"/>
        <v>-50.881348446185143</v>
      </c>
      <c r="R22" s="92">
        <f ca="1">ABS((4000*Q22)/(PI()*($D$22^2)))</f>
        <v>1.0365463188981112</v>
      </c>
      <c r="S22" s="67">
        <f ca="1">(10.641*((0.001*ABS(Q22))^1.85))/((140^1.85)*((0.001*$D$22)^4.87))*1000</f>
        <v>3.9428582848309803</v>
      </c>
      <c r="T22" s="89">
        <f ca="1">IF(Q22&lt;0,((-$C$22*S22)/1000),(($C$22*S22)/1000))</f>
        <v>-1.0291254409237343</v>
      </c>
      <c r="U22" s="92">
        <f t="shared" ca="1" si="1"/>
        <v>2.0225985991943449E-2</v>
      </c>
      <c r="V22" s="92">
        <f ca="1">T25-T14</f>
        <v>0.29515984872116718</v>
      </c>
      <c r="W22" s="92">
        <f t="shared" ca="1" si="11"/>
        <v>-50.586188597463973</v>
      </c>
      <c r="X22" s="92">
        <f ca="1">ABS((4000*W22)/(PI()*($D$22^2)))</f>
        <v>1.0305333718355538</v>
      </c>
      <c r="Y22" s="67">
        <f ca="1">(10.641*((0.001*ABS(W22))^1.85))/((140^1.85)*((0.001*$D$22)^4.87))*1000</f>
        <v>3.900648880925957</v>
      </c>
      <c r="Z22" s="89">
        <f ca="1">IF(W22&lt;0,((-$C$22*Y22)/1000),(($C$22*Y22)/1000))</f>
        <v>-1.018108364410484</v>
      </c>
      <c r="AA22" s="92">
        <f t="shared" ca="1" si="2"/>
        <v>2.0126212166566047E-2</v>
      </c>
      <c r="AB22" s="92">
        <f ca="1">Z25-Z14</f>
        <v>-0.12384125632620141</v>
      </c>
      <c r="AC22" s="92">
        <f t="shared" ca="1" si="12"/>
        <v>-50.710029853790175</v>
      </c>
      <c r="AD22" s="92">
        <f ca="1">ABS((4000*AC22)/(PI()*($D$22^2)))</f>
        <v>1.033056245192741</v>
      </c>
      <c r="AE22" s="67">
        <f ca="1">(10.641*((0.001*ABS(AC22))^1.85))/((140^1.85)*((0.001*$D$22)^4.87))*1000</f>
        <v>3.9183334120709543</v>
      </c>
      <c r="AF22" s="89">
        <f ca="1">IF(AC22&lt;0,((-$C$22*AE22)/1000),(($C$22*AE22)/1000))</f>
        <v>-1.0227242038846398</v>
      </c>
      <c r="AG22" s="92">
        <f t="shared" ca="1" si="3"/>
        <v>2.0168085225613395E-2</v>
      </c>
      <c r="AH22" s="92">
        <f ca="1">AF25-AF14</f>
        <v>-8.4723644245689983E-2</v>
      </c>
      <c r="AI22" s="92">
        <f t="shared" ca="1" si="13"/>
        <v>-50.794753498035867</v>
      </c>
      <c r="AJ22" s="92">
        <f ca="1">ABS((4000*AI22)/(PI()*($D$22^2)))</f>
        <v>1.0347822211003841</v>
      </c>
      <c r="AK22" s="67">
        <f ca="1">(10.641*((0.001*ABS(AI22))^1.85))/((140^1.85)*((0.001*$D$22)^4.87))*1000</f>
        <v>3.9304531190765934</v>
      </c>
      <c r="AL22" s="89">
        <f ca="1">IF(AI22&lt;0,((-$C$22*AK22)/1000),(($C$22*AK22)/1000))</f>
        <v>-1.0258875686101816</v>
      </c>
      <c r="AM22" s="92">
        <f t="shared" ca="1" si="4"/>
        <v>2.0196723046403811E-2</v>
      </c>
      <c r="AN22" s="92">
        <f ca="1">AL25-AL14</f>
        <v>0.16895326728606971</v>
      </c>
      <c r="AO22" s="92">
        <f t="shared" ca="1" si="14"/>
        <v>-50.625800230749796</v>
      </c>
      <c r="AP22" s="92">
        <f ca="1">ABS((4000*AO22)/(PI()*($D$22^2)))</f>
        <v>1.0313403334024507</v>
      </c>
      <c r="AQ22" s="67">
        <f ca="1">(10.641*((0.001*ABS(AO22))^1.85))/((140^1.85)*((0.001*$D$22)^4.87))*1000</f>
        <v>3.9063014240001181</v>
      </c>
      <c r="AR22" s="89">
        <f ca="1">IF(AO22&lt;0,((-$C$22*AQ22)/1000),(($C$22*AQ22)/1000))</f>
        <v>-1.0195837346782708</v>
      </c>
      <c r="AS22" s="92">
        <f t="shared" ca="1" si="5"/>
        <v>2.0139607275955353E-2</v>
      </c>
      <c r="AT22" s="92">
        <f ca="1">AR25-AR14</f>
        <v>0.13481266983003209</v>
      </c>
      <c r="AU22" s="92">
        <f t="shared" ca="1" si="15"/>
        <v>-50.490987560919763</v>
      </c>
      <c r="AV22" s="92">
        <f ca="1">ABS((4000*AU22)/(PI()*($D$22^2)))</f>
        <v>1.0285939522447078</v>
      </c>
      <c r="AW22" s="67">
        <f ca="1">(10.641*((0.001*ABS(AU22))^1.85))/((140^1.85)*((0.001*$D$22)^4.87))*1000</f>
        <v>3.8870791645293359</v>
      </c>
      <c r="AX22" s="89">
        <f ca="1">IF(AU22&lt;0,((-$C$22*AW22)/1000),(($C$22*AW22)/1000))</f>
        <v>-1.014566532733802</v>
      </c>
      <c r="AY22" s="92">
        <f t="shared" ca="1" si="6"/>
        <v>2.0094012451423723E-2</v>
      </c>
      <c r="AZ22" s="92">
        <f ca="1">AX25-AX14</f>
        <v>3.0835604344597589E-3</v>
      </c>
      <c r="BA22" s="92">
        <f t="shared" ca="1" si="16"/>
        <v>-50.487904000485301</v>
      </c>
      <c r="BB22" s="92">
        <f ca="1">ABS((4000*BA22)/(PI()*($D$22^2)))</f>
        <v>1.0285311344673682</v>
      </c>
      <c r="BC22" s="67">
        <f ca="1">(10.641*((0.001*ABS(BA22))^1.85))/((140^1.85)*((0.001*$D$22)^4.87))*1000</f>
        <v>3.8866400048686303</v>
      </c>
      <c r="BD22" s="89">
        <f ca="1">IF(BA22&lt;0,((-$C$22*BC22)/1000),(($C$22*BC22)/1000))</f>
        <v>-1.0144519076707612</v>
      </c>
      <c r="BE22" s="92">
        <f t="shared" ca="1" si="7"/>
        <v>2.0092969350856991E-2</v>
      </c>
      <c r="BF22" s="92">
        <f ca="1">BD25-BD14</f>
        <v>-3.8124751641444451E-2</v>
      </c>
    </row>
    <row r="23" spans="1:58" x14ac:dyDescent="0.2"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</row>
    <row r="24" spans="1:58" x14ac:dyDescent="0.2">
      <c r="F24" s="63"/>
      <c r="G24" s="65" t="s">
        <v>86</v>
      </c>
      <c r="H24" s="91">
        <f ca="1">SUM(H17:H22)</f>
        <v>1.4896961212671478</v>
      </c>
      <c r="I24" s="91">
        <f ca="1">SUM(I17:I22)</f>
        <v>9.8030916469056401E-2</v>
      </c>
      <c r="J24" s="63"/>
      <c r="K24" s="63"/>
      <c r="L24" s="63"/>
      <c r="M24" s="91" t="s">
        <v>87</v>
      </c>
      <c r="N24" s="91">
        <f ca="1">SUM(N17:N22)</f>
        <v>0.45765446252784869</v>
      </c>
      <c r="O24" s="91">
        <f ca="1">SUM(O17:O22)</f>
        <v>8.9931670845046024E-2</v>
      </c>
      <c r="P24" s="63"/>
      <c r="Q24" s="63"/>
      <c r="R24" s="63"/>
      <c r="S24" s="91" t="s">
        <v>88</v>
      </c>
      <c r="T24" s="91">
        <f ca="1">SUM(T17:T22)</f>
        <v>0.13157491891190576</v>
      </c>
      <c r="U24" s="91">
        <f ca="1">SUM(U17:U22)</f>
        <v>8.6682348783289287E-2</v>
      </c>
      <c r="V24" s="63"/>
      <c r="W24" s="63"/>
      <c r="X24" s="63"/>
      <c r="Y24" s="91" t="s">
        <v>89</v>
      </c>
      <c r="Z24" s="91">
        <f ca="1">SUM(Z17:Z22)</f>
        <v>7.7717197162781249E-2</v>
      </c>
      <c r="AA24" s="91">
        <f ca="1">SUM(AA17:AA22)</f>
        <v>8.5660652547794092E-2</v>
      </c>
      <c r="AB24" s="63"/>
      <c r="AC24" s="63"/>
      <c r="AD24" s="63"/>
      <c r="AE24" s="91" t="s">
        <v>90</v>
      </c>
      <c r="AF24" s="91">
        <f ca="1">SUM(AF17:AF22)</f>
        <v>1.1537445608395869E-2</v>
      </c>
      <c r="AG24" s="91">
        <f ca="1">SUM(AG17:AG22)</f>
        <v>8.5194672854907408E-2</v>
      </c>
      <c r="AH24" s="63"/>
      <c r="AI24" s="63"/>
      <c r="AJ24" s="63"/>
      <c r="AK24" s="91" t="s">
        <v>91</v>
      </c>
      <c r="AL24" s="91">
        <f ca="1">SUM(AL17:AL22)</f>
        <v>1.1288275529169667E-2</v>
      </c>
      <c r="AM24" s="91">
        <f ca="1">SUM(AM17:AM22)</f>
        <v>8.509856081717232E-2</v>
      </c>
      <c r="AN24" s="63"/>
      <c r="AO24" s="63"/>
      <c r="AP24" s="63"/>
      <c r="AQ24" s="91" t="s">
        <v>112</v>
      </c>
      <c r="AR24" s="91">
        <f ca="1">SUM(AR17:AR22)</f>
        <v>9.952715776864185E-3</v>
      </c>
      <c r="AS24" s="91">
        <f ca="1">SUM(AS17:AS22)</f>
        <v>8.4957812123647197E-2</v>
      </c>
      <c r="AT24" s="63"/>
      <c r="AU24" s="63"/>
      <c r="AV24" s="63"/>
      <c r="AW24" s="91" t="s">
        <v>93</v>
      </c>
      <c r="AX24" s="91">
        <f ca="1">SUM(AX17:AX22)</f>
        <v>1.1124564795386815E-2</v>
      </c>
      <c r="AY24" s="91">
        <f ca="1">SUM(AY17:AY22)</f>
        <v>8.483126445629488E-2</v>
      </c>
      <c r="AZ24" s="63"/>
      <c r="BA24" s="123" t="s">
        <v>94</v>
      </c>
      <c r="BB24" s="124"/>
      <c r="BC24" s="91" t="s">
        <v>95</v>
      </c>
      <c r="BD24" s="91">
        <f ca="1">SUM(BD17:BD22)</f>
        <v>4.0934365411464668E-3</v>
      </c>
      <c r="BE24" s="91">
        <f ca="1">SUM(BE17:BE22)</f>
        <v>8.475154264644405E-2</v>
      </c>
      <c r="BF24" s="63"/>
    </row>
    <row r="25" spans="1:58" x14ac:dyDescent="0.2">
      <c r="F25" s="63"/>
      <c r="G25" s="91" t="s">
        <v>96</v>
      </c>
      <c r="H25" s="91">
        <f ca="1">-(H24/(1.85*I24))</f>
        <v>-8.2141550404159087</v>
      </c>
      <c r="I25" s="63"/>
      <c r="J25" s="63"/>
      <c r="K25" s="63"/>
      <c r="L25" s="63"/>
      <c r="M25" s="91" t="s">
        <v>97</v>
      </c>
      <c r="N25" s="91">
        <f ca="1">-(N24/(1.85*O24))</f>
        <v>-2.7507638658447218</v>
      </c>
      <c r="O25" s="63"/>
      <c r="P25" s="63"/>
      <c r="Q25" s="63"/>
      <c r="R25" s="63"/>
      <c r="S25" s="91" t="s">
        <v>98</v>
      </c>
      <c r="T25" s="91">
        <f ca="1">-(T24/(1.85*U24))</f>
        <v>-0.82048512515537897</v>
      </c>
      <c r="U25" s="63"/>
      <c r="V25" s="63"/>
      <c r="W25" s="63"/>
      <c r="X25" s="63"/>
      <c r="Y25" s="91" t="s">
        <v>99</v>
      </c>
      <c r="Z25" s="91">
        <f ca="1">-(Z24/(1.85*AA24))</f>
        <v>-0.49041531338121186</v>
      </c>
      <c r="AA25" s="63"/>
      <c r="AB25" s="63"/>
      <c r="AC25" s="63"/>
      <c r="AD25" s="63"/>
      <c r="AE25" s="91" t="s">
        <v>100</v>
      </c>
      <c r="AF25" s="91">
        <f ca="1">-(AF24/(1.85*AG24))</f>
        <v>-7.3202430112508543E-2</v>
      </c>
      <c r="AG25" s="63"/>
      <c r="AH25" s="63"/>
      <c r="AI25" s="63"/>
      <c r="AJ25" s="63"/>
      <c r="AK25" s="91" t="s">
        <v>101</v>
      </c>
      <c r="AL25" s="91">
        <f ca="1">-(AL24/(1.85*AM24))</f>
        <v>-7.1702394232225741E-2</v>
      </c>
      <c r="AM25" s="63"/>
      <c r="AN25" s="63"/>
      <c r="AO25" s="63"/>
      <c r="AP25" s="63"/>
      <c r="AQ25" s="91" t="s">
        <v>113</v>
      </c>
      <c r="AR25" s="91">
        <f ca="1">-(AR24/(1.85*AS24))</f>
        <v>-6.3323739529011519E-2</v>
      </c>
      <c r="AS25" s="63"/>
      <c r="AT25" s="63"/>
      <c r="AU25" s="63"/>
      <c r="AV25" s="63"/>
      <c r="AW25" s="91" t="s">
        <v>102</v>
      </c>
      <c r="AX25" s="91">
        <f ca="1">-(AX24/(1.85*AY24))</f>
        <v>-7.0885166056609966E-2</v>
      </c>
      <c r="AY25" s="63"/>
      <c r="AZ25" s="63"/>
      <c r="BA25" s="123" t="s">
        <v>103</v>
      </c>
      <c r="BB25" s="124"/>
      <c r="BC25" s="91" t="s">
        <v>104</v>
      </c>
      <c r="BD25" s="91">
        <f ca="1">-(BD24/(1.85*BE24))</f>
        <v>-2.6107706497452757E-2</v>
      </c>
      <c r="BE25" s="63"/>
      <c r="BF25" s="63"/>
    </row>
    <row r="27" spans="1:58" x14ac:dyDescent="0.2">
      <c r="A27" s="70" t="s">
        <v>23</v>
      </c>
      <c r="B27" s="70" t="s">
        <v>24</v>
      </c>
      <c r="C27" s="70" t="s">
        <v>25</v>
      </c>
      <c r="D27" s="70" t="s">
        <v>26</v>
      </c>
      <c r="E27" s="70" t="s">
        <v>27</v>
      </c>
      <c r="F27" s="70" t="s">
        <v>28</v>
      </c>
      <c r="G27" s="70" t="s">
        <v>29</v>
      </c>
      <c r="H27" s="70" t="s">
        <v>30</v>
      </c>
      <c r="I27" s="70" t="s">
        <v>31</v>
      </c>
      <c r="J27" s="70" t="s">
        <v>32</v>
      </c>
      <c r="K27" s="93" t="s">
        <v>33</v>
      </c>
      <c r="L27" s="93" t="s">
        <v>34</v>
      </c>
      <c r="M27" s="93" t="s">
        <v>35</v>
      </c>
      <c r="N27" s="93" t="s">
        <v>36</v>
      </c>
      <c r="O27" s="93" t="s">
        <v>37</v>
      </c>
      <c r="P27" s="93" t="s">
        <v>38</v>
      </c>
      <c r="Q27" s="94" t="s">
        <v>39</v>
      </c>
      <c r="R27" s="94" t="s">
        <v>40</v>
      </c>
      <c r="S27" s="94" t="s">
        <v>41</v>
      </c>
      <c r="T27" s="94" t="s">
        <v>42</v>
      </c>
      <c r="U27" s="94" t="s">
        <v>43</v>
      </c>
      <c r="V27" s="94" t="s">
        <v>44</v>
      </c>
      <c r="W27" s="95" t="s">
        <v>45</v>
      </c>
      <c r="X27" s="95" t="s">
        <v>46</v>
      </c>
      <c r="Y27" s="95" t="s">
        <v>47</v>
      </c>
      <c r="Z27" s="95" t="s">
        <v>48</v>
      </c>
      <c r="AA27" s="95" t="s">
        <v>49</v>
      </c>
      <c r="AB27" s="95" t="s">
        <v>50</v>
      </c>
      <c r="AC27" s="96" t="s">
        <v>51</v>
      </c>
      <c r="AD27" s="96" t="s">
        <v>52</v>
      </c>
      <c r="AE27" s="96" t="s">
        <v>53</v>
      </c>
      <c r="AF27" s="96" t="s">
        <v>54</v>
      </c>
      <c r="AG27" s="96" t="s">
        <v>55</v>
      </c>
      <c r="AH27" s="96" t="s">
        <v>56</v>
      </c>
      <c r="AI27" s="97" t="s">
        <v>57</v>
      </c>
      <c r="AJ27" s="97" t="s">
        <v>58</v>
      </c>
      <c r="AK27" s="97" t="s">
        <v>59</v>
      </c>
      <c r="AL27" s="97" t="s">
        <v>60</v>
      </c>
      <c r="AM27" s="97" t="s">
        <v>61</v>
      </c>
      <c r="AN27" s="97" t="s">
        <v>62</v>
      </c>
      <c r="AO27" s="98" t="s">
        <v>63</v>
      </c>
      <c r="AP27" s="98" t="s">
        <v>64</v>
      </c>
      <c r="AQ27" s="98" t="s">
        <v>65</v>
      </c>
      <c r="AR27" s="98" t="s">
        <v>66</v>
      </c>
      <c r="AS27" s="98" t="s">
        <v>67</v>
      </c>
      <c r="AT27" s="98" t="s">
        <v>68</v>
      </c>
      <c r="AU27" s="99" t="s">
        <v>69</v>
      </c>
      <c r="AV27" s="99" t="s">
        <v>70</v>
      </c>
      <c r="AW27" s="99" t="s">
        <v>71</v>
      </c>
      <c r="AX27" s="99" t="s">
        <v>72</v>
      </c>
      <c r="AY27" s="99" t="s">
        <v>73</v>
      </c>
      <c r="AZ27" s="99" t="s">
        <v>74</v>
      </c>
      <c r="BA27" s="100" t="s">
        <v>75</v>
      </c>
      <c r="BB27" s="100" t="s">
        <v>76</v>
      </c>
      <c r="BC27" s="100" t="s">
        <v>77</v>
      </c>
      <c r="BD27" s="100" t="s">
        <v>78</v>
      </c>
      <c r="BE27" s="100" t="s">
        <v>79</v>
      </c>
      <c r="BF27" s="100" t="s">
        <v>80</v>
      </c>
    </row>
    <row r="28" spans="1:58" x14ac:dyDescent="0.2">
      <c r="A28" s="60" t="s">
        <v>114</v>
      </c>
      <c r="B28" s="85" t="s">
        <v>115</v>
      </c>
      <c r="C28" s="61">
        <v>259.42</v>
      </c>
      <c r="D28" s="66">
        <f ca="1">IFERROR(IF(OFFSET(Auxiliar!$A$1,MATCH(ABS(E28),IF($H$2="PVC",Auxiliar!$B$1:$B$12,Auxiliar!$C$1:$C$12),1),0)&gt;$J$3,OFFSET(Auxiliar!$A$1,MATCH(ABS(E28),IF($H$2="PVC",Auxiliar!$B$1:$B$12,Auxiliar!$C$1:$C$12),1),0),$J$3),$J$3)</f>
        <v>200</v>
      </c>
      <c r="E28" s="61">
        <f>-Vazões!K18</f>
        <v>-24.033935879629638</v>
      </c>
      <c r="F28" s="92">
        <f ca="1">ABS((4000*E28)/(PI()*($D28^2)))</f>
        <v>0.76502393943934321</v>
      </c>
      <c r="G28" s="67">
        <f ca="1">(10.641*((0.001*ABS(E28))^1.85))/((140^1.85)*((0.001*$D$28)^4.87))*1000</f>
        <v>2.9184721943234431</v>
      </c>
      <c r="H28" s="89">
        <f ca="1">IF(E28&lt;0,((-$C$28*G28)/1000),(($C$28*G28)/1000))</f>
        <v>-0.75711005665138764</v>
      </c>
      <c r="I28" s="92">
        <f ca="1">ABS(H28/E28)</f>
        <v>3.1501709101799211E-2</v>
      </c>
      <c r="J28" s="92">
        <f ca="1">H34-H61</f>
        <v>0.95193522361777794</v>
      </c>
      <c r="K28" s="92">
        <f ca="1">J28+E28</f>
        <v>-23.082000656011861</v>
      </c>
      <c r="L28" s="92">
        <f ca="1">ABS((4000*K28)/(PI()*($D28^2)))</f>
        <v>0.73472290017093167</v>
      </c>
      <c r="M28" s="67">
        <f ca="1">(10.641*((0.001*ABS(K28))^1.85))/((140^1.85)*((0.001*$D$28)^4.87))*1000</f>
        <v>2.7082289673612627</v>
      </c>
      <c r="N28" s="89">
        <f ca="1">IF(K28&lt;0,((-$C$28*M28)/1000),(($C$28*M28)/1000))</f>
        <v>-0.70256875871285873</v>
      </c>
      <c r="O28" s="92">
        <f ca="1">ABS(N28/K28)</f>
        <v>3.0437948996846164E-2</v>
      </c>
      <c r="P28" s="92">
        <f ca="1">N34-N61</f>
        <v>-1.0066170483858135</v>
      </c>
      <c r="Q28" s="92">
        <f ca="1">P28+K28</f>
        <v>-24.088617704397674</v>
      </c>
      <c r="R28" s="92">
        <f ca="1">ABS((4000*Q28)/(PI()*($D28^2)))</f>
        <v>0.76676451598116691</v>
      </c>
      <c r="S28" s="67">
        <f ca="1">(10.641*((0.001*ABS(Q28))^1.85))/((140^1.85)*((0.001*$D$28)^4.87))*1000</f>
        <v>2.9307682290873323</v>
      </c>
      <c r="T28" s="89">
        <f ca="1">IF(Q28&lt;0,((-$C$28*S28)/1000),(($C$28*S28)/1000))</f>
        <v>-0.76029989398983577</v>
      </c>
      <c r="U28" s="92">
        <f ca="1">ABS(T28/Q28)</f>
        <v>3.1562620293111868E-2</v>
      </c>
      <c r="V28" s="92">
        <f ca="1">T34-T61</f>
        <v>-0.31431684967293344</v>
      </c>
      <c r="W28" s="92">
        <f ca="1">V28+Q28</f>
        <v>-24.402934554070608</v>
      </c>
      <c r="X28" s="92">
        <f ca="1">ABS((4000*W28)/(PI()*($D28^2)))</f>
        <v>0.77676953204567079</v>
      </c>
      <c r="Y28" s="67">
        <f ca="1">(10.641*((0.001*ABS(W28))^1.85))/((140^1.85)*((0.001*$D$28)^4.87))*1000</f>
        <v>3.001907462202559</v>
      </c>
      <c r="Z28" s="89">
        <f ca="1">IF(W28&lt;0,((-$C$28*Y28)/1000),(($C$28*Y28)/1000))</f>
        <v>-0.77875483384458788</v>
      </c>
      <c r="AA28" s="92">
        <f ca="1">ABS(Z28/W28)</f>
        <v>3.1912343661745599E-2</v>
      </c>
      <c r="AB28" s="92">
        <f ca="1">Z34-Z61</f>
        <v>9.9551654901151032E-2</v>
      </c>
      <c r="AC28" s="92">
        <f ca="1">AB28+W28</f>
        <v>-24.303382899169456</v>
      </c>
      <c r="AD28" s="92">
        <f ca="1">ABS((4000*AC28)/(PI()*($D28^2)))</f>
        <v>0.77360070445157147</v>
      </c>
      <c r="AE28" s="67">
        <f ca="1">(10.641*((0.001*ABS(AC28))^1.85))/((140^1.85)*((0.001*$D$28)^4.87))*1000</f>
        <v>2.9792911559420059</v>
      </c>
      <c r="AF28" s="89">
        <f ca="1">IF(AC28&lt;0,((-$C$28*AE28)/1000),(($C$28*AE28)/1000))</f>
        <v>-0.77288771167447523</v>
      </c>
      <c r="AG28" s="92">
        <f ca="1">ABS(AF28/AC28)</f>
        <v>3.1801651435977164E-2</v>
      </c>
      <c r="AH28" s="92">
        <f ca="1">AF34-AF61</f>
        <v>-0.1454291971240165</v>
      </c>
      <c r="AI28" s="92">
        <f ca="1">AH28+AC28</f>
        <v>-24.448812096293473</v>
      </c>
      <c r="AJ28" s="92">
        <f ca="1">ABS((4000*AI28)/(PI()*($D28^2)))</f>
        <v>0.77822985957000601</v>
      </c>
      <c r="AK28" s="67">
        <f ca="1">(10.641*((0.001*ABS(AI28))^1.85))/((140^1.85)*((0.001*$D$28)^4.87))*1000</f>
        <v>3.0123564433970955</v>
      </c>
      <c r="AL28" s="89">
        <f ca="1">IF(AI28&lt;0,((-$C$28*AK28)/1000),(($C$28*AK28)/1000))</f>
        <v>-0.78146550854607455</v>
      </c>
      <c r="AM28" s="92">
        <f ca="1">ABS(AL28/AI28)</f>
        <v>3.1963332429739907E-2</v>
      </c>
      <c r="AN28" s="92">
        <f ca="1">AL34-AL61</f>
        <v>5.442174600255173E-2</v>
      </c>
      <c r="AO28" s="92">
        <f ca="1">AN28+AI28</f>
        <v>-24.394390350290923</v>
      </c>
      <c r="AP28" s="92">
        <f ca="1">ABS((4000*AO28)/(PI()*($D28^2)))</f>
        <v>0.77649756159240657</v>
      </c>
      <c r="AQ28" s="67">
        <f ca="1">(10.641*((0.001*ABS(AO28))^1.85))/((140^1.85)*((0.001*$D$28)^4.87))*1000</f>
        <v>2.9999632935332614</v>
      </c>
      <c r="AR28" s="89">
        <f ca="1">IF(AO28&lt;0,((-$C$28*AQ28)/1000),(($C$28*AQ28)/1000))</f>
        <v>-0.77825047760839872</v>
      </c>
      <c r="AS28" s="92">
        <f ca="1">ABS(AR28/AO28)</f>
        <v>3.1902845958973407E-2</v>
      </c>
      <c r="AT28" s="92">
        <f ca="1">AR34-AR61</f>
        <v>-4.1234314255512765E-2</v>
      </c>
      <c r="AU28" s="92">
        <f ca="1">AT28+AO28</f>
        <v>-24.435624664546435</v>
      </c>
      <c r="AV28" s="92">
        <f ca="1">ABS((4000*AU28)/(PI()*($D28^2)))</f>
        <v>0.77781009058016037</v>
      </c>
      <c r="AW28" s="67">
        <f ca="1">(10.641*((0.001*ABS(AU28))^1.85))/((140^1.85)*((0.001*$D$28)^4.87))*1000</f>
        <v>3.0093511908220214</v>
      </c>
      <c r="AX28" s="89">
        <f ca="1">IF(AU28&lt;0,((-$C$28*AW28)/1000),(($C$28*AW28)/1000))</f>
        <v>-0.78068588592304888</v>
      </c>
      <c r="AY28" s="92">
        <f ca="1">ABS(AX28/AU28)</f>
        <v>3.1948677254637299E-2</v>
      </c>
      <c r="AZ28" s="92">
        <f ca="1">AX34-AX61</f>
        <v>8.7303547324675476E-3</v>
      </c>
      <c r="BA28" s="92">
        <f ca="1">AZ28+AU28</f>
        <v>-24.426894309813967</v>
      </c>
      <c r="BB28" s="92">
        <f ca="1">ABS((4000*BA28)/(PI()*($D28^2)))</f>
        <v>0.77753219475803681</v>
      </c>
      <c r="BC28" s="67">
        <f ca="1">(10.641*((0.001*ABS(BA28))^1.85))/((140^1.85)*((0.001*$D$28)^4.87))*1000</f>
        <v>3.0073624092153644</v>
      </c>
      <c r="BD28" s="89">
        <f ca="1">IF(BA28&lt;0,((-$C$28*BC28)/1000),(($C$28*BC28)/1000))</f>
        <v>-0.78016995619864982</v>
      </c>
      <c r="BE28" s="92">
        <f ca="1">ABS(BD28/BA28)</f>
        <v>3.1938974570549554E-2</v>
      </c>
      <c r="BF28" s="92">
        <f ca="1">BD34-BD61</f>
        <v>-1.4444276306833204E-2</v>
      </c>
    </row>
    <row r="29" spans="1:58" x14ac:dyDescent="0.2">
      <c r="A29" s="60" t="s">
        <v>114</v>
      </c>
      <c r="B29" s="86" t="s">
        <v>116</v>
      </c>
      <c r="C29" s="61">
        <v>193.86</v>
      </c>
      <c r="D29" s="66">
        <v>250</v>
      </c>
      <c r="E29" s="61">
        <f>-Vazões!H28</f>
        <v>-32.638311330281979</v>
      </c>
      <c r="F29" s="92">
        <f>ABS((4000*E29)/(PI()*($D29^2)))</f>
        <v>0.6649022185454837</v>
      </c>
      <c r="G29" s="67">
        <f>(10.641*((0.001*ABS(E29))^1.85))/((140^1.85)*((0.001*$D$29)^4.87))*1000</f>
        <v>1.7340992258147261</v>
      </c>
      <c r="H29" s="89">
        <f>IF(E29&lt;0,((-$C$29*G29)/1000),(($C$29*G29)/1000))</f>
        <v>-0.33617247591644278</v>
      </c>
      <c r="I29" s="92">
        <f t="shared" ref="I29:I31" si="17">ABS(H29/E29)</f>
        <v>1.0299934715205085E-2</v>
      </c>
      <c r="J29" s="92">
        <f ca="1">H34-H44</f>
        <v>5.3421844447865467</v>
      </c>
      <c r="K29" s="92">
        <f t="shared" ref="K29:K31" ca="1" si="18">J29+E29</f>
        <v>-27.296126885495433</v>
      </c>
      <c r="L29" s="92">
        <f ca="1">ABS((4000*K29)/(PI()*($D29^2)))</f>
        <v>0.55607213069954309</v>
      </c>
      <c r="M29" s="67">
        <f ca="1">(10.641*((0.001*ABS(K29))^1.85))/((140^1.85)*((0.001*$D$29)^4.87))*1000</f>
        <v>1.2458467893186598</v>
      </c>
      <c r="N29" s="89">
        <f ca="1">IF(K29&lt;0,((-$C$29*M29)/1000),(($C$29*M29)/1000))</f>
        <v>-0.24151985857731539</v>
      </c>
      <c r="O29" s="92">
        <f ca="1">ABS(N29/K29)</f>
        <v>8.8481365722861503E-3</v>
      </c>
      <c r="P29" s="92">
        <f ca="1">N34-N44</f>
        <v>-7.5106094678246533</v>
      </c>
      <c r="Q29" s="92">
        <f t="shared" ref="Q29:Q31" ca="1" si="19">P29+K29</f>
        <v>-34.806736353320083</v>
      </c>
      <c r="R29" s="92">
        <f ca="1">ABS((4000*Q29)/(PI()*($D29^2)))</f>
        <v>0.70907701037148962</v>
      </c>
      <c r="S29" s="67">
        <f ca="1">(10.641*((0.001*ABS(Q29))^1.85))/((140^1.85)*((0.001*$D$29)^4.87))*1000</f>
        <v>1.9532365692676639</v>
      </c>
      <c r="T29" s="89">
        <f ca="1">IF(Q29&lt;0,((-$C$29*S29)/1000),(($C$29*S29)/1000))</f>
        <v>-0.37865444131822934</v>
      </c>
      <c r="U29" s="92">
        <f ca="1">ABS(T29/Q29)</f>
        <v>1.0878768910550585E-2</v>
      </c>
      <c r="V29" s="92">
        <f ca="1">T34-T44</f>
        <v>2.7259367186080343</v>
      </c>
      <c r="W29" s="92">
        <f t="shared" ref="W29:W31" ca="1" si="20">V29+Q29</f>
        <v>-32.080799634712051</v>
      </c>
      <c r="X29" s="92">
        <f ca="1">ABS((4000*W29)/(PI()*($D29^2)))</f>
        <v>0.65354468354625195</v>
      </c>
      <c r="Y29" s="67">
        <f ca="1">(10.641*((0.001*ABS(W29))^1.85))/((140^1.85)*((0.001*$D$29)^4.87))*1000</f>
        <v>1.6796984709371636</v>
      </c>
      <c r="Z29" s="89">
        <f ca="1">IF(W29&lt;0,((-$C$29*Y29)/1000),(($C$29*Y29)/1000))</f>
        <v>-0.32562634557587861</v>
      </c>
      <c r="AA29" s="92">
        <f ca="1">ABS(Z29/W29)</f>
        <v>1.0150194174821769E-2</v>
      </c>
      <c r="AB29" s="92">
        <f ca="1">Z34-Z44</f>
        <v>-0.91719271266427904</v>
      </c>
      <c r="AC29" s="92">
        <f t="shared" ref="AC29:AC31" ca="1" si="21">AB29+W29</f>
        <v>-32.997992347376332</v>
      </c>
      <c r="AD29" s="92">
        <f ca="1">ABS((4000*AC29)/(PI()*($D29^2)))</f>
        <v>0.67222958005676525</v>
      </c>
      <c r="AE29" s="67">
        <f ca="1">(10.641*((0.001*ABS(AC29))^1.85))/((140^1.85)*((0.001*$D$29)^4.87))*1000</f>
        <v>1.7696184691848922</v>
      </c>
      <c r="AF29" s="89">
        <f ca="1">IF(AC29&lt;0,((-$C$29*AE29)/1000),(($C$29*AE29)/1000))</f>
        <v>-0.34305823643618322</v>
      </c>
      <c r="AG29" s="92">
        <f ca="1">ABS(AF29/AC29)</f>
        <v>1.0396336626323867E-2</v>
      </c>
      <c r="AH29" s="92">
        <f ca="1">AF34-AF44</f>
        <v>0.55976098323773449</v>
      </c>
      <c r="AI29" s="92">
        <f t="shared" ref="AI29:AI31" ca="1" si="22">AH29+AC29</f>
        <v>-32.438231364138595</v>
      </c>
      <c r="AJ29" s="92">
        <f ca="1">ABS((4000*AI29)/(PI()*($D29^2)))</f>
        <v>0.66082622294543525</v>
      </c>
      <c r="AK29" s="67">
        <f ca="1">(10.641*((0.001*ABS(AI29))^1.85))/((140^1.85)*((0.001*$D$29)^4.87))*1000</f>
        <v>1.7144842269907949</v>
      </c>
      <c r="AL29" s="89">
        <f ca="1">IF(AI29&lt;0,((-$C$29*AK29)/1000),(($C$29*AK29)/1000))</f>
        <v>-0.33236991224443552</v>
      </c>
      <c r="AM29" s="92">
        <f ca="1">ABS(AL29/AI29)</f>
        <v>1.0246240262404692E-2</v>
      </c>
      <c r="AN29" s="92">
        <f ca="1">AL34-AL44</f>
        <v>-0.15342566136791938</v>
      </c>
      <c r="AO29" s="92">
        <f t="shared" ref="AO29:AO31" ca="1" si="23">AN29+AI29</f>
        <v>-32.591657025506514</v>
      </c>
      <c r="AP29" s="92">
        <f ca="1">ABS((4000*AO29)/(PI()*($D29^2)))</f>
        <v>0.66395178485312767</v>
      </c>
      <c r="AQ29" s="67">
        <f ca="1">(10.641*((0.001*ABS(AO29))^1.85))/((140^1.85)*((0.001*$D$29)^4.87))*1000</f>
        <v>1.7295162688711851</v>
      </c>
      <c r="AR29" s="89">
        <f ca="1">IF(AO29&lt;0,((-$C$29*AQ29)/1000),(($C$29*AQ29)/1000))</f>
        <v>-0.33528402388336798</v>
      </c>
      <c r="AS29" s="92">
        <f ca="1">ABS(AR29/AO29)</f>
        <v>1.0287418759376726E-2</v>
      </c>
      <c r="AT29" s="92">
        <f ca="1">AR34-AR44</f>
        <v>0.14426117363839328</v>
      </c>
      <c r="AU29" s="92">
        <f t="shared" ref="AU29:AU31" ca="1" si="24">AT29+AO29</f>
        <v>-32.447395851868123</v>
      </c>
      <c r="AV29" s="92">
        <f ca="1">ABS((4000*AU29)/(PI()*($D29^2)))</f>
        <v>0.66101292035638692</v>
      </c>
      <c r="AW29" s="67">
        <f ca="1">(10.641*((0.001*ABS(AU29))^1.85))/((140^1.85)*((0.001*$D$29)^4.87))*1000</f>
        <v>1.7153804341150756</v>
      </c>
      <c r="AX29" s="89">
        <f ca="1">IF(AU29&lt;0,((-$C$29*AW29)/1000),(($C$29*AW29)/1000))</f>
        <v>-0.33254365095754856</v>
      </c>
      <c r="AY29" s="92">
        <f ca="1">ABS(AX29/AU29)</f>
        <v>1.0248700773267224E-2</v>
      </c>
      <c r="AZ29" s="92">
        <f ca="1">AX34-AX44</f>
        <v>6.4617811682035065E-3</v>
      </c>
      <c r="BA29" s="92">
        <f t="shared" ref="BA29:BA31" ca="1" si="25">AZ29+AU29</f>
        <v>-32.440934070699917</v>
      </c>
      <c r="BB29" s="92">
        <f ca="1">ABS((4000*BA29)/(PI()*($D29^2)))</f>
        <v>0.6608812820313823</v>
      </c>
      <c r="BC29" s="67">
        <f ca="1">(10.641*((0.001*ABS(BA29))^1.85))/((140^1.85)*((0.001*$D$29)^4.87))*1000</f>
        <v>1.7147485057928471</v>
      </c>
      <c r="BD29" s="89">
        <f ca="1">IF(BA29&lt;0,((-$C$29*BC29)/1000),(($C$29*BC29)/1000))</f>
        <v>-0.33242114533300132</v>
      </c>
      <c r="BE29" s="92">
        <f ca="1">ABS(BD29/BA29)</f>
        <v>1.0246965904512541E-2</v>
      </c>
      <c r="BF29" s="92">
        <f ca="1">BD34-BD44</f>
        <v>3.9607800743376463E-2</v>
      </c>
    </row>
    <row r="30" spans="1:58" x14ac:dyDescent="0.2">
      <c r="A30" s="60" t="s">
        <v>114</v>
      </c>
      <c r="B30" s="84" t="s">
        <v>117</v>
      </c>
      <c r="C30" s="61">
        <v>119.32</v>
      </c>
      <c r="D30" s="66">
        <f ca="1">IFERROR(IF(OFFSET(Auxiliar!$A$1,MATCH(ABS(E30),IF($H$2="PVC",Auxiliar!$B$1:$B$12,Auxiliar!$C$1:$C$12),1),0)&gt;$J$3,OFFSET(Auxiliar!$A$1,MATCH(ABS(E30),IF($H$2="PVC",Auxiliar!$B$1:$B$12,Auxiliar!$C$1:$C$12),1),0),$J$3),$J$3)</f>
        <v>250</v>
      </c>
      <c r="E30" s="61">
        <f>Vazões!K7</f>
        <v>42.33004263263723</v>
      </c>
      <c r="F30" s="92">
        <f ca="1">ABS((4000*E30)/(PI()*($D30^2)))</f>
        <v>0.86234054736318499</v>
      </c>
      <c r="G30" s="67">
        <f ca="1">(10.641*((0.001*ABS(E30))^1.85))/((140^1.85)*((0.001*$D$30)^4.87))*1000</f>
        <v>2.8052904988447938</v>
      </c>
      <c r="H30" s="89">
        <f ca="1">IF(E30&lt;0,((-$C$30*G30)/1000),(($C$30*G30)/1000))</f>
        <v>0.33472726232216077</v>
      </c>
      <c r="I30" s="92">
        <f t="shared" ca="1" si="17"/>
        <v>7.9075578833478419E-3</v>
      </c>
      <c r="J30" s="92">
        <f ca="1">H34-H25</f>
        <v>8.0328068777640382</v>
      </c>
      <c r="K30" s="92">
        <f t="shared" ca="1" si="18"/>
        <v>50.362849510401269</v>
      </c>
      <c r="L30" s="92">
        <f ca="1">ABS((4000*K30)/(PI()*($D30^2)))</f>
        <v>1.0259835453150212</v>
      </c>
      <c r="M30" s="67">
        <f ca="1">(10.641*((0.001*ABS(K30))^1.85))/((140^1.85)*((0.001*$D$30)^4.87))*1000</f>
        <v>3.8688489983890633</v>
      </c>
      <c r="N30" s="89">
        <f ca="1">IF(K30&lt;0,((-$C$30*M30)/1000),(($C$30*M30)/1000))</f>
        <v>0.46163106248778302</v>
      </c>
      <c r="O30" s="92">
        <f ca="1">ABS(N30/K30)</f>
        <v>9.1661029305429575E-3</v>
      </c>
      <c r="P30" s="92">
        <f ca="1">N34-N25</f>
        <v>0.7956479126133309</v>
      </c>
      <c r="Q30" s="92">
        <f t="shared" ca="1" si="19"/>
        <v>51.158497423014602</v>
      </c>
      <c r="R30" s="92">
        <f ca="1">ABS((4000*Q30)/(PI()*($D30^2)))</f>
        <v>1.0421923514914258</v>
      </c>
      <c r="S30" s="67">
        <f ca="1">(10.641*((0.001*ABS(Q30))^1.85))/((140^1.85)*((0.001*$D$30)^4.87))*1000</f>
        <v>3.982681975273854</v>
      </c>
      <c r="T30" s="89">
        <f ca="1">IF(Q30&lt;0,((-$C$30*S30)/1000),(($C$30*S30)/1000))</f>
        <v>0.47521361328967621</v>
      </c>
      <c r="U30" s="92">
        <f ca="1">ABS(T30/Q30)</f>
        <v>9.2890455589474084E-3</v>
      </c>
      <c r="V30" s="92">
        <f ca="1">T34-T25</f>
        <v>0.8331542012922728</v>
      </c>
      <c r="W30" s="92">
        <f t="shared" ca="1" si="20"/>
        <v>51.991651624306876</v>
      </c>
      <c r="X30" s="92">
        <f ca="1">ABS((4000*W30)/(PI()*($D30^2)))</f>
        <v>1.0591652295065868</v>
      </c>
      <c r="Y30" s="67">
        <f ca="1">(10.641*((0.001*ABS(W30))^1.85))/((140^1.85)*((0.001*$D$30)^4.87))*1000</f>
        <v>4.1035045634032912</v>
      </c>
      <c r="Z30" s="89">
        <f ca="1">IF(W30&lt;0,((-$C$30*Y30)/1000),(($C$30*Y30)/1000))</f>
        <v>0.48963016450528069</v>
      </c>
      <c r="AA30" s="92">
        <f ca="1">ABS(Z30/W30)</f>
        <v>9.4174766372755753E-3</v>
      </c>
      <c r="AB30" s="92">
        <f ca="1">Z34-Z25</f>
        <v>0.17438338776819878</v>
      </c>
      <c r="AC30" s="92">
        <f t="shared" ca="1" si="21"/>
        <v>52.166035012075078</v>
      </c>
      <c r="AD30" s="92">
        <f ca="1">ABS((4000*AC30)/(PI()*($D30^2)))</f>
        <v>1.0627177387106086</v>
      </c>
      <c r="AE30" s="67">
        <f ca="1">(10.641*((0.001*ABS(AC30))^1.85))/((140^1.85)*((0.001*$D$30)^4.87))*1000</f>
        <v>4.1290031834973835</v>
      </c>
      <c r="AF30" s="89">
        <f ca="1">IF(AC30&lt;0,((-$C$30*AE30)/1000),(($C$30*AE30)/1000))</f>
        <v>0.49267265985490777</v>
      </c>
      <c r="AG30" s="92">
        <f ca="1">ABS(AF30/AC30)</f>
        <v>9.4443186978053224E-3</v>
      </c>
      <c r="AH30" s="92">
        <f ca="1">AF34-AF25</f>
        <v>-7.0600477108627435E-2</v>
      </c>
      <c r="AI30" s="92">
        <f t="shared" ca="1" si="22"/>
        <v>52.095434534966451</v>
      </c>
      <c r="AJ30" s="92">
        <f ca="1">ABS((4000*AI30)/(PI()*($D30^2)))</f>
        <v>1.0612794776012986</v>
      </c>
      <c r="AK30" s="67">
        <f ca="1">(10.641*((0.001*ABS(AI30))^1.85))/((140^1.85)*((0.001*$D$30)^4.87))*1000</f>
        <v>4.1186711248083441</v>
      </c>
      <c r="AL30" s="89">
        <f ca="1">IF(AI30&lt;0,((-$C$30*AK30)/1000),(($C$30*AK30)/1000))</f>
        <v>0.49143983861213159</v>
      </c>
      <c r="AM30" s="92">
        <f ca="1">ABS(AL30/AI30)</f>
        <v>9.4334531038852785E-3</v>
      </c>
      <c r="AN30" s="92">
        <f ca="1">AL34-AL25</f>
        <v>-2.5578092715580536E-2</v>
      </c>
      <c r="AO30" s="92">
        <f t="shared" ca="1" si="23"/>
        <v>52.069856442250867</v>
      </c>
      <c r="AP30" s="92">
        <f ca="1">ABS((4000*AO30)/(PI()*($D30^2)))</f>
        <v>1.0607584049753083</v>
      </c>
      <c r="AQ30" s="67">
        <f ca="1">(10.641*((0.001*ABS(AO30))^1.85))/((140^1.85)*((0.001*$D$30)^4.87))*1000</f>
        <v>4.1149308225420018</v>
      </c>
      <c r="AR30" s="89">
        <f ca="1">IF(AO30&lt;0,((-$C$30*AQ30)/1000),(($C$30*AQ30)/1000))</f>
        <v>0.49099354574571163</v>
      </c>
      <c r="AS30" s="92">
        <f ca="1">ABS(AR30/AO30)</f>
        <v>9.4295160250779265E-3</v>
      </c>
      <c r="AT30" s="92">
        <f ca="1">AR34-AR25</f>
        <v>2.3552650228750374E-3</v>
      </c>
      <c r="AU30" s="92">
        <f t="shared" ca="1" si="24"/>
        <v>52.072211707273745</v>
      </c>
      <c r="AV30" s="92">
        <f ca="1">ABS((4000*AU30)/(PI()*($D30^2)))</f>
        <v>1.0608063860403558</v>
      </c>
      <c r="AW30" s="67">
        <f ca="1">(10.641*((0.001*ABS(AU30))^1.85))/((140^1.85)*((0.001*$D$30)^4.87))*1000</f>
        <v>4.1152751693154457</v>
      </c>
      <c r="AX30" s="89">
        <f ca="1">IF(AU30&lt;0,((-$C$30*AW30)/1000),(($C$30*AW30)/1000))</f>
        <v>0.49103463320271895</v>
      </c>
      <c r="AY30" s="92">
        <f ca="1">ABS(AX30/AU30)</f>
        <v>9.4298785686901879E-3</v>
      </c>
      <c r="AZ30" s="92">
        <f ca="1">AX34-AX25</f>
        <v>2.9765353395118821E-2</v>
      </c>
      <c r="BA30" s="92">
        <f t="shared" ca="1" si="25"/>
        <v>52.101977060668865</v>
      </c>
      <c r="BB30" s="92">
        <f ca="1">ABS((4000*BA30)/(PI()*($D30^2)))</f>
        <v>1.0614127608404467</v>
      </c>
      <c r="BC30" s="67">
        <f ca="1">(10.641*((0.001*ABS(BA30))^1.85))/((140^1.85)*((0.001*$D$30)^4.87))*1000</f>
        <v>4.1196280936452894</v>
      </c>
      <c r="BD30" s="89">
        <f ca="1">IF(BA30&lt;0,((-$C$30*BC30)/1000),(($C$30*BC30)/1000))</f>
        <v>0.49155402413375587</v>
      </c>
      <c r="BE30" s="92">
        <f ca="1">ABS(BD30/BA30)</f>
        <v>9.434460108133284E-3</v>
      </c>
      <c r="BF30" s="92">
        <f ca="1">BD34-BD25</f>
        <v>-7.8047699065101235E-3</v>
      </c>
    </row>
    <row r="31" spans="1:58" x14ac:dyDescent="0.2">
      <c r="A31" s="60" t="s">
        <v>114</v>
      </c>
      <c r="B31" s="61" t="s">
        <v>118</v>
      </c>
      <c r="C31" s="61">
        <v>269.39</v>
      </c>
      <c r="D31" s="66">
        <f ca="1">IFERROR(IF(OFFSET(Auxiliar!$A$1,MATCH(ABS(E31),IF($H$2="PVC",Auxiliar!$B$1:$B$12,Auxiliar!$C$1:$C$12),1),0)&gt;$J$3,OFFSET(Auxiliar!$A$1,MATCH(ABS(E31),IF($H$2="PVC",Auxiliar!$B$1:$B$12,Auxiliar!$C$1:$C$12),1),0),$J$3),$J$3)</f>
        <v>200</v>
      </c>
      <c r="E31" s="61">
        <f>Vazões!K17</f>
        <v>24.033935879629638</v>
      </c>
      <c r="F31" s="92">
        <f ca="1">ABS((4000*E31)/(PI()*($D31^2)))</f>
        <v>0.76502393943934321</v>
      </c>
      <c r="G31" s="67">
        <f ca="1">(10.641*((0.001*ABS(E31))^1.85))/((140^1.85)*((0.001*$D$31)^4.87))*1000</f>
        <v>2.9184721943234431</v>
      </c>
      <c r="H31" s="89">
        <f ca="1">IF(E31&lt;0,((-$C$31*G31)/1000),(($C$31*G31)/1000))</f>
        <v>0.78620722442879232</v>
      </c>
      <c r="I31" s="92">
        <f t="shared" ca="1" si="17"/>
        <v>3.2712379211061945E-2</v>
      </c>
      <c r="J31" s="92">
        <f ca="1">H$34</f>
        <v>-0.18134816265187037</v>
      </c>
      <c r="K31" s="92">
        <f t="shared" ca="1" si="18"/>
        <v>23.852587716977769</v>
      </c>
      <c r="L31" s="92">
        <f ca="1">ABS((4000*K31)/(PI()*($D31^2)))</f>
        <v>0.75925144813800771</v>
      </c>
      <c r="M31" s="67">
        <f ca="1">(10.641*((0.001*ABS(K31))^1.85))/((140^1.85)*((0.001*$D$31)^4.87))*1000</f>
        <v>2.8778634022649348</v>
      </c>
      <c r="N31" s="89">
        <f ca="1">IF(K31&lt;0,((-$C$31*M31)/1000),(($C$31*M31)/1000))</f>
        <v>0.77526762193615073</v>
      </c>
      <c r="O31" s="92">
        <f ca="1">ABS(N31/K31)</f>
        <v>3.2502453450127408E-2</v>
      </c>
      <c r="P31" s="92">
        <f ca="1">N$34</f>
        <v>-1.9551159532313909</v>
      </c>
      <c r="Q31" s="92">
        <f t="shared" ca="1" si="19"/>
        <v>21.897471763746378</v>
      </c>
      <c r="R31" s="92">
        <f ca="1">ABS((4000*Q31)/(PI()*($D31^2)))</f>
        <v>0.69701817448308789</v>
      </c>
      <c r="S31" s="67">
        <f ca="1">(10.641*((0.001*ABS(Q31))^1.85))/((140^1.85)*((0.001*$D$31)^4.87))*1000</f>
        <v>2.4567352205190391</v>
      </c>
      <c r="T31" s="89">
        <f ca="1">IF(Q31&lt;0,((-$C$31*S31)/1000),(($C$31*S31)/1000))</f>
        <v>0.66181990105562394</v>
      </c>
      <c r="U31" s="92">
        <f ca="1">ABS(T31/Q31)</f>
        <v>3.0223575954158234E-2</v>
      </c>
      <c r="V31" s="92">
        <f ca="1">T$34</f>
        <v>1.2669076136893827E-2</v>
      </c>
      <c r="W31" s="92">
        <f t="shared" ca="1" si="20"/>
        <v>21.910140839883272</v>
      </c>
      <c r="X31" s="92">
        <f ca="1">ABS((4000*W31)/(PI()*($D31^2)))</f>
        <v>0.6974214437014068</v>
      </c>
      <c r="Y31" s="67">
        <f ca="1">(10.641*((0.001*ABS(W31))^1.85))/((140^1.85)*((0.001*$D$31)^4.87))*1000</f>
        <v>2.4593654147677952</v>
      </c>
      <c r="Z31" s="89">
        <f ca="1">IF(W31&lt;0,((-$C$31*Y31)/1000),(($C$31*Y31)/1000))</f>
        <v>0.66252844908429631</v>
      </c>
      <c r="AA31" s="92">
        <f ca="1">ABS(Z31/W31)</f>
        <v>3.0238438626477855E-2</v>
      </c>
      <c r="AB31" s="92">
        <f ca="1">Z$34</f>
        <v>-0.31603192561301308</v>
      </c>
      <c r="AC31" s="92">
        <f t="shared" ca="1" si="21"/>
        <v>21.594108914270258</v>
      </c>
      <c r="AD31" s="92">
        <f ca="1">ABS((4000*AC31)/(PI()*($D31^2)))</f>
        <v>0.68736183507417459</v>
      </c>
      <c r="AE31" s="67">
        <f ca="1">(10.641*((0.001*ABS(AC31))^1.85))/((140^1.85)*((0.001*$D$31)^4.87))*1000</f>
        <v>2.3941413092804562</v>
      </c>
      <c r="AF31" s="89">
        <f ca="1">IF(AC31&lt;0,((-$C$31*AE31)/1000),(($C$31*AE31)/1000))</f>
        <v>0.64495772730706213</v>
      </c>
      <c r="AG31" s="92">
        <f ca="1">ABS(AF31/AC31)</f>
        <v>2.9867299913489277E-2</v>
      </c>
      <c r="AH31" s="92">
        <f ca="1">AF$34</f>
        <v>-0.14380290722113598</v>
      </c>
      <c r="AI31" s="92">
        <f t="shared" ca="1" si="22"/>
        <v>21.450306007049122</v>
      </c>
      <c r="AJ31" s="92">
        <f ca="1">ABS((4000*AI31)/(PI()*($D31^2)))</f>
        <v>0.68278444637112878</v>
      </c>
      <c r="AK31" s="67">
        <f ca="1">(10.641*((0.001*ABS(AI31))^1.85))/((140^1.85)*((0.001*$D$31)^4.87))*1000</f>
        <v>2.3647294431060559</v>
      </c>
      <c r="AL31" s="89">
        <f ca="1">IF(AI31&lt;0,((-$C$31*AK31)/1000),(($C$31*AK31)/1000))</f>
        <v>0.63703446467834035</v>
      </c>
      <c r="AM31" s="92">
        <f ca="1">ABS(AL31/AI31)</f>
        <v>2.9698152766165407E-2</v>
      </c>
      <c r="AN31" s="92">
        <f ca="1">AL$34</f>
        <v>-9.7280486947806277E-2</v>
      </c>
      <c r="AO31" s="92">
        <f t="shared" ca="1" si="23"/>
        <v>21.353025520101315</v>
      </c>
      <c r="AP31" s="92">
        <f ca="1">ABS((4000*AO31)/(PI()*($D31^2)))</f>
        <v>0.67968791229830283</v>
      </c>
      <c r="AQ31" s="67">
        <f ca="1">(10.641*((0.001*ABS(AO31))^1.85))/((140^1.85)*((0.001*$D$31)^4.87))*1000</f>
        <v>2.3449275206471625</v>
      </c>
      <c r="AR31" s="89">
        <f ca="1">IF(AO31&lt;0,((-$C$31*AQ31)/1000),(($C$31*AQ31)/1000))</f>
        <v>0.63170002478713916</v>
      </c>
      <c r="AS31" s="92">
        <f ca="1">ABS(AR31/AO31)</f>
        <v>2.9583630862636739E-2</v>
      </c>
      <c r="AT31" s="92">
        <f ca="1">AR$34</f>
        <v>-6.0968474506136482E-2</v>
      </c>
      <c r="AU31" s="92">
        <f t="shared" ca="1" si="24"/>
        <v>21.292057045595179</v>
      </c>
      <c r="AV31" s="92">
        <f ca="1">ABS((4000*AU31)/(PI()*($D31^2)))</f>
        <v>0.67774722548021793</v>
      </c>
      <c r="AW31" s="67">
        <f ca="1">(10.641*((0.001*ABS(AU31))^1.85))/((140^1.85)*((0.001*$D$31)^4.87))*1000</f>
        <v>2.3325560976635722</v>
      </c>
      <c r="AX31" s="89">
        <f ca="1">IF(AU31&lt;0,((-$C$31*AW31)/1000),(($C$31*AW31)/1000))</f>
        <v>0.62836728714958967</v>
      </c>
      <c r="AY31" s="92">
        <f ca="1">ABS(AX31/AU31)</f>
        <v>2.9511816815256182E-2</v>
      </c>
      <c r="AZ31" s="92">
        <f ca="1">AX$34</f>
        <v>-4.1119812661491145E-2</v>
      </c>
      <c r="BA31" s="92">
        <f t="shared" ca="1" si="25"/>
        <v>21.250937232933687</v>
      </c>
      <c r="BB31" s="92">
        <f ca="1">ABS((4000*BA31)/(PI()*($D31^2)))</f>
        <v>0.67643834119140012</v>
      </c>
      <c r="BC31" s="67">
        <f ca="1">(10.641*((0.001*ABS(BA31))^1.85))/((140^1.85)*((0.001*$D$31)^4.87))*1000</f>
        <v>2.3242292485619287</v>
      </c>
      <c r="BD31" s="89">
        <f ca="1">IF(BA31&lt;0,((-$C$31*BC31)/1000),(($C$31*BC31)/1000))</f>
        <v>0.62612411727009798</v>
      </c>
      <c r="BE31" s="92">
        <f ca="1">ABS(BD31/BA31)</f>
        <v>2.9463364858080741E-2</v>
      </c>
      <c r="BF31" s="92">
        <f ca="1">BD$34</f>
        <v>-3.3912476403962881E-2</v>
      </c>
    </row>
    <row r="32" spans="1:58" x14ac:dyDescent="0.2"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</row>
    <row r="33" spans="1:58" x14ac:dyDescent="0.2">
      <c r="F33" s="63"/>
      <c r="G33" s="65" t="s">
        <v>86</v>
      </c>
      <c r="H33" s="91">
        <f ca="1">SUM(H28:H31)</f>
        <v>2.7651954183122718E-2</v>
      </c>
      <c r="I33" s="91">
        <f ca="1">SUM(I28:I31)</f>
        <v>8.2421580911414077E-2</v>
      </c>
      <c r="J33" s="63"/>
      <c r="K33" s="63"/>
      <c r="L33" s="63"/>
      <c r="M33" s="91" t="s">
        <v>87</v>
      </c>
      <c r="N33" s="91">
        <f ca="1">SUM(N28:N31)</f>
        <v>0.29281006713375962</v>
      </c>
      <c r="O33" s="91">
        <f ca="1">SUM(O28:O31)</f>
        <v>8.0954641949802675E-2</v>
      </c>
      <c r="P33" s="63"/>
      <c r="Q33" s="63"/>
      <c r="R33" s="63"/>
      <c r="S33" s="91" t="s">
        <v>88</v>
      </c>
      <c r="T33" s="91">
        <f ca="1">SUM(T28:T31)</f>
        <v>-1.9208209627649131E-3</v>
      </c>
      <c r="U33" s="91">
        <f ca="1">SUM(U28:U31)</f>
        <v>8.1954010716768083E-2</v>
      </c>
      <c r="V33" s="63"/>
      <c r="W33" s="63"/>
      <c r="X33" s="63"/>
      <c r="Y33" s="91" t="s">
        <v>89</v>
      </c>
      <c r="Z33" s="91">
        <f ca="1">SUM(Z28:Z31)</f>
        <v>4.7777434169110511E-2</v>
      </c>
      <c r="AA33" s="91">
        <f ca="1">SUM(AA28:AA31)</f>
        <v>8.1718453100320804E-2</v>
      </c>
      <c r="AB33" s="63"/>
      <c r="AC33" s="63"/>
      <c r="AD33" s="63"/>
      <c r="AE33" s="91" t="s">
        <v>90</v>
      </c>
      <c r="AF33" s="91">
        <f ca="1">SUM(AF28:AF31)</f>
        <v>2.1684439051311566E-2</v>
      </c>
      <c r="AG33" s="91">
        <f ca="1">SUM(AG28:AG31)</f>
        <v>8.1509606673595636E-2</v>
      </c>
      <c r="AH33" s="63"/>
      <c r="AI33" s="63"/>
      <c r="AJ33" s="63"/>
      <c r="AK33" s="91" t="s">
        <v>91</v>
      </c>
      <c r="AL33" s="91">
        <f ca="1">SUM(AL28:AL31)</f>
        <v>1.4638882499961814E-2</v>
      </c>
      <c r="AM33" s="91">
        <f ca="1">SUM(AM28:AM31)</f>
        <v>8.1341178562195277E-2</v>
      </c>
      <c r="AN33" s="63"/>
      <c r="AO33" s="63"/>
      <c r="AP33" s="63"/>
      <c r="AQ33" s="91" t="s">
        <v>112</v>
      </c>
      <c r="AR33" s="91">
        <f ca="1">SUM(AR28:AR31)</f>
        <v>9.1590690410839892E-3</v>
      </c>
      <c r="AS33" s="91">
        <f ca="1">SUM(AS28:AS31)</f>
        <v>8.1203411606064799E-2</v>
      </c>
      <c r="AT33" s="63"/>
      <c r="AU33" s="63"/>
      <c r="AV33" s="63"/>
      <c r="AW33" s="91" t="s">
        <v>93</v>
      </c>
      <c r="AX33" s="91">
        <f ca="1">SUM(AX28:AX31)</f>
        <v>6.1723834717112291E-3</v>
      </c>
      <c r="AY33" s="91">
        <f ca="1">SUM(AY28:AY31)</f>
        <v>8.1139073411850893E-2</v>
      </c>
      <c r="AZ33" s="63"/>
      <c r="BA33" s="123" t="s">
        <v>94</v>
      </c>
      <c r="BB33" s="124"/>
      <c r="BC33" s="91" t="s">
        <v>95</v>
      </c>
      <c r="BD33" s="91">
        <f ca="1">SUM(BD28:BD31)</f>
        <v>5.0870398722027144E-3</v>
      </c>
      <c r="BE33" s="91">
        <f ca="1">SUM(BE28:BE31)</f>
        <v>8.1083765441276115E-2</v>
      </c>
      <c r="BF33" s="63"/>
    </row>
    <row r="34" spans="1:58" x14ac:dyDescent="0.2">
      <c r="F34" s="63"/>
      <c r="G34" s="91" t="s">
        <v>96</v>
      </c>
      <c r="H34" s="91">
        <f ca="1">-(H33/(1.85*I33))</f>
        <v>-0.18134816265187037</v>
      </c>
      <c r="I34" s="63"/>
      <c r="J34" s="63"/>
      <c r="K34" s="63"/>
      <c r="L34" s="63"/>
      <c r="M34" s="91" t="s">
        <v>97</v>
      </c>
      <c r="N34" s="91">
        <f ca="1">-(N33/(1.85*O33))</f>
        <v>-1.9551159532313909</v>
      </c>
      <c r="O34" s="63"/>
      <c r="P34" s="63"/>
      <c r="Q34" s="63"/>
      <c r="R34" s="63"/>
      <c r="S34" s="91" t="s">
        <v>98</v>
      </c>
      <c r="T34" s="91">
        <f ca="1">-(T33/(1.85*U33))</f>
        <v>1.2669076136893827E-2</v>
      </c>
      <c r="U34" s="63"/>
      <c r="V34" s="63"/>
      <c r="W34" s="63"/>
      <c r="X34" s="63"/>
      <c r="Y34" s="91" t="s">
        <v>99</v>
      </c>
      <c r="Z34" s="91">
        <f ca="1">-(Z33/(1.85*AA33))</f>
        <v>-0.31603192561301308</v>
      </c>
      <c r="AA34" s="63"/>
      <c r="AB34" s="63"/>
      <c r="AC34" s="63"/>
      <c r="AD34" s="63"/>
      <c r="AE34" s="91" t="s">
        <v>100</v>
      </c>
      <c r="AF34" s="91">
        <f ca="1">-(AF33/(1.85*AG33))</f>
        <v>-0.14380290722113598</v>
      </c>
      <c r="AG34" s="63"/>
      <c r="AH34" s="63"/>
      <c r="AI34" s="63"/>
      <c r="AJ34" s="63"/>
      <c r="AK34" s="91" t="s">
        <v>101</v>
      </c>
      <c r="AL34" s="91">
        <f ca="1">-(AL33/(1.85*AM33))</f>
        <v>-9.7280486947806277E-2</v>
      </c>
      <c r="AM34" s="63"/>
      <c r="AN34" s="63"/>
      <c r="AO34" s="63"/>
      <c r="AP34" s="63"/>
      <c r="AQ34" s="91" t="s">
        <v>113</v>
      </c>
      <c r="AR34" s="91">
        <f ca="1">-(AR33/(1.85*AS33))</f>
        <v>-6.0968474506136482E-2</v>
      </c>
      <c r="AS34" s="63"/>
      <c r="AT34" s="63"/>
      <c r="AU34" s="63"/>
      <c r="AV34" s="63"/>
      <c r="AW34" s="91" t="s">
        <v>102</v>
      </c>
      <c r="AX34" s="91">
        <f ca="1">-(AX33/(1.85*AY33))</f>
        <v>-4.1119812661491145E-2</v>
      </c>
      <c r="AY34" s="63"/>
      <c r="AZ34" s="63"/>
      <c r="BA34" s="123" t="s">
        <v>103</v>
      </c>
      <c r="BB34" s="124"/>
      <c r="BC34" s="91" t="s">
        <v>104</v>
      </c>
      <c r="BD34" s="91">
        <f ca="1">-(BD33/(1.85*BE33))</f>
        <v>-3.3912476403962881E-2</v>
      </c>
      <c r="BE34" s="63"/>
      <c r="BF34" s="63"/>
    </row>
    <row r="35" spans="1:58" x14ac:dyDescent="0.2"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</row>
    <row r="36" spans="1:58" x14ac:dyDescent="0.2">
      <c r="A36" s="70" t="s">
        <v>23</v>
      </c>
      <c r="B36" s="70" t="s">
        <v>24</v>
      </c>
      <c r="C36" s="70" t="s">
        <v>25</v>
      </c>
      <c r="D36" s="70" t="s">
        <v>26</v>
      </c>
      <c r="E36" s="70" t="s">
        <v>27</v>
      </c>
      <c r="F36" s="70" t="s">
        <v>28</v>
      </c>
      <c r="G36" s="70" t="s">
        <v>29</v>
      </c>
      <c r="H36" s="70" t="s">
        <v>30</v>
      </c>
      <c r="I36" s="70" t="s">
        <v>31</v>
      </c>
      <c r="J36" s="70" t="s">
        <v>32</v>
      </c>
      <c r="K36" s="93" t="s">
        <v>33</v>
      </c>
      <c r="L36" s="93" t="s">
        <v>34</v>
      </c>
      <c r="M36" s="93" t="s">
        <v>35</v>
      </c>
      <c r="N36" s="93" t="s">
        <v>36</v>
      </c>
      <c r="O36" s="93" t="s">
        <v>37</v>
      </c>
      <c r="P36" s="93" t="s">
        <v>38</v>
      </c>
      <c r="Q36" s="94" t="s">
        <v>39</v>
      </c>
      <c r="R36" s="94" t="s">
        <v>40</v>
      </c>
      <c r="S36" s="94" t="s">
        <v>41</v>
      </c>
      <c r="T36" s="94" t="s">
        <v>42</v>
      </c>
      <c r="U36" s="94" t="s">
        <v>43</v>
      </c>
      <c r="V36" s="94" t="s">
        <v>44</v>
      </c>
      <c r="W36" s="95" t="s">
        <v>45</v>
      </c>
      <c r="X36" s="95" t="s">
        <v>46</v>
      </c>
      <c r="Y36" s="95" t="s">
        <v>47</v>
      </c>
      <c r="Z36" s="95" t="s">
        <v>48</v>
      </c>
      <c r="AA36" s="95" t="s">
        <v>49</v>
      </c>
      <c r="AB36" s="95" t="s">
        <v>50</v>
      </c>
      <c r="AC36" s="96" t="s">
        <v>51</v>
      </c>
      <c r="AD36" s="96" t="s">
        <v>52</v>
      </c>
      <c r="AE36" s="96" t="s">
        <v>53</v>
      </c>
      <c r="AF36" s="96" t="s">
        <v>54</v>
      </c>
      <c r="AG36" s="96" t="s">
        <v>55</v>
      </c>
      <c r="AH36" s="96" t="s">
        <v>56</v>
      </c>
      <c r="AI36" s="97" t="s">
        <v>57</v>
      </c>
      <c r="AJ36" s="97" t="s">
        <v>58</v>
      </c>
      <c r="AK36" s="97" t="s">
        <v>59</v>
      </c>
      <c r="AL36" s="97" t="s">
        <v>60</v>
      </c>
      <c r="AM36" s="97" t="s">
        <v>61</v>
      </c>
      <c r="AN36" s="97" t="s">
        <v>62</v>
      </c>
      <c r="AO36" s="98" t="s">
        <v>63</v>
      </c>
      <c r="AP36" s="98" t="s">
        <v>64</v>
      </c>
      <c r="AQ36" s="98" t="s">
        <v>65</v>
      </c>
      <c r="AR36" s="98" t="s">
        <v>66</v>
      </c>
      <c r="AS36" s="98" t="s">
        <v>67</v>
      </c>
      <c r="AT36" s="98" t="s">
        <v>68</v>
      </c>
      <c r="AU36" s="99" t="s">
        <v>69</v>
      </c>
      <c r="AV36" s="99" t="s">
        <v>70</v>
      </c>
      <c r="AW36" s="99" t="s">
        <v>71</v>
      </c>
      <c r="AX36" s="99" t="s">
        <v>72</v>
      </c>
      <c r="AY36" s="99" t="s">
        <v>73</v>
      </c>
      <c r="AZ36" s="99" t="s">
        <v>74</v>
      </c>
      <c r="BA36" s="100" t="s">
        <v>75</v>
      </c>
      <c r="BB36" s="100" t="s">
        <v>76</v>
      </c>
      <c r="BC36" s="100" t="s">
        <v>77</v>
      </c>
      <c r="BD36" s="100" t="s">
        <v>78</v>
      </c>
      <c r="BE36" s="100" t="s">
        <v>79</v>
      </c>
      <c r="BF36" s="100" t="s">
        <v>80</v>
      </c>
    </row>
    <row r="37" spans="1:58" x14ac:dyDescent="0.2">
      <c r="A37" s="60" t="s">
        <v>119</v>
      </c>
      <c r="B37" s="80" t="s">
        <v>120</v>
      </c>
      <c r="C37" s="62">
        <v>191.3</v>
      </c>
      <c r="D37" s="66">
        <f ca="1">IFERROR(IF(OFFSET(Auxiliar!$A$1,MATCH(ABS(E37),IF($H$2="PVC",Auxiliar!$B$1:$B$12,Auxiliar!$C$1:$C$12),1),0)&gt;$J$3,OFFSET(Auxiliar!$A$1,MATCH(ABS(E37),IF($H$2="PVC",Auxiliar!$B$1:$B$12,Auxiliar!$C$1:$C$12),1),0),$J$3),$J$3)</f>
        <v>300</v>
      </c>
      <c r="E37" s="61">
        <f>Vazões!H7</f>
        <v>77.925951933112401</v>
      </c>
      <c r="F37" s="92">
        <f ca="1">ABS((4000*E37)/(PI()*($D37^2)))</f>
        <v>1.1024267062485578</v>
      </c>
      <c r="G37" s="67">
        <f ca="1">(10.641*((0.001*ABS(E37))^1.85))/((140^1.85)*((0.001*$D$37)^4.87))*1000</f>
        <v>3.5700720566262798</v>
      </c>
      <c r="H37" s="89">
        <f ca="1">IF(E37&lt;0,((-$C$37*G37)/1000),(($C$37*G37)/1000))</f>
        <v>0.68295478443260726</v>
      </c>
      <c r="I37" s="92">
        <f ca="1">ABS(H37/E37)</f>
        <v>8.7641506775409071E-3</v>
      </c>
      <c r="J37" s="92">
        <f ca="1">H44-H14</f>
        <v>2.9378790102647496</v>
      </c>
      <c r="K37" s="92">
        <f ca="1">J37+E37</f>
        <v>80.863830943377152</v>
      </c>
      <c r="L37" s="92">
        <f ca="1">ABS((4000*K37)/(PI()*($D37^2)))</f>
        <v>1.1439891921765186</v>
      </c>
      <c r="M37" s="67">
        <f ca="1">(10.641*((0.001*ABS(K37))^1.85))/((140^1.85)*((0.001*$D$37)^4.87))*1000</f>
        <v>3.8230549862741969</v>
      </c>
      <c r="N37" s="89">
        <f ca="1">IF(K37&lt;0,((-$C$37*M37)/1000),(($C$37*M37)/1000))</f>
        <v>0.73135041887425389</v>
      </c>
      <c r="O37" s="92">
        <f ca="1">ABS(N37/K37)</f>
        <v>9.044221753312225E-3</v>
      </c>
      <c r="P37" s="92">
        <f ca="1">N44-N14</f>
        <v>9.8118620256612985</v>
      </c>
      <c r="Q37" s="92">
        <f ca="1">P37+K37</f>
        <v>90.675692969038451</v>
      </c>
      <c r="R37" s="92">
        <f ca="1">ABS((4000*Q37)/(PI()*($D37^2)))</f>
        <v>1.2827986448271547</v>
      </c>
      <c r="S37" s="67">
        <f ca="1">(10.641*((0.001*ABS(Q37))^1.85))/((140^1.85)*((0.001*$D$37)^4.87))*1000</f>
        <v>4.7252326999493466</v>
      </c>
      <c r="T37" s="89">
        <f ca="1">IF(Q37&lt;0,((-$C$37*S37)/1000),(($C$37*S37)/1000))</f>
        <v>0.90393701550031003</v>
      </c>
      <c r="U37" s="92">
        <f ca="1">ABS(T37/Q37)</f>
        <v>9.9689011013013445E-3</v>
      </c>
      <c r="V37" s="92">
        <f ca="1">T44-T14</f>
        <v>-1.5976226685945942</v>
      </c>
      <c r="W37" s="92">
        <f ca="1">V37+Q37</f>
        <v>89.078070300443855</v>
      </c>
      <c r="X37" s="92">
        <f ca="1">ABS((4000*W37)/(PI()*($D37^2)))</f>
        <v>1.2601969075024884</v>
      </c>
      <c r="Y37" s="67">
        <f ca="1">(10.641*((0.001*ABS(W37))^1.85))/((140^1.85)*((0.001*$D$37)^4.87))*1000</f>
        <v>4.5723666383917072</v>
      </c>
      <c r="Z37" s="89">
        <f ca="1">IF(W37&lt;0,((-$C$37*Y37)/1000),(($C$37*Y37)/1000))</f>
        <v>0.87469373792433358</v>
      </c>
      <c r="AA37" s="92">
        <f ca="1">ABS(Z37/W37)</f>
        <v>9.8194059994132499E-3</v>
      </c>
      <c r="AB37" s="92">
        <f ca="1">Z44-Z14</f>
        <v>0.96773484410627642</v>
      </c>
      <c r="AC37" s="92">
        <f ca="1">AB37+W37</f>
        <v>90.04580514455013</v>
      </c>
      <c r="AD37" s="92">
        <f ca="1">ABS((4000*AC37)/(PI()*($D37^2)))</f>
        <v>1.2738875549728685</v>
      </c>
      <c r="AE37" s="67">
        <f ca="1">(10.641*((0.001*ABS(AC37))^1.85))/((140^1.85)*((0.001*$D$37)^4.87))*1000</f>
        <v>4.6646870778743095</v>
      </c>
      <c r="AF37" s="89">
        <f ca="1">IF(AC37&lt;0,((-$C$37*AE37)/1000),(($C$37*AE37)/1000))</f>
        <v>0.89235463799735548</v>
      </c>
      <c r="AG37" s="92">
        <f ca="1">ABS(AF37/AC37)</f>
        <v>9.9100078739355214E-3</v>
      </c>
      <c r="AH37" s="92">
        <f ca="1">AF44-AF14</f>
        <v>-0.71508510459205188</v>
      </c>
      <c r="AI37" s="92">
        <f ca="1">AH37+AC37</f>
        <v>89.330720039958081</v>
      </c>
      <c r="AJ37" s="92">
        <f ca="1">ABS((4000*AI37)/(PI()*($D37^2)))</f>
        <v>1.263771170161561</v>
      </c>
      <c r="AK37" s="67">
        <f ca="1">(10.641*((0.001*ABS(AI37))^1.85))/((140^1.85)*((0.001*$D$37)^4.87))*1000</f>
        <v>4.5963872436542061</v>
      </c>
      <c r="AL37" s="89">
        <f ca="1">IF(AI37&lt;0,((-$C$37*AK37)/1000),(($C$37*AK37)/1000))</f>
        <v>0.87928887971104974</v>
      </c>
      <c r="AM37" s="92">
        <f ca="1">ABS(AL37/AI37)</f>
        <v>9.8430739091517391E-3</v>
      </c>
      <c r="AN37" s="92">
        <f ca="1">AL44-AL14</f>
        <v>0.29680083593840856</v>
      </c>
      <c r="AO37" s="92">
        <f ca="1">AN37+AI37</f>
        <v>89.627520875896494</v>
      </c>
      <c r="AP37" s="92">
        <f ca="1">ABS((4000*AO37)/(PI()*($D37^2)))</f>
        <v>1.2679700430640859</v>
      </c>
      <c r="AQ37" s="67">
        <f ca="1">(10.641*((0.001*ABS(AO37))^1.85))/((140^1.85)*((0.001*$D$37)^4.87))*1000</f>
        <v>4.6246793537909934</v>
      </c>
      <c r="AR37" s="89">
        <f ca="1">IF(AO37&lt;0,((-$C$37*AQ37)/1000),(($C$37*AQ37)/1000))</f>
        <v>0.88470116038021707</v>
      </c>
      <c r="AS37" s="92">
        <f ca="1">ABS(AR37/AO37)</f>
        <v>9.8708650170657511E-3</v>
      </c>
      <c r="AT37" s="92">
        <f ca="1">AR44-AR14</f>
        <v>-7.0932387854861501E-3</v>
      </c>
      <c r="AU37" s="92">
        <f ca="1">AT37+AO37</f>
        <v>89.620427637111007</v>
      </c>
      <c r="AV37" s="92">
        <f ca="1">ABS((4000*AU37)/(PI()*($D37^2)))</f>
        <v>1.2678696942627312</v>
      </c>
      <c r="AW37" s="67">
        <f ca="1">(10.641*((0.001*ABS(AU37))^1.85))/((140^1.85)*((0.001*$D$37)^4.87))*1000</f>
        <v>4.6240022707381643</v>
      </c>
      <c r="AX37" s="89">
        <f ca="1">IF(AU37&lt;0,((-$C$37*AW37)/1000),(($C$37*AW37)/1000))</f>
        <v>0.88457163439221087</v>
      </c>
      <c r="AY37" s="92">
        <f ca="1">ABS(AX37/AU37)</f>
        <v>9.8702009989731151E-3</v>
      </c>
      <c r="AZ37" s="92">
        <f ca="1">AX44-AX14</f>
        <v>2.6387132661375073E-2</v>
      </c>
      <c r="BA37" s="92">
        <f ca="1">AZ37+AU37</f>
        <v>89.646814769772377</v>
      </c>
      <c r="BB37" s="92">
        <f ca="1">ABS((4000*BA37)/(PI()*($D37^2)))</f>
        <v>1.2682429958269159</v>
      </c>
      <c r="BC37" s="67">
        <f ca="1">(10.641*((0.001*ABS(BA37))^1.85))/((140^1.85)*((0.001*$D$37)^4.87))*1000</f>
        <v>4.6265212772857502</v>
      </c>
      <c r="BD37" s="89">
        <f ca="1">IF(BA37&lt;0,((-$C$37*BC37)/1000),(($C$37*BC37)/1000))</f>
        <v>0.88505352034476403</v>
      </c>
      <c r="BE37" s="92">
        <f ca="1">ABS(BD37/BA37)</f>
        <v>9.8726711330204605E-3</v>
      </c>
      <c r="BF37" s="92">
        <f ca="1">BD44-BD14</f>
        <v>-8.5537322291331042E-2</v>
      </c>
    </row>
    <row r="38" spans="1:58" x14ac:dyDescent="0.2">
      <c r="A38" s="60" t="s">
        <v>119</v>
      </c>
      <c r="B38" s="83" t="s">
        <v>121</v>
      </c>
      <c r="C38" s="61">
        <v>198.13</v>
      </c>
      <c r="D38" s="66">
        <v>350</v>
      </c>
      <c r="E38" s="61">
        <f>Vazões!E17</f>
        <v>130.56016160180812</v>
      </c>
      <c r="F38" s="92">
        <f>ABS((4000*E38)/(PI()*($D38^2)))</f>
        <v>1.3570151895382485</v>
      </c>
      <c r="G38" s="67">
        <f>(10.641*((0.001*ABS(E38))^1.85))/((140^1.85)*((0.001*$D$38)^4.87))*1000</f>
        <v>4.378082663143811</v>
      </c>
      <c r="H38" s="89">
        <f>IF(E38&lt;0,((-$C$38*G38)/1000),(($C$38*G38)/1000))</f>
        <v>0.86742951804868329</v>
      </c>
      <c r="I38" s="92">
        <f t="shared" ref="I38:I41" si="26">ABS(H38/E38)</f>
        <v>6.643906589930801E-3</v>
      </c>
      <c r="J38" s="92">
        <f ca="1">H44-H25</f>
        <v>2.6906224329774915</v>
      </c>
      <c r="K38" s="92">
        <f t="shared" ref="K38:K41" ca="1" si="27">J38+E38</f>
        <v>133.25078403478562</v>
      </c>
      <c r="L38" s="92">
        <f ca="1">ABS((4000*K38)/(PI()*($D38^2)))</f>
        <v>1.3849809600004401</v>
      </c>
      <c r="M38" s="67">
        <f ca="1">(10.641*((0.001*ABS(K38))^1.85))/((140^1.85)*((0.001*$D$38)^4.87))*1000</f>
        <v>4.5464590249045003</v>
      </c>
      <c r="N38" s="89">
        <f ca="1">IF(K38&lt;0,((-$C$38*M38)/1000),(($C$38*M38)/1000))</f>
        <v>0.90078992660432855</v>
      </c>
      <c r="O38" s="92">
        <f ca="1">ABS(N38/K38)</f>
        <v>6.7601097669277048E-3</v>
      </c>
      <c r="P38" s="92">
        <f ca="1">N44-N25</f>
        <v>8.3062573804379838</v>
      </c>
      <c r="Q38" s="92">
        <f t="shared" ref="Q38:Q41" ca="1" si="28">P38+K38</f>
        <v>141.55704141522361</v>
      </c>
      <c r="R38" s="92">
        <f ca="1">ABS((4000*Q38)/(PI()*($D38^2)))</f>
        <v>1.4713144731883747</v>
      </c>
      <c r="S38" s="67">
        <f ca="1">(10.641*((0.001*ABS(Q38))^1.85))/((140^1.85)*((0.001*$D$38)^4.87))*1000</f>
        <v>5.0846075029090265</v>
      </c>
      <c r="T38" s="89">
        <f ca="1">IF(Q38&lt;0,((-$C$38*S38)/1000),(($C$38*S38)/1000))</f>
        <v>1.0074132845513655</v>
      </c>
      <c r="U38" s="92">
        <f ca="1">ABS(T38/Q38)</f>
        <v>7.1166596481510259E-3</v>
      </c>
      <c r="V38" s="92">
        <f ca="1">T44-T25</f>
        <v>-1.8927825173157613</v>
      </c>
      <c r="W38" s="92">
        <f t="shared" ref="W38:W41" ca="1" si="29">V38+Q38</f>
        <v>139.66425889790784</v>
      </c>
      <c r="X38" s="92">
        <f ca="1">ABS((4000*W38)/(PI()*($D38^2)))</f>
        <v>1.4516412850199678</v>
      </c>
      <c r="Y38" s="67">
        <f ca="1">(10.641*((0.001*ABS(W38))^1.85))/((140^1.85)*((0.001*$D$38)^4.87))*1000</f>
        <v>4.9595465563717616</v>
      </c>
      <c r="Z38" s="89">
        <f ca="1">IF(W38&lt;0,((-$C$38*Y38)/1000),(($C$38*Y38)/1000))</f>
        <v>0.98263495921393718</v>
      </c>
      <c r="AA38" s="92">
        <f ca="1">ABS(Z38/W38)</f>
        <v>7.0356937914389846E-3</v>
      </c>
      <c r="AB38" s="92">
        <f ca="1">Z44-Z25</f>
        <v>1.0915761004324778</v>
      </c>
      <c r="AC38" s="92">
        <f t="shared" ref="AC38:AC41" ca="1" si="30">AB38+W38</f>
        <v>140.75583499834033</v>
      </c>
      <c r="AD38" s="92">
        <f ca="1">ABS((4000*AC38)/(PI()*($D38^2)))</f>
        <v>1.4629869001804452</v>
      </c>
      <c r="AE38" s="67">
        <f ca="1">(10.641*((0.001*ABS(AC38))^1.85))/((140^1.85)*((0.001*$D$38)^4.87))*1000</f>
        <v>5.0314951108121972</v>
      </c>
      <c r="AF38" s="89">
        <f ca="1">IF(AC38&lt;0,((-$C$38*AE38)/1000),(($C$38*AE38)/1000))</f>
        <v>0.99689012630522067</v>
      </c>
      <c r="AG38" s="92">
        <f ca="1">ABS(AF38/AC38)</f>
        <v>7.0824071081456415E-3</v>
      </c>
      <c r="AH38" s="92">
        <f ca="1">AF44-AF25</f>
        <v>-0.63036146034636187</v>
      </c>
      <c r="AI38" s="92">
        <f t="shared" ref="AI38:AI41" ca="1" si="31">AH38+AC38</f>
        <v>140.12547353799397</v>
      </c>
      <c r="AJ38" s="92">
        <f ca="1">ABS((4000*AI38)/(PI()*($D38^2)))</f>
        <v>1.4564350541495064</v>
      </c>
      <c r="AK38" s="67">
        <f ca="1">(10.641*((0.001*ABS(AI38))^1.85))/((140^1.85)*((0.001*$D$38)^4.87))*1000</f>
        <v>4.9898882975665604</v>
      </c>
      <c r="AL38" s="89">
        <f ca="1">IF(AI38&lt;0,((-$C$38*AK38)/1000),(($C$38*AK38)/1000))</f>
        <v>0.9886465683968626</v>
      </c>
      <c r="AM38" s="92">
        <f ca="1">ABS(AL38/AI38)</f>
        <v>7.0554378403495533E-3</v>
      </c>
      <c r="AN38" s="92">
        <f ca="1">AL44-AL25</f>
        <v>0.12784756865233884</v>
      </c>
      <c r="AO38" s="92">
        <f t="shared" ref="AO38:AO41" ca="1" si="32">AN38+AI38</f>
        <v>140.2533211066463</v>
      </c>
      <c r="AP38" s="92">
        <f ca="1">ABS((4000*AO38)/(PI()*($D38^2)))</f>
        <v>1.4577638752115993</v>
      </c>
      <c r="AQ38" s="67">
        <f ca="1">(10.641*((0.001*ABS(AO38))^1.85))/((140^1.85)*((0.001*$D$38)^4.87))*1000</f>
        <v>4.9983140034343423</v>
      </c>
      <c r="AR38" s="89">
        <f ca="1">IF(AO38&lt;0,((-$C$38*AQ38)/1000),(($C$38*AQ38)/1000))</f>
        <v>0.99031595350044621</v>
      </c>
      <c r="AS38" s="92">
        <f ca="1">ABS(AR38/AO38)</f>
        <v>7.0609091156381698E-3</v>
      </c>
      <c r="AT38" s="92">
        <f ca="1">AR44-AR25</f>
        <v>-0.14190590861551824</v>
      </c>
      <c r="AU38" s="92">
        <f t="shared" ref="AU38:AU41" ca="1" si="33">AT38+AO38</f>
        <v>140.11141519803078</v>
      </c>
      <c r="AV38" s="92">
        <f ca="1">ABS((4000*AU38)/(PI()*($D38^2)))</f>
        <v>1.4562889346852252</v>
      </c>
      <c r="AW38" s="67">
        <f ca="1">(10.641*((0.001*ABS(AU38))^1.85))/((140^1.85)*((0.001*$D$38)^4.87))*1000</f>
        <v>4.9889621909609243</v>
      </c>
      <c r="AX38" s="89">
        <f ca="1">IF(AU38&lt;0,((-$C$38*AW38)/1000),(($C$38*AW38)/1000))</f>
        <v>0.988463078895088</v>
      </c>
      <c r="AY38" s="92">
        <f ca="1">ABS(AX38/AU38)</f>
        <v>7.0548361637630544E-3</v>
      </c>
      <c r="AZ38" s="92">
        <f ca="1">AX44-AX25</f>
        <v>2.3303572226915314E-2</v>
      </c>
      <c r="BA38" s="92">
        <f t="shared" ref="BA38:BA41" ca="1" si="34">AZ38+AU38</f>
        <v>140.13471877025771</v>
      </c>
      <c r="BB38" s="92">
        <f ca="1">ABS((4000*BA38)/(PI()*($D38^2)))</f>
        <v>1.456531147172514</v>
      </c>
      <c r="BC38" s="67">
        <f ca="1">(10.641*((0.001*ABS(BA38))^1.85))/((140^1.85)*((0.001*$D$38)^4.87))*1000</f>
        <v>4.9904973791425755</v>
      </c>
      <c r="BD38" s="89">
        <f ca="1">IF(BA38&lt;0,((-$C$38*BC38)/1000),(($C$38*BC38)/1000))</f>
        <v>0.98876724572951846</v>
      </c>
      <c r="BE38" s="92">
        <f ca="1">ABS(BD38/BA38)</f>
        <v>7.05583351796311E-3</v>
      </c>
      <c r="BF38" s="92">
        <f ca="1">BD44-BD25</f>
        <v>-4.741257064988659E-2</v>
      </c>
    </row>
    <row r="39" spans="1:58" x14ac:dyDescent="0.2">
      <c r="A39" s="60" t="s">
        <v>119</v>
      </c>
      <c r="B39" s="86" t="s">
        <v>122</v>
      </c>
      <c r="C39" s="61">
        <v>193.86</v>
      </c>
      <c r="D39" s="66">
        <v>250</v>
      </c>
      <c r="E39" s="61">
        <f>Vazões!H28</f>
        <v>32.638311330281979</v>
      </c>
      <c r="F39" s="92">
        <f>ABS((4000*E39)/(PI()*($D39^2)))</f>
        <v>0.6649022185454837</v>
      </c>
      <c r="G39" s="67">
        <f>(10.641*((0.001*ABS(E39))^1.85))/((140^1.85)*((0.001*$D$39)^4.87))*1000</f>
        <v>1.7340992258147261</v>
      </c>
      <c r="H39" s="89">
        <f>IF(E39&lt;0,((-$C$39*G39)/1000),(($C$39*G39)/1000))</f>
        <v>0.33617247591644278</v>
      </c>
      <c r="I39" s="92">
        <f t="shared" si="26"/>
        <v>1.0299934715205085E-2</v>
      </c>
      <c r="J39" s="92">
        <f ca="1">H44-H34</f>
        <v>-5.3421844447865467</v>
      </c>
      <c r="K39" s="92">
        <f t="shared" ca="1" si="27"/>
        <v>27.296126885495433</v>
      </c>
      <c r="L39" s="92">
        <f ca="1">ABS((4000*K39)/(PI()*($D39^2)))</f>
        <v>0.55607213069954309</v>
      </c>
      <c r="M39" s="67">
        <f ca="1">(10.641*((0.001*ABS(K39))^1.85))/((140^1.85)*((0.001*$D$39)^4.87))*1000</f>
        <v>1.2458467893186598</v>
      </c>
      <c r="N39" s="89">
        <f ca="1">IF(K39&lt;0,((-$C$39*M39)/1000),(($C$39*M39)/1000))</f>
        <v>0.24151985857731539</v>
      </c>
      <c r="O39" s="92">
        <f ca="1">ABS(N39/K39)</f>
        <v>8.8481365722861503E-3</v>
      </c>
      <c r="P39" s="92">
        <f ca="1">N44-N34</f>
        <v>7.5106094678246533</v>
      </c>
      <c r="Q39" s="92">
        <f t="shared" ca="1" si="28"/>
        <v>34.806736353320083</v>
      </c>
      <c r="R39" s="92">
        <f ca="1">ABS((4000*Q39)/(PI()*($D39^2)))</f>
        <v>0.70907701037148962</v>
      </c>
      <c r="S39" s="67">
        <f ca="1">(10.641*((0.001*ABS(Q39))^1.85))/((140^1.85)*((0.001*$D$39)^4.87))*1000</f>
        <v>1.9532365692676639</v>
      </c>
      <c r="T39" s="89">
        <f ca="1">IF(Q39&lt;0,((-$C$39*S39)/1000),(($C$39*S39)/1000))</f>
        <v>0.37865444131822934</v>
      </c>
      <c r="U39" s="92">
        <f ca="1">ABS(T39/Q39)</f>
        <v>1.0878768910550585E-2</v>
      </c>
      <c r="V39" s="92">
        <f ca="1">T44-T34</f>
        <v>-2.7259367186080343</v>
      </c>
      <c r="W39" s="92">
        <f t="shared" ca="1" si="29"/>
        <v>32.080799634712051</v>
      </c>
      <c r="X39" s="92">
        <f ca="1">ABS((4000*W39)/(PI()*($D39^2)))</f>
        <v>0.65354468354625195</v>
      </c>
      <c r="Y39" s="67">
        <f ca="1">(10.641*((0.001*ABS(W39))^1.85))/((140^1.85)*((0.001*$D$39)^4.87))*1000</f>
        <v>1.6796984709371636</v>
      </c>
      <c r="Z39" s="89">
        <f ca="1">IF(W39&lt;0,((-$C$39*Y39)/1000),(($C$39*Y39)/1000))</f>
        <v>0.32562634557587861</v>
      </c>
      <c r="AA39" s="92">
        <f ca="1">ABS(Z39/W39)</f>
        <v>1.0150194174821769E-2</v>
      </c>
      <c r="AB39" s="92">
        <f ca="1">Z44-Z34</f>
        <v>0.91719271266427904</v>
      </c>
      <c r="AC39" s="92">
        <f t="shared" ca="1" si="30"/>
        <v>32.997992347376332</v>
      </c>
      <c r="AD39" s="92">
        <f ca="1">ABS((4000*AC39)/(PI()*($D39^2)))</f>
        <v>0.67222958005676525</v>
      </c>
      <c r="AE39" s="67">
        <f ca="1">(10.641*((0.001*ABS(AC39))^1.85))/((140^1.85)*((0.001*$D$39)^4.87))*1000</f>
        <v>1.7696184691848922</v>
      </c>
      <c r="AF39" s="89">
        <f ca="1">IF(AC39&lt;0,((-$C$39*AE39)/1000),(($C$39*AE39)/1000))</f>
        <v>0.34305823643618322</v>
      </c>
      <c r="AG39" s="92">
        <f ca="1">ABS(AF39/AC39)</f>
        <v>1.0396336626323867E-2</v>
      </c>
      <c r="AH39" s="92">
        <f ca="1">AF44-AF34</f>
        <v>-0.55976098323773449</v>
      </c>
      <c r="AI39" s="92">
        <f t="shared" ca="1" si="31"/>
        <v>32.438231364138595</v>
      </c>
      <c r="AJ39" s="92">
        <f ca="1">ABS((4000*AI39)/(PI()*($D39^2)))</f>
        <v>0.66082622294543525</v>
      </c>
      <c r="AK39" s="67">
        <f ca="1">(10.641*((0.001*ABS(AI39))^1.85))/((140^1.85)*((0.001*$D$39)^4.87))*1000</f>
        <v>1.7144842269907949</v>
      </c>
      <c r="AL39" s="89">
        <f ca="1">IF(AI39&lt;0,((-$C$39*AK39)/1000),(($C$39*AK39)/1000))</f>
        <v>0.33236991224443552</v>
      </c>
      <c r="AM39" s="92">
        <f ca="1">ABS(AL39/AI39)</f>
        <v>1.0246240262404692E-2</v>
      </c>
      <c r="AN39" s="92">
        <f ca="1">AL44-AL34</f>
        <v>0.15342566136791938</v>
      </c>
      <c r="AO39" s="92">
        <f t="shared" ca="1" si="32"/>
        <v>32.591657025506514</v>
      </c>
      <c r="AP39" s="92">
        <f ca="1">ABS((4000*AO39)/(PI()*($D39^2)))</f>
        <v>0.66395178485312767</v>
      </c>
      <c r="AQ39" s="67">
        <f ca="1">(10.641*((0.001*ABS(AO39))^1.85))/((140^1.85)*((0.001*$D$39)^4.87))*1000</f>
        <v>1.7295162688711851</v>
      </c>
      <c r="AR39" s="89">
        <f ca="1">IF(AO39&lt;0,((-$C$39*AQ39)/1000),(($C$39*AQ39)/1000))</f>
        <v>0.33528402388336798</v>
      </c>
      <c r="AS39" s="92">
        <f ca="1">ABS(AR39/AO39)</f>
        <v>1.0287418759376726E-2</v>
      </c>
      <c r="AT39" s="92">
        <f ca="1">AR44-AR34</f>
        <v>-0.14426117363839328</v>
      </c>
      <c r="AU39" s="92">
        <f t="shared" ca="1" si="33"/>
        <v>32.447395851868123</v>
      </c>
      <c r="AV39" s="92">
        <f ca="1">ABS((4000*AU39)/(PI()*($D39^2)))</f>
        <v>0.66101292035638692</v>
      </c>
      <c r="AW39" s="67">
        <f ca="1">(10.641*((0.001*ABS(AU39))^1.85))/((140^1.85)*((0.001*$D$39)^4.87))*1000</f>
        <v>1.7153804341150756</v>
      </c>
      <c r="AX39" s="89">
        <f ca="1">IF(AU39&lt;0,((-$C$39*AW39)/1000),(($C$39*AW39)/1000))</f>
        <v>0.33254365095754856</v>
      </c>
      <c r="AY39" s="92">
        <f ca="1">ABS(AX39/AU39)</f>
        <v>1.0248700773267224E-2</v>
      </c>
      <c r="AZ39" s="92">
        <f ca="1">AX44-AX34</f>
        <v>-6.4617811682035065E-3</v>
      </c>
      <c r="BA39" s="92">
        <f t="shared" ca="1" si="34"/>
        <v>32.440934070699917</v>
      </c>
      <c r="BB39" s="92">
        <f ca="1">ABS((4000*BA39)/(PI()*($D39^2)))</f>
        <v>0.6608812820313823</v>
      </c>
      <c r="BC39" s="67">
        <f ca="1">(10.641*((0.001*ABS(BA39))^1.85))/((140^1.85)*((0.001*$D$39)^4.87))*1000</f>
        <v>1.7147485057928471</v>
      </c>
      <c r="BD39" s="89">
        <f ca="1">IF(BA39&lt;0,((-$C$39*BC39)/1000),(($C$39*BC39)/1000))</f>
        <v>0.33242114533300132</v>
      </c>
      <c r="BE39" s="92">
        <f ca="1">ABS(BD39/BA39)</f>
        <v>1.0246965904512541E-2</v>
      </c>
      <c r="BF39" s="92">
        <f ca="1">BD44-BD34</f>
        <v>-3.9607800743376463E-2</v>
      </c>
    </row>
    <row r="40" spans="1:58" x14ac:dyDescent="0.2">
      <c r="A40" s="60" t="s">
        <v>119</v>
      </c>
      <c r="B40" s="87" t="s">
        <v>123</v>
      </c>
      <c r="C40" s="61">
        <v>231.79</v>
      </c>
      <c r="D40" s="66">
        <f ca="1">IFERROR(IF(OFFSET(Auxiliar!$A$1,MATCH(ABS(E40),IF($H$2="PVC",Auxiliar!$B$1:$B$12,Auxiliar!$C$1:$C$12),1),0)&gt;$J$3,OFFSET(Auxiliar!$A$1,MATCH(ABS(E40),IF($H$2="PVC",Auxiliar!$B$1:$B$12,Auxiliar!$C$1:$C$12),1),0),$J$3),$J$3)</f>
        <v>250</v>
      </c>
      <c r="E40" s="61">
        <f>-Vazões!H27</f>
        <v>-46.987432188236568</v>
      </c>
      <c r="F40" s="92">
        <f ca="1">ABS((4000*E40)/(PI()*($D40^2)))</f>
        <v>0.95722010828199455</v>
      </c>
      <c r="G40" s="67">
        <f ca="1">(10.641*((0.001*ABS(E40))^1.85))/((140^1.85)*((0.001*$D$40)^4.87))*1000</f>
        <v>3.4028585918899905</v>
      </c>
      <c r="H40" s="89">
        <f ca="1">IF(E40&lt;0,((-$C$40*G40)/1000),(($C$40*G40)/1000))</f>
        <v>-0.78874859301418088</v>
      </c>
      <c r="I40" s="92">
        <f t="shared" ca="1" si="26"/>
        <v>1.6786373638260792E-2</v>
      </c>
      <c r="J40" s="92">
        <f ca="1">H44-H61</f>
        <v>-4.3902492211687694</v>
      </c>
      <c r="K40" s="92">
        <f t="shared" ca="1" si="27"/>
        <v>-51.377681409405341</v>
      </c>
      <c r="L40" s="92">
        <f ca="1">ABS((4000*K40)/(PI()*($D40^2)))</f>
        <v>1.0466575309961519</v>
      </c>
      <c r="M40" s="67">
        <f ca="1">(10.641*((0.001*ABS(K40))^1.85))/((140^1.85)*((0.001*$D$40)^4.87))*1000</f>
        <v>4.0143068129962058</v>
      </c>
      <c r="N40" s="89">
        <f ca="1">IF(K40&lt;0,((-$C$40*M40)/1000),(($C$40*M40)/1000))</f>
        <v>-0.93047617618439049</v>
      </c>
      <c r="O40" s="92">
        <f ca="1">ABS(N40/K40)</f>
        <v>1.8110513177304551E-2</v>
      </c>
      <c r="P40" s="92">
        <f ca="1">N44-N61</f>
        <v>6.5039924194388394</v>
      </c>
      <c r="Q40" s="92">
        <f t="shared" ca="1" si="28"/>
        <v>-44.873688989966503</v>
      </c>
      <c r="R40" s="92">
        <f ca="1">ABS((4000*Q40)/(PI()*($D40^2)))</f>
        <v>0.91415928544275582</v>
      </c>
      <c r="S40" s="67">
        <f ca="1">(10.641*((0.001*ABS(Q40))^1.85))/((140^1.85)*((0.001*$D$40)^4.87))*1000</f>
        <v>3.1250899061648072</v>
      </c>
      <c r="T40" s="89">
        <f ca="1">IF(Q40&lt;0,((-$C$40*S40)/1000),(($C$40*S40)/1000))</f>
        <v>-0.72436458934994064</v>
      </c>
      <c r="U40" s="92">
        <f ca="1">ABS(T40/Q40)</f>
        <v>1.6142300881746192E-2</v>
      </c>
      <c r="V40" s="92">
        <f ca="1">T44-T61</f>
        <v>-3.0402535682809675</v>
      </c>
      <c r="W40" s="92">
        <f t="shared" ca="1" si="29"/>
        <v>-47.91394255824747</v>
      </c>
      <c r="X40" s="92">
        <f ca="1">ABS((4000*W40)/(PI()*($D40^2)))</f>
        <v>0.97609482254927604</v>
      </c>
      <c r="Y40" s="67">
        <f ca="1">(10.641*((0.001*ABS(W40))^1.85))/((140^1.85)*((0.001*$D$40)^4.87))*1000</f>
        <v>3.528029960296807</v>
      </c>
      <c r="Z40" s="89">
        <f ca="1">IF(W40&lt;0,((-$C$40*Y40)/1000),(($C$40*Y40)/1000))</f>
        <v>-0.81776206449719691</v>
      </c>
      <c r="AA40" s="92">
        <f ca="1">ABS(Z40/W40)</f>
        <v>1.7067309030207006E-2</v>
      </c>
      <c r="AB40" s="92">
        <f ca="1">Z44-Z61</f>
        <v>1.0167443675654302</v>
      </c>
      <c r="AC40" s="92">
        <f t="shared" ca="1" si="30"/>
        <v>-46.89719819068204</v>
      </c>
      <c r="AD40" s="92">
        <f ca="1">ABS((4000*AC40)/(PI()*($D40^2)))</f>
        <v>0.95538187637853933</v>
      </c>
      <c r="AE40" s="67">
        <f ca="1">(10.641*((0.001*ABS(AC40))^1.85))/((140^1.85)*((0.001*$D$40)^4.87))*1000</f>
        <v>3.3907790773153406</v>
      </c>
      <c r="AF40" s="89">
        <f ca="1">IF(AC40&lt;0,((-$C$40*AE40)/1000),(($C$40*AE40)/1000))</f>
        <v>-0.78594868233092274</v>
      </c>
      <c r="AG40" s="92">
        <f ca="1">ABS(AF40/AC40)</f>
        <v>1.6758968822301247E-2</v>
      </c>
      <c r="AH40" s="92">
        <f ca="1">AF44-AF61</f>
        <v>-0.70519018036175096</v>
      </c>
      <c r="AI40" s="92">
        <f t="shared" ca="1" si="31"/>
        <v>-47.602388371043794</v>
      </c>
      <c r="AJ40" s="92">
        <f ca="1">ABS((4000*AI40)/(PI()*($D40^2)))</f>
        <v>0.96974789276566731</v>
      </c>
      <c r="AK40" s="67">
        <f ca="1">(10.641*((0.001*ABS(AI40))^1.85))/((140^1.85)*((0.001*$D$40)^4.87))*1000</f>
        <v>3.4857072522931203</v>
      </c>
      <c r="AL40" s="89">
        <f ca="1">IF(AI40&lt;0,((-$C$40*AK40)/1000),(($C$40*AK40)/1000))</f>
        <v>-0.8079520840090223</v>
      </c>
      <c r="AM40" s="92">
        <f ca="1">ABS(AL40/AI40)</f>
        <v>1.697293164601997E-2</v>
      </c>
      <c r="AN40" s="92">
        <f ca="1">AL44-AL61</f>
        <v>0.20784740737047111</v>
      </c>
      <c r="AO40" s="92">
        <f t="shared" ca="1" si="32"/>
        <v>-47.394540963673322</v>
      </c>
      <c r="AP40" s="92">
        <f ca="1">ABS((4000*AO40)/(PI()*($D40^2)))</f>
        <v>0.9655136601523111</v>
      </c>
      <c r="AQ40" s="67">
        <f ca="1">(10.641*((0.001*ABS(AO40))^1.85))/((140^1.85)*((0.001*$D$40)^4.87))*1000</f>
        <v>3.4576030238578195</v>
      </c>
      <c r="AR40" s="89">
        <f ca="1">IF(AO40&lt;0,((-$C$40*AQ40)/1000),(($C$40*AQ40)/1000))</f>
        <v>-0.80143780490000394</v>
      </c>
      <c r="AS40" s="92">
        <f ca="1">ABS(AR40/AO40)</f>
        <v>1.6909918075043391E-2</v>
      </c>
      <c r="AT40" s="92">
        <f ca="1">AR44-AR61</f>
        <v>-0.18549548789390605</v>
      </c>
      <c r="AU40" s="92">
        <f t="shared" ca="1" si="33"/>
        <v>-47.580036451567224</v>
      </c>
      <c r="AV40" s="92">
        <f ca="1">ABS((4000*AU40)/(PI()*($D40^2)))</f>
        <v>0.9692925432012145</v>
      </c>
      <c r="AW40" s="67">
        <f ca="1">(10.641*((0.001*ABS(AU40))^1.85))/((140^1.85)*((0.001*$D$40)^4.87))*1000</f>
        <v>3.4826799064284377</v>
      </c>
      <c r="AX40" s="89">
        <f ca="1">IF(AU40&lt;0,((-$C$40*AW40)/1000),(($C$40*AW40)/1000))</f>
        <v>-0.8072503755110475</v>
      </c>
      <c r="AY40" s="92">
        <f ca="1">ABS(AX40/AU40)</f>
        <v>1.6966157147289402E-2</v>
      </c>
      <c r="AZ40" s="92">
        <f ca="1">AX44-AX61</f>
        <v>2.2685735642640412E-3</v>
      </c>
      <c r="BA40" s="92">
        <f t="shared" ca="1" si="34"/>
        <v>-47.577767878002959</v>
      </c>
      <c r="BB40" s="92">
        <f ca="1">ABS((4000*BA40)/(PI()*($D40^2)))</f>
        <v>0.96924632820005985</v>
      </c>
      <c r="BC40" s="67">
        <f ca="1">(10.641*((0.001*ABS(BA40))^1.85))/((140^1.85)*((0.001*$D$40)^4.87))*1000</f>
        <v>3.4823727181891817</v>
      </c>
      <c r="BD40" s="89">
        <f ca="1">IF(BA40&lt;0,((-$C$40*BC40)/1000),(($C$40*BC40)/1000))</f>
        <v>-0.80717917234907044</v>
      </c>
      <c r="BE40" s="92">
        <f ca="1">ABS(BD40/BA40)</f>
        <v>1.6965469553317583E-2</v>
      </c>
      <c r="BF40" s="92">
        <f ca="1">BD44-BD61</f>
        <v>-5.4052077050209667E-2</v>
      </c>
    </row>
    <row r="41" spans="1:58" x14ac:dyDescent="0.2">
      <c r="A41" s="60" t="s">
        <v>119</v>
      </c>
      <c r="B41" s="88" t="s">
        <v>124</v>
      </c>
      <c r="C41" s="61">
        <v>229.48</v>
      </c>
      <c r="D41" s="66">
        <v>250</v>
      </c>
      <c r="E41" s="61">
        <f>-Vazões!H18</f>
        <v>-37.810233475619398</v>
      </c>
      <c r="F41" s="92">
        <f>ABS((4000*E41)/(PI()*($D41^2)))</f>
        <v>0.77026375130924563</v>
      </c>
      <c r="G41" s="67">
        <f>(10.641*((0.001*ABS(E41))^1.85))/((140^1.85)*((0.001*$D$41)^4.87))*1000</f>
        <v>2.2764339258614688</v>
      </c>
      <c r="H41" s="89">
        <f>IF(E41&lt;0,((-$C$41*G41)/1000),(($C$41*G41)/1000))</f>
        <v>-0.52239605730668981</v>
      </c>
      <c r="I41" s="92">
        <f t="shared" si="26"/>
        <v>1.3816261082956248E-2</v>
      </c>
      <c r="J41" s="92">
        <f ca="1">H44-H53</f>
        <v>-31.937693322961159</v>
      </c>
      <c r="K41" s="92">
        <f t="shared" ca="1" si="27"/>
        <v>-69.747926798580551</v>
      </c>
      <c r="L41" s="92">
        <f ca="1">ABS((4000*K41)/(PI()*($D41^2)))</f>
        <v>1.4208930970119384</v>
      </c>
      <c r="M41" s="67">
        <f ca="1">(10.641*((0.001*ABS(K41))^1.85))/((140^1.85)*((0.001*$D$41)^4.87))*1000</f>
        <v>7.066602222381257</v>
      </c>
      <c r="N41" s="89">
        <f ca="1">IF(K41&lt;0,((-$C$41*M41)/1000),(($C$41*M41)/1000))</f>
        <v>-1.6216438779920508</v>
      </c>
      <c r="O41" s="92">
        <f ca="1">ABS(N41/K41)</f>
        <v>2.3250065663959679E-2</v>
      </c>
      <c r="P41" s="92">
        <f ca="1">N44-N53</f>
        <v>9.3897224812100344</v>
      </c>
      <c r="Q41" s="92">
        <f t="shared" ca="1" si="28"/>
        <v>-60.358204317370515</v>
      </c>
      <c r="R41" s="92">
        <f ca="1">ABS((4000*Q41)/(PI()*($D41^2)))</f>
        <v>1.2296072413772923</v>
      </c>
      <c r="S41" s="67">
        <f ca="1">(10.641*((0.001*ABS(Q41))^1.85))/((140^1.85)*((0.001*$D$41)^4.87))*1000</f>
        <v>5.4080401850792787</v>
      </c>
      <c r="T41" s="89">
        <f ca="1">IF(Q41&lt;0,((-$C$41*S41)/1000),(($C$41*S41)/1000))</f>
        <v>-1.2410370616719928</v>
      </c>
      <c r="U41" s="92">
        <f ca="1">ABS(T41/Q41)</f>
        <v>2.0561199189201761E-2</v>
      </c>
      <c r="V41" s="92">
        <f ca="1">T44-T53</f>
        <v>-5.0192812657917054</v>
      </c>
      <c r="W41" s="92">
        <f t="shared" ca="1" si="29"/>
        <v>-65.377485583162226</v>
      </c>
      <c r="X41" s="92">
        <f ca="1">ABS((4000*W41)/(PI()*($D41^2)))</f>
        <v>1.3318591996773623</v>
      </c>
      <c r="Y41" s="67">
        <f ca="1">(10.641*((0.001*ABS(W41))^1.85))/((140^1.85)*((0.001*$D$41)^4.87))*1000</f>
        <v>6.269312672047632</v>
      </c>
      <c r="Z41" s="89">
        <f ca="1">IF(W41&lt;0,((-$C$41*Y41)/1000),(($C$41*Y41)/1000))</f>
        <v>-1.4386818719814904</v>
      </c>
      <c r="AA41" s="92">
        <f ca="1">ABS(Z41/W41)</f>
        <v>2.200576940438374E-2</v>
      </c>
      <c r="AB41" s="92">
        <f ca="1">Z44-Z53</f>
        <v>1.9331905153880458</v>
      </c>
      <c r="AC41" s="92">
        <f t="shared" ca="1" si="30"/>
        <v>-63.444295067774178</v>
      </c>
      <c r="AD41" s="92">
        <f ca="1">ABS((4000*AC41)/(PI()*($D41^2)))</f>
        <v>1.292476565890178</v>
      </c>
      <c r="AE41" s="67">
        <f ca="1">(10.641*((0.001*ABS(AC41))^1.85))/((140^1.85)*((0.001*$D$41)^4.87))*1000</f>
        <v>5.9306733019496418</v>
      </c>
      <c r="AF41" s="89">
        <f ca="1">IF(AC41&lt;0,((-$C$41*AE41)/1000),(($C$41*AE41)/1000))</f>
        <v>-1.3609709093314037</v>
      </c>
      <c r="AG41" s="92">
        <f ca="1">ABS(AF41/AC41)</f>
        <v>2.1451430863524461E-2</v>
      </c>
      <c r="AH41" s="92">
        <f ca="1">AF44-AF53</f>
        <v>-0.9569875173992296</v>
      </c>
      <c r="AI41" s="92">
        <f t="shared" ca="1" si="31"/>
        <v>-64.401282585173405</v>
      </c>
      <c r="AJ41" s="92">
        <f ca="1">ABS((4000*AI41)/(PI()*($D41^2)))</f>
        <v>1.311972155505708</v>
      </c>
      <c r="AK41" s="67">
        <f ca="1">(10.641*((0.001*ABS(AI41))^1.85))/((140^1.85)*((0.001*$D$41)^4.87))*1000</f>
        <v>6.0972301817202785</v>
      </c>
      <c r="AL41" s="89">
        <f ca="1">IF(AI41&lt;0,((-$C$41*AK41)/1000),(($C$41*AK41)/1000))</f>
        <v>-1.3991923821011694</v>
      </c>
      <c r="AM41" s="92">
        <f ca="1">ABS(AL41/AI41)</f>
        <v>2.1726157087798344E-2</v>
      </c>
      <c r="AN41" s="92">
        <f ca="1">AL44-AL53</f>
        <v>0.38139830911619355</v>
      </c>
      <c r="AO41" s="92">
        <f t="shared" ca="1" si="32"/>
        <v>-64.019884276057212</v>
      </c>
      <c r="AP41" s="92">
        <f ca="1">ABS((4000*AO41)/(PI()*($D41^2)))</f>
        <v>1.3042023729543184</v>
      </c>
      <c r="AQ41" s="67">
        <f ca="1">(10.641*((0.001*ABS(AO41))^1.85))/((140^1.85)*((0.001*$D$41)^4.87))*1000</f>
        <v>6.0305965063163427</v>
      </c>
      <c r="AR41" s="89">
        <f ca="1">IF(AO41&lt;0,((-$C$41*AQ41)/1000),(($C$41*AQ41)/1000))</f>
        <v>-1.3839012862694742</v>
      </c>
      <c r="AS41" s="92">
        <f ca="1">ABS(AR41/AO41)</f>
        <v>2.161674145335872E-2</v>
      </c>
      <c r="AT41" s="92">
        <f ca="1">AR44-AR53</f>
        <v>-0.21556448190441907</v>
      </c>
      <c r="AU41" s="92">
        <f t="shared" ca="1" si="33"/>
        <v>-64.235448757961635</v>
      </c>
      <c r="AV41" s="92">
        <f ca="1">ABS((4000*AU41)/(PI()*($D41^2)))</f>
        <v>1.3085938165191351</v>
      </c>
      <c r="AW41" s="67">
        <f ca="1">(10.641*((0.001*ABS(AU41))^1.85))/((140^1.85)*((0.001*$D$41)^4.87))*1000</f>
        <v>6.0682162007294611</v>
      </c>
      <c r="AX41" s="89">
        <f ca="1">IF(AU41&lt;0,((-$C$41*AW41)/1000),(($C$41*AW41)/1000))</f>
        <v>-1.3925342537433967</v>
      </c>
      <c r="AY41" s="92">
        <f ca="1">ABS(AX41/AU41)</f>
        <v>2.1678594618221605E-2</v>
      </c>
      <c r="AZ41" s="92">
        <f ca="1">AX44-AX53</f>
        <v>6.0401000005815289E-2</v>
      </c>
      <c r="BA41" s="92">
        <f t="shared" ca="1" si="34"/>
        <v>-64.175047757955824</v>
      </c>
      <c r="BB41" s="92">
        <f ca="1">ABS((4000*BA41)/(PI()*($D41^2)))</f>
        <v>1.307363337451152</v>
      </c>
      <c r="BC41" s="67">
        <f ca="1">(10.641*((0.001*ABS(BA41))^1.85))/((140^1.85)*((0.001*$D$41)^4.87))*1000</f>
        <v>6.0576643523938563</v>
      </c>
      <c r="BD41" s="89">
        <f ca="1">IF(BA41&lt;0,((-$C$41*BC41)/1000),(($C$41*BC41)/1000))</f>
        <v>-1.3901128155873421</v>
      </c>
      <c r="BE41" s="92">
        <f ca="1">ABS(BD41/BA41)</f>
        <v>2.16612665537909E-2</v>
      </c>
      <c r="BF41" s="92">
        <f ca="1">BD44-BD53</f>
        <v>-4.6655648391834816E-2</v>
      </c>
    </row>
    <row r="42" spans="1:58" x14ac:dyDescent="0.2"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</row>
    <row r="43" spans="1:58" x14ac:dyDescent="0.2">
      <c r="F43" s="63"/>
      <c r="G43" s="65" t="s">
        <v>86</v>
      </c>
      <c r="H43" s="91">
        <f ca="1">SUM(H37:H41)</f>
        <v>0.57541212807686259</v>
      </c>
      <c r="I43" s="91">
        <f ca="1">SUM(I37:I41)</f>
        <v>5.6310626703893835E-2</v>
      </c>
      <c r="J43" s="63"/>
      <c r="K43" s="63"/>
      <c r="L43" s="63"/>
      <c r="M43" s="91" t="s">
        <v>87</v>
      </c>
      <c r="N43" s="91">
        <f ca="1">SUM(N37:N41)</f>
        <v>-0.67845985012054366</v>
      </c>
      <c r="O43" s="91">
        <f ca="1">SUM(O37:O41)</f>
        <v>6.6013046933790315E-2</v>
      </c>
      <c r="P43" s="63"/>
      <c r="Q43" s="63"/>
      <c r="R43" s="63"/>
      <c r="S43" s="91" t="s">
        <v>88</v>
      </c>
      <c r="T43" s="91">
        <f ca="1">SUM(T37:T41)</f>
        <v>0.3246030903479713</v>
      </c>
      <c r="U43" s="91">
        <f ca="1">SUM(U37:U41)</f>
        <v>6.4667829730950921E-2</v>
      </c>
      <c r="V43" s="63"/>
      <c r="W43" s="63"/>
      <c r="X43" s="63"/>
      <c r="Y43" s="91" t="s">
        <v>89</v>
      </c>
      <c r="Z43" s="91">
        <f ca="1">SUM(Z37:Z41)</f>
        <v>-7.3488893764538155E-2</v>
      </c>
      <c r="AA43" s="91">
        <f ca="1">SUM(AA37:AA41)</f>
        <v>6.6078372400264748E-2</v>
      </c>
      <c r="AB43" s="63"/>
      <c r="AC43" s="63"/>
      <c r="AD43" s="63"/>
      <c r="AE43" s="91" t="s">
        <v>90</v>
      </c>
      <c r="AF43" s="91">
        <f ca="1">SUM(AF37:AF41)</f>
        <v>8.5383409076432715E-2</v>
      </c>
      <c r="AG43" s="91">
        <f ca="1">SUM(AG37:AG41)</f>
        <v>6.5599151294230745E-2</v>
      </c>
      <c r="AH43" s="63"/>
      <c r="AI43" s="63"/>
      <c r="AJ43" s="63"/>
      <c r="AK43" s="91" t="s">
        <v>91</v>
      </c>
      <c r="AL43" s="91">
        <f ca="1">SUM(AL37:AL41)</f>
        <v>-6.8391057578438552E-3</v>
      </c>
      <c r="AM43" s="91">
        <f ca="1">SUM(AM37:AM41)</f>
        <v>6.5843840745724302E-2</v>
      </c>
      <c r="AN43" s="63"/>
      <c r="AO43" s="63"/>
      <c r="AP43" s="63"/>
      <c r="AQ43" s="91" t="s">
        <v>112</v>
      </c>
      <c r="AR43" s="91">
        <f ca="1">SUM(AR37:AR41)</f>
        <v>2.4962046594553033E-2</v>
      </c>
      <c r="AS43" s="91">
        <f ca="1">SUM(AS37:AS41)</f>
        <v>6.5745852420482753E-2</v>
      </c>
      <c r="AT43" s="63"/>
      <c r="AU43" s="63"/>
      <c r="AV43" s="63"/>
      <c r="AW43" s="91" t="s">
        <v>93</v>
      </c>
      <c r="AX43" s="91">
        <f ca="1">SUM(AX37:AX41)</f>
        <v>5.7937349904035873E-3</v>
      </c>
      <c r="AY43" s="91">
        <f ca="1">SUM(AY37:AY41)</f>
        <v>6.5818489701514396E-2</v>
      </c>
      <c r="AZ43" s="63"/>
      <c r="BA43" s="123" t="s">
        <v>94</v>
      </c>
      <c r="BB43" s="124"/>
      <c r="BC43" s="91" t="s">
        <v>95</v>
      </c>
      <c r="BD43" s="91">
        <f ca="1">SUM(BD37:BD41)</f>
        <v>8.9499234708712017E-3</v>
      </c>
      <c r="BE43" s="91">
        <f ca="1">SUM(BE37:BE41)</f>
        <v>6.5802206662604598E-2</v>
      </c>
      <c r="BF43" s="63"/>
    </row>
    <row r="44" spans="1:58" x14ac:dyDescent="0.2">
      <c r="F44" s="63"/>
      <c r="G44" s="91" t="s">
        <v>96</v>
      </c>
      <c r="H44" s="91">
        <f ca="1">-(H43/(1.85*I43))</f>
        <v>-5.5235326074384172</v>
      </c>
      <c r="I44" s="63"/>
      <c r="J44" s="63"/>
      <c r="K44" s="63"/>
      <c r="L44" s="63"/>
      <c r="M44" s="91" t="s">
        <v>97</v>
      </c>
      <c r="N44" s="91">
        <f ca="1">-(N43/(1.85*O43))</f>
        <v>5.5554935145932625</v>
      </c>
      <c r="O44" s="63"/>
      <c r="P44" s="63"/>
      <c r="Q44" s="63"/>
      <c r="R44" s="63"/>
      <c r="S44" s="91" t="s">
        <v>98</v>
      </c>
      <c r="T44" s="91">
        <f ca="1">-(T43/(1.85*U43))</f>
        <v>-2.7132676424711404</v>
      </c>
      <c r="U44" s="63"/>
      <c r="V44" s="63"/>
      <c r="W44" s="63"/>
      <c r="X44" s="63"/>
      <c r="Y44" s="91" t="s">
        <v>99</v>
      </c>
      <c r="Z44" s="91">
        <f ca="1">-(Z43/(1.85*AA43))</f>
        <v>0.60116078705126597</v>
      </c>
      <c r="AA44" s="63"/>
      <c r="AB44" s="63"/>
      <c r="AC44" s="63"/>
      <c r="AD44" s="63"/>
      <c r="AE44" s="91" t="s">
        <v>100</v>
      </c>
      <c r="AF44" s="91">
        <f ca="1">-(AF43/(1.85*AG43))</f>
        <v>-0.70356389045887047</v>
      </c>
      <c r="AG44" s="63"/>
      <c r="AH44" s="63"/>
      <c r="AI44" s="63"/>
      <c r="AJ44" s="63"/>
      <c r="AK44" s="91" t="s">
        <v>101</v>
      </c>
      <c r="AL44" s="91">
        <f ca="1">-(AL43/(1.85*AM43))</f>
        <v>5.6145174420113096E-2</v>
      </c>
      <c r="AM44" s="63"/>
      <c r="AN44" s="63"/>
      <c r="AO44" s="63"/>
      <c r="AP44" s="63"/>
      <c r="AQ44" s="91" t="s">
        <v>113</v>
      </c>
      <c r="AR44" s="91">
        <f ca="1">-(AR43/(1.85*AS43))</f>
        <v>-0.20522964814452976</v>
      </c>
      <c r="AS44" s="63"/>
      <c r="AT44" s="63"/>
      <c r="AU44" s="63"/>
      <c r="AV44" s="63"/>
      <c r="AW44" s="91" t="s">
        <v>102</v>
      </c>
      <c r="AX44" s="91">
        <f ca="1">-(AX43/(1.85*AY43))</f>
        <v>-4.7581593829694652E-2</v>
      </c>
      <c r="AY44" s="63"/>
      <c r="AZ44" s="63"/>
      <c r="BA44" s="123" t="s">
        <v>103</v>
      </c>
      <c r="BB44" s="124"/>
      <c r="BC44" s="91" t="s">
        <v>104</v>
      </c>
      <c r="BD44" s="91">
        <f ca="1">-(BD43/(1.85*BE43))</f>
        <v>-7.3520277147339344E-2</v>
      </c>
      <c r="BE44" s="63"/>
      <c r="BF44" s="63"/>
    </row>
    <row r="46" spans="1:58" x14ac:dyDescent="0.2">
      <c r="A46" s="70" t="s">
        <v>23</v>
      </c>
      <c r="B46" s="70" t="s">
        <v>24</v>
      </c>
      <c r="C46" s="70" t="s">
        <v>25</v>
      </c>
      <c r="D46" s="70" t="s">
        <v>26</v>
      </c>
      <c r="E46" s="70" t="s">
        <v>27</v>
      </c>
      <c r="F46" s="70" t="s">
        <v>28</v>
      </c>
      <c r="G46" s="70" t="s">
        <v>29</v>
      </c>
      <c r="H46" s="70" t="s">
        <v>30</v>
      </c>
      <c r="I46" s="70" t="s">
        <v>31</v>
      </c>
      <c r="J46" s="70" t="s">
        <v>32</v>
      </c>
      <c r="K46" s="93" t="s">
        <v>33</v>
      </c>
      <c r="L46" s="93" t="s">
        <v>34</v>
      </c>
      <c r="M46" s="93" t="s">
        <v>35</v>
      </c>
      <c r="N46" s="93" t="s">
        <v>36</v>
      </c>
      <c r="O46" s="93" t="s">
        <v>37</v>
      </c>
      <c r="P46" s="93" t="s">
        <v>38</v>
      </c>
      <c r="Q46" s="94" t="s">
        <v>39</v>
      </c>
      <c r="R46" s="94" t="s">
        <v>40</v>
      </c>
      <c r="S46" s="94" t="s">
        <v>41</v>
      </c>
      <c r="T46" s="94" t="s">
        <v>42</v>
      </c>
      <c r="U46" s="94" t="s">
        <v>43</v>
      </c>
      <c r="V46" s="94" t="s">
        <v>44</v>
      </c>
      <c r="W46" s="95" t="s">
        <v>45</v>
      </c>
      <c r="X46" s="95" t="s">
        <v>46</v>
      </c>
      <c r="Y46" s="95" t="s">
        <v>47</v>
      </c>
      <c r="Z46" s="95" t="s">
        <v>48</v>
      </c>
      <c r="AA46" s="95" t="s">
        <v>49</v>
      </c>
      <c r="AB46" s="95" t="s">
        <v>50</v>
      </c>
      <c r="AC46" s="96" t="s">
        <v>51</v>
      </c>
      <c r="AD46" s="96" t="s">
        <v>52</v>
      </c>
      <c r="AE46" s="96" t="s">
        <v>53</v>
      </c>
      <c r="AF46" s="96" t="s">
        <v>54</v>
      </c>
      <c r="AG46" s="96" t="s">
        <v>55</v>
      </c>
      <c r="AH46" s="96" t="s">
        <v>56</v>
      </c>
      <c r="AI46" s="97" t="s">
        <v>57</v>
      </c>
      <c r="AJ46" s="97" t="s">
        <v>58</v>
      </c>
      <c r="AK46" s="97" t="s">
        <v>59</v>
      </c>
      <c r="AL46" s="97" t="s">
        <v>60</v>
      </c>
      <c r="AM46" s="97" t="s">
        <v>61</v>
      </c>
      <c r="AN46" s="97" t="s">
        <v>62</v>
      </c>
      <c r="AO46" s="98" t="s">
        <v>63</v>
      </c>
      <c r="AP46" s="98" t="s">
        <v>64</v>
      </c>
      <c r="AQ46" s="98" t="s">
        <v>65</v>
      </c>
      <c r="AR46" s="98" t="s">
        <v>66</v>
      </c>
      <c r="AS46" s="98" t="s">
        <v>67</v>
      </c>
      <c r="AT46" s="98" t="s">
        <v>68</v>
      </c>
      <c r="AU46" s="99" t="s">
        <v>69</v>
      </c>
      <c r="AV46" s="99" t="s">
        <v>70</v>
      </c>
      <c r="AW46" s="99" t="s">
        <v>71</v>
      </c>
      <c r="AX46" s="99" t="s">
        <v>72</v>
      </c>
      <c r="AY46" s="99" t="s">
        <v>73</v>
      </c>
      <c r="AZ46" s="99" t="s">
        <v>74</v>
      </c>
      <c r="BA46" s="100" t="s">
        <v>75</v>
      </c>
      <c r="BB46" s="100" t="s">
        <v>76</v>
      </c>
      <c r="BC46" s="100" t="s">
        <v>77</v>
      </c>
      <c r="BD46" s="100" t="s">
        <v>78</v>
      </c>
      <c r="BE46" s="100" t="s">
        <v>79</v>
      </c>
      <c r="BF46" s="100" t="s">
        <v>80</v>
      </c>
    </row>
    <row r="47" spans="1:58" x14ac:dyDescent="0.2">
      <c r="A47" s="60" t="s">
        <v>125</v>
      </c>
      <c r="B47" s="82" t="s">
        <v>126</v>
      </c>
      <c r="C47" s="61">
        <v>115.84</v>
      </c>
      <c r="D47" s="66">
        <v>400</v>
      </c>
      <c r="E47" s="61">
        <f>Vazões!B10</f>
        <v>171.32799304762068</v>
      </c>
      <c r="F47" s="92">
        <f>ABS((4000*E47)/(PI()*($D47^2)))</f>
        <v>1.3633848491771356</v>
      </c>
      <c r="G47" s="67">
        <f>(10.641*((0.001*ABS(E47))^1.85))/((140^1.85)*((0.001*$D$47)^4.87))*1000</f>
        <v>3.7774247835436969</v>
      </c>
      <c r="H47" s="89">
        <f>IF(E47&lt;0,((-$C$47*G47)/1000),(($C$47*G47)/1000))</f>
        <v>0.43757688692570185</v>
      </c>
      <c r="I47" s="92">
        <f>ABS(H47/E47)</f>
        <v>2.5540303084276321E-3</v>
      </c>
      <c r="J47" s="92">
        <f ca="1">H53-H14</f>
        <v>34.875572333225911</v>
      </c>
      <c r="K47" s="92">
        <f ca="1">J47+E47</f>
        <v>206.20356538084658</v>
      </c>
      <c r="L47" s="92">
        <f ca="1">ABS((4000*K47)/(PI()*($D47^2)))</f>
        <v>1.6409158356767279</v>
      </c>
      <c r="M47" s="92">
        <f ca="1">(10.641*((0.001*ABS(K47))^1.85))/((140^1.85)*((0.001*$D$47)^4.87))*1000</f>
        <v>5.321834128944591</v>
      </c>
      <c r="N47" s="92">
        <f ca="1">IF(K47&lt;0,((-$C$47*M47)/1000),(($C$47*M47)/1000))</f>
        <v>0.61648126549694138</v>
      </c>
      <c r="O47" s="92">
        <f ca="1">N47/K47</f>
        <v>2.989673162820122E-3</v>
      </c>
      <c r="P47" s="92">
        <f ca="1">N53-N14</f>
        <v>0.422139544451265</v>
      </c>
      <c r="Q47" s="92">
        <f ca="1">P47+K47</f>
        <v>206.62570492529784</v>
      </c>
      <c r="R47" s="92">
        <f ca="1">ABS((4000*Q47)/(PI()*($D47^2)))</f>
        <v>1.6442751154354269</v>
      </c>
      <c r="S47" s="92">
        <f ca="1">(10.641*((0.001*ABS(Q47))^1.85))/((140^1.85)*((0.001*$D$47)^4.87))*1000</f>
        <v>5.3420071335952848</v>
      </c>
      <c r="T47" s="92">
        <f ca="1">IF(Q47&lt;0,((-$C$47*S47)/1000),(($C$47*S47)/1000))</f>
        <v>0.61881810635567791</v>
      </c>
      <c r="U47" s="92">
        <f ca="1">T47/Q47</f>
        <v>2.9948747498739401E-3</v>
      </c>
      <c r="V47" s="92">
        <f ca="1">T53-T14</f>
        <v>3.4216585971971112</v>
      </c>
      <c r="W47" s="92">
        <f ca="1">V47+Q47</f>
        <v>210.04736352249495</v>
      </c>
      <c r="X47" s="92">
        <f ca="1">ABS((4000*W47)/(PI()*($D47^2)))</f>
        <v>1.6715038094012666</v>
      </c>
      <c r="Y47" s="92">
        <f ca="1">(10.641*((0.001*ABS(W47))^1.85))/((140^1.85)*((0.001*$D$47)^4.87))*1000</f>
        <v>5.5068126787505864</v>
      </c>
      <c r="Z47" s="92">
        <f ca="1">IF(W47&lt;0,((-$C$47*Y47)/1000),(($C$47*Y47)/1000))</f>
        <v>0.63790918070646796</v>
      </c>
      <c r="AA47" s="92">
        <f ca="1">Z47/W47</f>
        <v>3.0369778035235911E-3</v>
      </c>
      <c r="AB47" s="92">
        <f ca="1">Z53-Z14</f>
        <v>-0.96545567128176946</v>
      </c>
      <c r="AC47" s="92">
        <f ca="1">AB47+W47</f>
        <v>209.08190785121317</v>
      </c>
      <c r="AD47" s="92">
        <f ca="1">ABS((4000*AC47)/(PI()*($D47^2)))</f>
        <v>1.6638209572802369</v>
      </c>
      <c r="AE47" s="92">
        <f ca="1">(10.641*((0.001*ABS(AC47))^1.85))/((140^1.85)*((0.001*$D$47)^4.87))*1000</f>
        <v>5.4600781643911995</v>
      </c>
      <c r="AF47" s="92">
        <f ca="1">IF(AC47&lt;0,((-$C$47*AE47)/1000),(($C$47*AE47)/1000))</f>
        <v>0.63249545456307654</v>
      </c>
      <c r="AG47" s="92">
        <f ca="1">AF47/AC47</f>
        <v>3.025108490081183E-3</v>
      </c>
      <c r="AH47" s="92">
        <f ca="1">AF53-AF14</f>
        <v>0.2419024128071777</v>
      </c>
      <c r="AI47" s="92">
        <f ca="1">AH47+AC47</f>
        <v>209.32381026402035</v>
      </c>
      <c r="AJ47" s="92">
        <f ca="1">ABS((4000*AI47)/(PI()*($D47^2)))</f>
        <v>1.6657459555174428</v>
      </c>
      <c r="AK47" s="92">
        <f ca="1">(10.641*((0.001*ABS(AI47))^1.85))/((140^1.85)*((0.001*$D$47)^4.87))*1000</f>
        <v>5.4717706762236888</v>
      </c>
      <c r="AL47" s="92">
        <f ca="1">IF(AI47&lt;0,((-$C$47*AK47)/1000),(($C$47*AK47)/1000))</f>
        <v>0.63384991513375211</v>
      </c>
      <c r="AM47" s="92">
        <f ca="1">AL47/AI47</f>
        <v>3.0280832091403101E-3</v>
      </c>
      <c r="AN47" s="92">
        <f ca="1">AL53-AL14</f>
        <v>-8.4597473177785015E-2</v>
      </c>
      <c r="AO47" s="92">
        <f ca="1">AN47+AI47</f>
        <v>209.23921279084257</v>
      </c>
      <c r="AP47" s="92">
        <f ca="1">ABS((4000*AO47)/(PI()*($D47^2)))</f>
        <v>1.6650727502159766</v>
      </c>
      <c r="AQ47" s="92">
        <f ca="1">(10.641*((0.001*ABS(AO47))^1.85))/((140^1.85)*((0.001*$D$47)^4.87))*1000</f>
        <v>5.467680295127038</v>
      </c>
      <c r="AR47" s="92">
        <f ca="1">IF(AO47&lt;0,((-$C$47*AQ47)/1000),(($C$47*AQ47)/1000))</f>
        <v>0.63337608538751611</v>
      </c>
      <c r="AS47" s="92">
        <f ca="1">AR47/AO47</f>
        <v>3.0270429569081042E-3</v>
      </c>
      <c r="AT47" s="92">
        <f ca="1">AR53-AR14</f>
        <v>0.20847124311893295</v>
      </c>
      <c r="AU47" s="92">
        <f ca="1">AT47+AO47</f>
        <v>209.44768403396151</v>
      </c>
      <c r="AV47" s="92">
        <f ca="1">ABS((4000*AU47)/(PI()*($D47^2)))</f>
        <v>1.6667317116577209</v>
      </c>
      <c r="AW47" s="92">
        <f ca="1">(10.641*((0.001*ABS(AU47))^1.85))/((140^1.85)*((0.001*$D$47)^4.87))*1000</f>
        <v>5.4777626451240433</v>
      </c>
      <c r="AX47" s="92">
        <f ca="1">IF(AU47&lt;0,((-$C$47*AW47)/1000),(($C$47*AW47)/1000))</f>
        <v>0.63454402481116912</v>
      </c>
      <c r="AY47" s="92">
        <f ca="1">AX47/AU47</f>
        <v>3.029606308314582E-3</v>
      </c>
      <c r="AZ47" s="92">
        <f ca="1">AX53-AX14</f>
        <v>-3.4013867344440216E-2</v>
      </c>
      <c r="BA47" s="92">
        <f ca="1">AZ47+AU47</f>
        <v>209.41367016661707</v>
      </c>
      <c r="BB47" s="92">
        <f ca="1">ABS((4000*BA47)/(PI()*($D47^2)))</f>
        <v>1.6664610379016438</v>
      </c>
      <c r="BC47" s="92">
        <f ca="1">(10.641*((0.001*ABS(BA47))^1.85))/((140^1.85)*((0.001*$D$47)^4.87))*1000</f>
        <v>5.4761170408234205</v>
      </c>
      <c r="BD47" s="92">
        <f ca="1">IF(BA47&lt;0,((-$C$47*BC47)/1000),(($C$47*BC47)/1000))</f>
        <v>0.63435339800898505</v>
      </c>
      <c r="BE47" s="92">
        <f ca="1">BD47/BA47</f>
        <v>3.0291881017331418E-3</v>
      </c>
      <c r="BF47" s="92">
        <f ca="1">BD53-BD14</f>
        <v>-3.8881673899496219E-2</v>
      </c>
    </row>
    <row r="48" spans="1:58" x14ac:dyDescent="0.2">
      <c r="A48" s="60" t="s">
        <v>125</v>
      </c>
      <c r="B48" s="88" t="s">
        <v>127</v>
      </c>
      <c r="C48" s="61">
        <v>229.48</v>
      </c>
      <c r="D48" s="66">
        <v>250</v>
      </c>
      <c r="E48" s="61">
        <f>Vazões!H18</f>
        <v>37.810233475619398</v>
      </c>
      <c r="F48" s="92">
        <f>ABS((4000*E48)/(PI()*($D48^2)))</f>
        <v>0.77026375130924563</v>
      </c>
      <c r="G48" s="67">
        <f>(10.641*((0.001*ABS(E48))^1.85))/((140^1.85)*((0.001*$D$48)^4.87))*1000</f>
        <v>2.2764339258614688</v>
      </c>
      <c r="H48" s="89">
        <f>IF(E48&lt;0,((-$C$48*G48)/1000),(($C$48*G48)/1000))</f>
        <v>0.52239605730668981</v>
      </c>
      <c r="I48" s="92">
        <f t="shared" ref="I48:I50" si="35">ABS(H48/E48)</f>
        <v>1.3816261082956248E-2</v>
      </c>
      <c r="J48" s="92">
        <f ca="1">H53-H44</f>
        <v>31.937693322961159</v>
      </c>
      <c r="K48" s="92">
        <f t="shared" ref="K48:K50" ca="1" si="36">J48+E48</f>
        <v>69.747926798580551</v>
      </c>
      <c r="L48" s="92">
        <f ca="1">ABS((4000*K48)/(PI()*($D48^2)))</f>
        <v>1.4208930970119384</v>
      </c>
      <c r="M48" s="92">
        <f ca="1">(10.641*((0.001*ABS(K48))^1.85))/((140^1.85)*((0.001*$D$48)^4.87))*1000</f>
        <v>7.066602222381257</v>
      </c>
      <c r="N48" s="92">
        <f ca="1">IF(K48&lt;0,((-$C$48*M48)/1000),(($C$48*M48)/1000))</f>
        <v>1.6216438779920508</v>
      </c>
      <c r="O48" s="92">
        <f ca="1">ABS(N48/K48)</f>
        <v>2.3250065663959679E-2</v>
      </c>
      <c r="P48" s="92">
        <f ca="1">N53-N44</f>
        <v>-9.3897224812100344</v>
      </c>
      <c r="Q48" s="92">
        <f t="shared" ref="Q48:Q50" ca="1" si="37">P48+K48</f>
        <v>60.358204317370515</v>
      </c>
      <c r="R48" s="92">
        <f ca="1">ABS((4000*Q48)/(PI()*($D48^2)))</f>
        <v>1.2296072413772923</v>
      </c>
      <c r="S48" s="92">
        <f ca="1">(10.641*((0.001*ABS(Q48))^1.85))/((140^1.85)*((0.001*$D$48)^4.87))*1000</f>
        <v>5.4080401850792787</v>
      </c>
      <c r="T48" s="92">
        <f ca="1">IF(Q48&lt;0,((-$C$48*S48)/1000),(($C$48*S48)/1000))</f>
        <v>1.2410370616719928</v>
      </c>
      <c r="U48" s="92">
        <f ca="1">ABS(T48/Q48)</f>
        <v>2.0561199189201761E-2</v>
      </c>
      <c r="V48" s="92">
        <f ca="1">T53-T44</f>
        <v>5.0192812657917054</v>
      </c>
      <c r="W48" s="92">
        <f t="shared" ref="W48:W50" ca="1" si="38">V48+Q48</f>
        <v>65.377485583162226</v>
      </c>
      <c r="X48" s="92">
        <f ca="1">ABS((4000*W48)/(PI()*($D48^2)))</f>
        <v>1.3318591996773623</v>
      </c>
      <c r="Y48" s="92">
        <f ca="1">(10.641*((0.001*ABS(W48))^1.85))/((140^1.85)*((0.001*$D$48)^4.87))*1000</f>
        <v>6.269312672047632</v>
      </c>
      <c r="Z48" s="92">
        <f ca="1">IF(W48&lt;0,((-$C$48*Y48)/1000),(($C$48*Y48)/1000))</f>
        <v>1.4386818719814904</v>
      </c>
      <c r="AA48" s="92">
        <f ca="1">ABS(Z48/W48)</f>
        <v>2.200576940438374E-2</v>
      </c>
      <c r="AB48" s="92">
        <f ca="1">Z53-Z44</f>
        <v>-1.9331905153880458</v>
      </c>
      <c r="AC48" s="92">
        <f t="shared" ref="AC48:AC50" ca="1" si="39">AB48+W48</f>
        <v>63.444295067774178</v>
      </c>
      <c r="AD48" s="92">
        <f ca="1">ABS((4000*AC48)/(PI()*($D48^2)))</f>
        <v>1.292476565890178</v>
      </c>
      <c r="AE48" s="92">
        <f ca="1">(10.641*((0.001*ABS(AC48))^1.85))/((140^1.85)*((0.001*$D$48)^4.87))*1000</f>
        <v>5.9306733019496418</v>
      </c>
      <c r="AF48" s="92">
        <f ca="1">IF(AC48&lt;0,((-$C$48*AE48)/1000),(($C$48*AE48)/1000))</f>
        <v>1.3609709093314037</v>
      </c>
      <c r="AG48" s="92">
        <f ca="1">ABS(AF48/AC48)</f>
        <v>2.1451430863524461E-2</v>
      </c>
      <c r="AH48" s="92">
        <f ca="1">AF53-AF44</f>
        <v>0.9569875173992296</v>
      </c>
      <c r="AI48" s="92">
        <f t="shared" ref="AI48:AI50" ca="1" si="40">AH48+AC48</f>
        <v>64.401282585173405</v>
      </c>
      <c r="AJ48" s="92">
        <f ca="1">ABS((4000*AI48)/(PI()*($D48^2)))</f>
        <v>1.311972155505708</v>
      </c>
      <c r="AK48" s="92">
        <f ca="1">(10.641*((0.001*ABS(AI48))^1.85))/((140^1.85)*((0.001*$D$48)^4.87))*1000</f>
        <v>6.0972301817202785</v>
      </c>
      <c r="AL48" s="92">
        <f ca="1">IF(AI48&lt;0,((-$C$48*AK48)/1000),(($C$48*AK48)/1000))</f>
        <v>1.3991923821011694</v>
      </c>
      <c r="AM48" s="92">
        <f ca="1">ABS(AL48/AI48)</f>
        <v>2.1726157087798344E-2</v>
      </c>
      <c r="AN48" s="92">
        <f ca="1">AL53-AL44</f>
        <v>-0.38139830911619355</v>
      </c>
      <c r="AO48" s="92">
        <f t="shared" ref="AO48:AO50" ca="1" si="41">AN48+AI48</f>
        <v>64.019884276057212</v>
      </c>
      <c r="AP48" s="92">
        <f ca="1">ABS((4000*AO48)/(PI()*($D48^2)))</f>
        <v>1.3042023729543184</v>
      </c>
      <c r="AQ48" s="92">
        <f ca="1">(10.641*((0.001*ABS(AO48))^1.85))/((140^1.85)*((0.001*$D$48)^4.87))*1000</f>
        <v>6.0305965063163427</v>
      </c>
      <c r="AR48" s="92">
        <f ca="1">IF(AO48&lt;0,((-$C$48*AQ48)/1000),(($C$48*AQ48)/1000))</f>
        <v>1.3839012862694742</v>
      </c>
      <c r="AS48" s="92">
        <f ca="1">ABS(AR48/AO48)</f>
        <v>2.161674145335872E-2</v>
      </c>
      <c r="AT48" s="92">
        <f ca="1">AR53-AR44</f>
        <v>0.21556448190441907</v>
      </c>
      <c r="AU48" s="92">
        <f t="shared" ref="AU48:AU50" ca="1" si="42">AT48+AO48</f>
        <v>64.235448757961635</v>
      </c>
      <c r="AV48" s="92">
        <f ca="1">ABS((4000*AU48)/(PI()*($D48^2)))</f>
        <v>1.3085938165191351</v>
      </c>
      <c r="AW48" s="92">
        <f ca="1">(10.641*((0.001*ABS(AU48))^1.85))/((140^1.85)*((0.001*$D$48)^4.87))*1000</f>
        <v>6.0682162007294611</v>
      </c>
      <c r="AX48" s="92">
        <f ca="1">IF(AU48&lt;0,((-$C$48*AW48)/1000),(($C$48*AW48)/1000))</f>
        <v>1.3925342537433967</v>
      </c>
      <c r="AY48" s="92">
        <f ca="1">ABS(AX48/AU48)</f>
        <v>2.1678594618221605E-2</v>
      </c>
      <c r="AZ48" s="92">
        <f ca="1">AX53-AX44</f>
        <v>-6.0401000005815289E-2</v>
      </c>
      <c r="BA48" s="92">
        <f t="shared" ref="BA48:BA50" ca="1" si="43">AZ48+AU48</f>
        <v>64.175047757955824</v>
      </c>
      <c r="BB48" s="92">
        <f ca="1">ABS((4000*BA48)/(PI()*($D48^2)))</f>
        <v>1.307363337451152</v>
      </c>
      <c r="BC48" s="92">
        <f ca="1">(10.641*((0.001*ABS(BA48))^1.85))/((140^1.85)*((0.001*$D$48)^4.87))*1000</f>
        <v>6.0576643523938563</v>
      </c>
      <c r="BD48" s="92">
        <f ca="1">IF(BA48&lt;0,((-$C$48*BC48)/1000),(($C$48*BC48)/1000))</f>
        <v>1.3901128155873421</v>
      </c>
      <c r="BE48" s="92">
        <f ca="1">ABS(BD48/BA48)</f>
        <v>2.16612665537909E-2</v>
      </c>
      <c r="BF48" s="92">
        <f ca="1">BD53-BD44</f>
        <v>4.6655648391834816E-2</v>
      </c>
    </row>
    <row r="49" spans="1:58" x14ac:dyDescent="0.2">
      <c r="A49" s="60" t="s">
        <v>125</v>
      </c>
      <c r="B49" s="61" t="s">
        <v>128</v>
      </c>
      <c r="C49" s="61">
        <v>292.64999999999998</v>
      </c>
      <c r="D49" s="66">
        <f ca="1">IFERROR(IF(OFFSET(Auxiliar!$A$1,MATCH(ABS(E49),IF($H$2="PVC",Auxiliar!$B$1:$B$12,Auxiliar!$C$1:$C$12),1),0)&gt;$J$3,OFFSET(Auxiliar!$A$1,MATCH(ABS(E49),IF($H$2="PVC",Auxiliar!$B$1:$B$12,Auxiliar!$C$1:$C$12),1),0),$J$3),$J$3)</f>
        <v>300</v>
      </c>
      <c r="E49" s="61">
        <f>-Vazões!H17</f>
        <v>-88.802942231135717</v>
      </c>
      <c r="F49" s="92">
        <f ca="1">ABS((4000*E49)/(PI()*($D49^2)))</f>
        <v>1.2563046415279355</v>
      </c>
      <c r="G49" s="67">
        <f ca="1">(10.641*((0.001*ABS(E49))^1.85))/((140^1.85)*((0.001*$D$49)^4.87))*1000</f>
        <v>4.5462747007929902</v>
      </c>
      <c r="H49" s="89">
        <f ca="1">IF(E49&lt;0,((-$C$49*G49)/1000),(($C$49*G49)/1000))</f>
        <v>-1.3304672911870685</v>
      </c>
      <c r="I49" s="92">
        <f t="shared" ca="1" si="35"/>
        <v>1.4982243355452536E-2</v>
      </c>
      <c r="J49" s="92">
        <f ca="1">H$53</f>
        <v>26.414160715522744</v>
      </c>
      <c r="K49" s="92">
        <f t="shared" ca="1" si="36"/>
        <v>-62.388781515612976</v>
      </c>
      <c r="L49" s="92">
        <f ca="1">ABS((4000*K49)/(PI()*($D49^2)))</f>
        <v>0.88262070859467323</v>
      </c>
      <c r="M49" s="92">
        <f ca="1">(10.641*((0.001*ABS(K49))^1.85))/((140^1.85)*((0.001*$D$49)^4.87))*1000</f>
        <v>2.3659856082688751</v>
      </c>
      <c r="N49" s="92">
        <f ca="1">IF(K49&lt;0,((-$C$49*M49)/1000),(($C$49*M49)/1000))</f>
        <v>-0.69240568825988624</v>
      </c>
      <c r="O49" s="92">
        <f ca="1">ABS(N49/K49)</f>
        <v>1.1098240283577419E-2</v>
      </c>
      <c r="P49" s="92">
        <f ca="1">N53</f>
        <v>-3.8342289666167719</v>
      </c>
      <c r="Q49" s="92">
        <f t="shared" ca="1" si="37"/>
        <v>-66.223010482229753</v>
      </c>
      <c r="R49" s="92">
        <f ca="1">ABS((4000*Q49)/(PI()*($D49^2)))</f>
        <v>0.93686395241540132</v>
      </c>
      <c r="S49" s="92">
        <f ca="1">(10.641*((0.001*ABS(Q49))^1.85))/((140^1.85)*((0.001*$D$49)^4.87))*1000</f>
        <v>2.6419924263336951</v>
      </c>
      <c r="T49" s="92">
        <f ca="1">IF(Q49&lt;0,((-$C$49*S49)/1000),(($C$49*S49)/1000))</f>
        <v>-0.77317908356655585</v>
      </c>
      <c r="U49" s="92">
        <f ca="1">ABS(T49/Q49)</f>
        <v>1.1675384098915742E-2</v>
      </c>
      <c r="V49" s="92">
        <f ca="1">T53</f>
        <v>2.306013623320565</v>
      </c>
      <c r="W49" s="92">
        <f t="shared" ca="1" si="38"/>
        <v>-63.916996858909187</v>
      </c>
      <c r="X49" s="92">
        <f ca="1">ABS((4000*W49)/(PI()*($D49^2)))</f>
        <v>0.90424053312751507</v>
      </c>
      <c r="Y49" s="92">
        <f ca="1">(10.641*((0.001*ABS(W49))^1.85))/((140^1.85)*((0.001*$D$49)^4.87))*1000</f>
        <v>2.4743169794250086</v>
      </c>
      <c r="Z49" s="92">
        <f ca="1">IF(W49&lt;0,((-$C$49*Y49)/1000),(($C$49*Y49)/1000))</f>
        <v>-0.72410886402872865</v>
      </c>
      <c r="AA49" s="92">
        <f ca="1">ABS(Z49/W49)</f>
        <v>1.1328893715503115E-2</v>
      </c>
      <c r="AB49" s="92">
        <f ca="1">Z53</f>
        <v>-1.3320297283367799</v>
      </c>
      <c r="AC49" s="92">
        <f t="shared" ca="1" si="39"/>
        <v>-65.249026587245964</v>
      </c>
      <c r="AD49" s="92">
        <f ca="1">ABS((4000*AC49)/(PI()*($D49^2)))</f>
        <v>0.92308489895952861</v>
      </c>
      <c r="AE49" s="92">
        <f ca="1">(10.641*((0.001*ABS(AC49))^1.85))/((140^1.85)*((0.001*$D$49)^4.87))*1000</f>
        <v>2.5705557975365307</v>
      </c>
      <c r="AF49" s="92">
        <f ca="1">IF(AC49&lt;0,((-$C$49*AE49)/1000),(($C$49*AE49)/1000))</f>
        <v>-0.7522731541490657</v>
      </c>
      <c r="AG49" s="92">
        <f ca="1">ABS(AF49/AC49)</f>
        <v>1.1529262480922748E-2</v>
      </c>
      <c r="AH49" s="92">
        <f ca="1">AF53</f>
        <v>0.25342362694035914</v>
      </c>
      <c r="AI49" s="92">
        <f t="shared" ca="1" si="40"/>
        <v>-64.995602960305604</v>
      </c>
      <c r="AJ49" s="92">
        <f ca="1">ABS((4000*AI49)/(PI()*($D49^2)))</f>
        <v>0.91949968803296545</v>
      </c>
      <c r="AK49" s="92">
        <f ca="1">(10.641*((0.001*ABS(AI49))^1.85))/((140^1.85)*((0.001*$D$49)^4.87))*1000</f>
        <v>2.5521160819979132</v>
      </c>
      <c r="AL49" s="92">
        <f ca="1">IF(AI49&lt;0,((-$C$49*AK49)/1000),(($C$49*AK49)/1000))</f>
        <v>-0.74687677139668929</v>
      </c>
      <c r="AM49" s="92">
        <f ca="1">ABS(AL49/AI49)</f>
        <v>1.1491189209411983E-2</v>
      </c>
      <c r="AN49" s="92">
        <f ca="1">AL53</f>
        <v>-0.32525313469608047</v>
      </c>
      <c r="AO49" s="92">
        <f t="shared" ca="1" si="41"/>
        <v>-65.320856095001687</v>
      </c>
      <c r="AP49" s="92">
        <f ca="1">ABS((4000*AO49)/(PI()*($D49^2)))</f>
        <v>0.92410107862345581</v>
      </c>
      <c r="AQ49" s="92">
        <f ca="1">(10.641*((0.001*ABS(AO49))^1.85))/((140^1.85)*((0.001*$D$49)^4.87))*1000</f>
        <v>2.5757933784834215</v>
      </c>
      <c r="AR49" s="92">
        <f ca="1">IF(AO49&lt;0,((-$C$49*AQ49)/1000),(($C$49*AQ49)/1000))</f>
        <v>-0.75380593221317327</v>
      </c>
      <c r="AS49" s="92">
        <f ca="1">ABS(AR49/AO49)</f>
        <v>1.1540049798441849E-2</v>
      </c>
      <c r="AT49" s="92">
        <f ca="1">AR53</f>
        <v>1.033483375988932E-2</v>
      </c>
      <c r="AU49" s="92">
        <f t="shared" ca="1" si="42"/>
        <v>-65.310521261241803</v>
      </c>
      <c r="AV49" s="92">
        <f ca="1">ABS((4000*AU49)/(PI()*($D49^2)))</f>
        <v>0.92395487063421855</v>
      </c>
      <c r="AW49" s="92">
        <f ca="1">(10.641*((0.001*ABS(AU49))^1.85))/((140^1.85)*((0.001*$D$49)^4.87))*1000</f>
        <v>2.575039493358823</v>
      </c>
      <c r="AX49" s="92">
        <f ca="1">IF(AU49&lt;0,((-$C$49*AW49)/1000),(($C$49*AW49)/1000))</f>
        <v>-0.75358530773145949</v>
      </c>
      <c r="AY49" s="92">
        <f ca="1">ABS(AX49/AU49)</f>
        <v>1.1538497828200168E-2</v>
      </c>
      <c r="AZ49" s="92">
        <f ca="1">AX53</f>
        <v>-0.10798259383550994</v>
      </c>
      <c r="BA49" s="92">
        <f t="shared" ca="1" si="43"/>
        <v>-65.418503855077319</v>
      </c>
      <c r="BB49" s="92">
        <f ca="1">ABS((4000*BA49)/(PI()*($D49^2)))</f>
        <v>0.9254825118410458</v>
      </c>
      <c r="BC49" s="92">
        <f ca="1">(10.641*((0.001*ABS(BA49))^1.85))/((140^1.85)*((0.001*$D$49)^4.87))*1000</f>
        <v>2.5829213996473022</v>
      </c>
      <c r="BD49" s="92">
        <f ca="1">IF(BA49&lt;0,((-$C$49*BC49)/1000),(($C$49*BC49)/1000))</f>
        <v>-0.75589194760678291</v>
      </c>
      <c r="BE49" s="92">
        <f ca="1">ABS(BD49/BA49)</f>
        <v>1.1554711634514337E-2</v>
      </c>
      <c r="BF49" s="92">
        <f ca="1">BD53</f>
        <v>-2.6864628755504529E-2</v>
      </c>
    </row>
    <row r="50" spans="1:58" x14ac:dyDescent="0.2">
      <c r="A50" s="60" t="s">
        <v>125</v>
      </c>
      <c r="B50" s="61" t="s">
        <v>129</v>
      </c>
      <c r="C50" s="61">
        <v>232.02</v>
      </c>
      <c r="D50" s="66">
        <f ca="1">IFERROR(IF(OFFSET(Auxiliar!$A$1,MATCH(ABS(E50),IF($H$2="PVC",Auxiliar!$B$1:$B$12,Auxiliar!$C$1:$C$12),1),0)&gt;$J$3,OFFSET(Auxiliar!$A$1,MATCH(ABS(E50),IF($H$2="PVC",Auxiliar!$B$1:$B$12,Auxiliar!$C$1:$C$12),1),0),$J$3),$J$3)</f>
        <v>325</v>
      </c>
      <c r="E50" s="61">
        <f>-Vazões!E23</f>
        <v>-144.39474987002461</v>
      </c>
      <c r="F50" s="92">
        <f ca="1">ABS((4000*E50)/(PI()*($D50^2)))</f>
        <v>1.7405832481577073</v>
      </c>
      <c r="G50" s="67">
        <f ca="1">(10.641*((0.001*ABS(E50))^1.85))/((140^1.85)*((0.001*$D$50)^4.87))*1000</f>
        <v>7.5673479648623037</v>
      </c>
      <c r="H50" s="89">
        <f ca="1">IF(E50&lt;0,((-$C$50*G50)/1000),(($C$50*G50)/1000))</f>
        <v>-1.7557760748073516</v>
      </c>
      <c r="I50" s="92">
        <f t="shared" ca="1" si="35"/>
        <v>1.2159556191536013E-2</v>
      </c>
      <c r="J50" s="92">
        <f ca="1">H$53</f>
        <v>26.414160715522744</v>
      </c>
      <c r="K50" s="92">
        <f t="shared" ca="1" si="36"/>
        <v>-117.98058915450187</v>
      </c>
      <c r="L50" s="92">
        <f ca="1">ABS((4000*K50)/(PI()*($D50^2)))</f>
        <v>1.4221780035281821</v>
      </c>
      <c r="M50" s="92">
        <f ca="1">(10.641*((0.001*ABS(K50))^1.85))/((140^1.85)*((0.001*$D$50)^4.87))*1000</f>
        <v>5.2074264690175154</v>
      </c>
      <c r="N50" s="92">
        <f ca="1">IF(K50&lt;0,((-$C$50*M50)/1000),(($C$50*M50)/1000))</f>
        <v>-1.208227089341444</v>
      </c>
      <c r="O50" s="92">
        <f ca="1">ABS(N50/K50)</f>
        <v>1.0240897235724142E-2</v>
      </c>
      <c r="P50" s="92">
        <f ca="1">N$53</f>
        <v>-3.8342289666167719</v>
      </c>
      <c r="Q50" s="92">
        <f t="shared" ca="1" si="37"/>
        <v>-121.81481812111865</v>
      </c>
      <c r="R50" s="92">
        <f ca="1">ABS((4000*Q50)/(PI()*($D50^2)))</f>
        <v>1.4683970988547195</v>
      </c>
      <c r="S50" s="92">
        <f ca="1">(10.641*((0.001*ABS(Q50))^1.85))/((140^1.85)*((0.001*$D$50)^4.87))*1000</f>
        <v>5.5248289063579401</v>
      </c>
      <c r="T50" s="92">
        <f ca="1">IF(Q50&lt;0,((-$C$50*S50)/1000),(($C$50*S50)/1000))</f>
        <v>-1.2818708028531693</v>
      </c>
      <c r="U50" s="92">
        <f ca="1">ABS(T50/Q50)</f>
        <v>1.0523110592166417E-2</v>
      </c>
      <c r="V50" s="92">
        <f ca="1">T$53</f>
        <v>2.306013623320565</v>
      </c>
      <c r="W50" s="92">
        <f t="shared" ca="1" si="38"/>
        <v>-119.50880449779808</v>
      </c>
      <c r="X50" s="92">
        <f ca="1">ABS((4000*W50)/(PI()*($D50^2)))</f>
        <v>1.4405996291656329</v>
      </c>
      <c r="Y50" s="92">
        <f ca="1">(10.641*((0.001*ABS(W50))^1.85))/((140^1.85)*((0.001*$D$50)^4.87))*1000</f>
        <v>5.3328998500452665</v>
      </c>
      <c r="Z50" s="92">
        <f ca="1">IF(W50&lt;0,((-$C$50*Y50)/1000),(($C$50*Y50)/1000))</f>
        <v>-1.2373394232075028</v>
      </c>
      <c r="AA50" s="92">
        <f ca="1">ABS(Z50/W50)</f>
        <v>1.0353541970460432E-2</v>
      </c>
      <c r="AB50" s="92">
        <f ca="1">Z$53</f>
        <v>-1.3320297283367799</v>
      </c>
      <c r="AC50" s="92">
        <f t="shared" ca="1" si="39"/>
        <v>-120.84083422613486</v>
      </c>
      <c r="AD50" s="92">
        <f ca="1">ABS((4000*AC50)/(PI()*($D50^2)))</f>
        <v>1.4566563669159878</v>
      </c>
      <c r="AE50" s="92">
        <f ca="1">(10.641*((0.001*ABS(AC50))^1.85))/((140^1.85)*((0.001*$D$50)^4.87))*1000</f>
        <v>5.4433841143219457</v>
      </c>
      <c r="AF50" s="92">
        <f ca="1">IF(AC50&lt;0,((-$C$50*AE50)/1000),(($C$50*AE50)/1000))</f>
        <v>-1.2629739822049777</v>
      </c>
      <c r="AG50" s="92">
        <f ca="1">ABS(AF50/AC50)</f>
        <v>1.0451549679320469E-2</v>
      </c>
      <c r="AH50" s="92">
        <f ca="1">AF$53</f>
        <v>0.25342362694035914</v>
      </c>
      <c r="AI50" s="92">
        <f t="shared" ca="1" si="40"/>
        <v>-120.5874105991945</v>
      </c>
      <c r="AJ50" s="92">
        <f ca="1">ABS((4000*AI50)/(PI()*($D50^2)))</f>
        <v>1.4536015126353661</v>
      </c>
      <c r="AK50" s="92">
        <f ca="1">(10.641*((0.001*ABS(AI50))^1.85))/((140^1.85)*((0.001*$D$50)^4.87))*1000</f>
        <v>5.4222839032932217</v>
      </c>
      <c r="AL50" s="92">
        <f ca="1">IF(AI50&lt;0,((-$C$50*AK50)/1000),(($C$50*AK50)/1000))</f>
        <v>-1.2580783112420935</v>
      </c>
      <c r="AM50" s="92">
        <f ca="1">ABS(AL50/AI50)</f>
        <v>1.0432915882269531E-2</v>
      </c>
      <c r="AN50" s="92">
        <f ca="1">AL$53</f>
        <v>-0.32525313469608047</v>
      </c>
      <c r="AO50" s="92">
        <f t="shared" ca="1" si="41"/>
        <v>-120.91266373389058</v>
      </c>
      <c r="AP50" s="92">
        <f ca="1">ABS((4000*AO50)/(PI()*($D50^2)))</f>
        <v>1.4575222241444228</v>
      </c>
      <c r="AQ50" s="92">
        <f ca="1">(10.641*((0.001*ABS(AO50))^1.85))/((140^1.85)*((0.001*$D$50)^4.87))*1000</f>
        <v>5.4493715323738439</v>
      </c>
      <c r="AR50" s="92">
        <f ca="1">IF(AO50&lt;0,((-$C$50*AQ50)/1000),(($C$50*AQ50)/1000))</f>
        <v>-1.2643631829413793</v>
      </c>
      <c r="AS50" s="92">
        <f ca="1">ABS(AR50/AO50)</f>
        <v>1.0456830111062975E-2</v>
      </c>
      <c r="AT50" s="92">
        <f ca="1">AR$53</f>
        <v>1.033483375988932E-2</v>
      </c>
      <c r="AU50" s="92">
        <f t="shared" ca="1" si="42"/>
        <v>-120.9023289001307</v>
      </c>
      <c r="AV50" s="92">
        <f ca="1">ABS((4000*AU50)/(PI()*($D50^2)))</f>
        <v>1.4573976445559604</v>
      </c>
      <c r="AW50" s="92">
        <f ca="1">(10.641*((0.001*ABS(AU50))^1.85))/((140^1.85)*((0.001*$D$50)^4.87))*1000</f>
        <v>5.4485098760559216</v>
      </c>
      <c r="AX50" s="92">
        <f ca="1">IF(AU50&lt;0,((-$C$50*AW50)/1000),(($C$50*AW50)/1000))</f>
        <v>-1.2641632614424949</v>
      </c>
      <c r="AY50" s="92">
        <f ca="1">ABS(AX50/AU50)</f>
        <v>1.045607039122245E-2</v>
      </c>
      <c r="AZ50" s="92">
        <f ca="1">AX$53</f>
        <v>-0.10798259383550994</v>
      </c>
      <c r="BA50" s="92">
        <f t="shared" ca="1" si="43"/>
        <v>-121.01031149396621</v>
      </c>
      <c r="BB50" s="92">
        <f ca="1">ABS((4000*BA50)/(PI()*($D50^2)))</f>
        <v>1.4586993033357423</v>
      </c>
      <c r="BC50" s="92">
        <f ca="1">(10.641*((0.001*ABS(BA50))^1.85))/((140^1.85)*((0.001*$D$50)^4.87))*1000</f>
        <v>5.4575159057027012</v>
      </c>
      <c r="BD50" s="92">
        <f ca="1">IF(BA50&lt;0,((-$C$50*BC50)/1000),(($C$50*BC50)/1000))</f>
        <v>-1.2662528404411408</v>
      </c>
      <c r="BE50" s="92">
        <f ca="1">ABS(BD50/BA50)</f>
        <v>1.0464007775934685E-2</v>
      </c>
      <c r="BF50" s="92">
        <f ca="1">BD$53</f>
        <v>-2.6864628755504529E-2</v>
      </c>
    </row>
    <row r="51" spans="1:58" x14ac:dyDescent="0.2"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</row>
    <row r="52" spans="1:58" x14ac:dyDescent="0.2">
      <c r="E52" s="63"/>
      <c r="G52" s="65" t="s">
        <v>86</v>
      </c>
      <c r="H52" s="91">
        <f ca="1">SUM(H47:H50)</f>
        <v>-2.1262704217620287</v>
      </c>
      <c r="I52" s="91">
        <f ca="1">SUM(I47:I50)</f>
        <v>4.3512090938372425E-2</v>
      </c>
      <c r="J52" s="63"/>
      <c r="K52" s="63"/>
      <c r="L52" s="63"/>
      <c r="M52" s="91" t="s">
        <v>87</v>
      </c>
      <c r="N52" s="91">
        <f ca="1">SUM(N47:N50)</f>
        <v>0.33749236588766207</v>
      </c>
      <c r="O52" s="91">
        <f ca="1">SUM(O47:O50)</f>
        <v>4.7578876346081364E-2</v>
      </c>
      <c r="P52" s="63"/>
      <c r="Q52" s="63"/>
      <c r="R52" s="63"/>
      <c r="S52" s="91" t="s">
        <v>88</v>
      </c>
      <c r="T52" s="91">
        <f ca="1">SUM(T47:T50)</f>
        <v>-0.1951947183920546</v>
      </c>
      <c r="U52" s="91">
        <f ca="1">SUM(U47:U50)</f>
        <v>4.5754568630157859E-2</v>
      </c>
      <c r="V52" s="63"/>
      <c r="W52" s="63"/>
      <c r="X52" s="63"/>
      <c r="Y52" s="91" t="s">
        <v>89</v>
      </c>
      <c r="Z52" s="91">
        <f ca="1">SUM(Z47:Z50)</f>
        <v>0.11514276545172697</v>
      </c>
      <c r="AA52" s="91">
        <f ca="1">SUM(AA47:AA50)</f>
        <v>4.672518289387087E-2</v>
      </c>
      <c r="AB52" s="63"/>
      <c r="AC52" s="63"/>
      <c r="AD52" s="63"/>
      <c r="AE52" s="91" t="s">
        <v>90</v>
      </c>
      <c r="AF52" s="91">
        <f ca="1">SUM(AF47:AF50)</f>
        <v>-2.1780772459563114E-2</v>
      </c>
      <c r="AG52" s="91">
        <f ca="1">SUM(AG47:AG50)</f>
        <v>4.645735151384886E-2</v>
      </c>
      <c r="AH52" s="63"/>
      <c r="AI52" s="63"/>
      <c r="AJ52" s="63"/>
      <c r="AK52" s="91" t="s">
        <v>91</v>
      </c>
      <c r="AL52" s="91">
        <f ca="1">SUM(AL47:AL50)</f>
        <v>2.8087214596138832E-2</v>
      </c>
      <c r="AM52" s="91">
        <f ca="1">SUM(AM47:AM50)</f>
        <v>4.6678345388620167E-2</v>
      </c>
      <c r="AN52" s="63"/>
      <c r="AO52" s="63"/>
      <c r="AP52" s="63"/>
      <c r="AQ52" s="91" t="s">
        <v>112</v>
      </c>
      <c r="AR52" s="91">
        <f ca="1">SUM(AR47:AR50)</f>
        <v>-8.9174349756193649E-4</v>
      </c>
      <c r="AS52" s="91">
        <f ca="1">SUM(AS47:AS50)</f>
        <v>4.6640664319771652E-2</v>
      </c>
      <c r="AT52" s="63"/>
      <c r="AU52" s="63"/>
      <c r="AV52" s="63"/>
      <c r="AW52" s="91" t="s">
        <v>93</v>
      </c>
      <c r="AX52" s="91">
        <f ca="1">SUM(AX47:AX50)</f>
        <v>9.329709380611062E-3</v>
      </c>
      <c r="AY52" s="91">
        <f ca="1">SUM(AY47:AY50)</f>
        <v>4.6702769145958806E-2</v>
      </c>
      <c r="AZ52" s="63"/>
      <c r="BA52" s="123" t="s">
        <v>94</v>
      </c>
      <c r="BB52" s="124"/>
      <c r="BC52" s="91" t="s">
        <v>95</v>
      </c>
      <c r="BD52" s="91">
        <f ca="1">SUM(BD47:BD50)</f>
        <v>2.3214255484034219E-3</v>
      </c>
      <c r="BE52" s="91">
        <f ca="1">SUM(BE47:BE50)</f>
        <v>4.6709174065973066E-2</v>
      </c>
      <c r="BF52" s="63"/>
    </row>
    <row r="53" spans="1:58" x14ac:dyDescent="0.2">
      <c r="E53" s="63"/>
      <c r="G53" s="91" t="s">
        <v>96</v>
      </c>
      <c r="H53" s="91">
        <f ca="1">-(H52/(1.85*I52))</f>
        <v>26.414160715522744</v>
      </c>
      <c r="I53" s="63"/>
      <c r="J53" s="63"/>
      <c r="K53" s="63"/>
      <c r="L53" s="63"/>
      <c r="M53" s="91" t="s">
        <v>97</v>
      </c>
      <c r="N53" s="91">
        <f ca="1">-(N52/(1.85*O52))</f>
        <v>-3.8342289666167719</v>
      </c>
      <c r="O53" s="63"/>
      <c r="P53" s="63"/>
      <c r="Q53" s="63"/>
      <c r="R53" s="63"/>
      <c r="S53" s="91" t="s">
        <v>98</v>
      </c>
      <c r="T53" s="91">
        <f ca="1">-(T52/(1.85*U52))</f>
        <v>2.306013623320565</v>
      </c>
      <c r="U53" s="63"/>
      <c r="V53" s="63"/>
      <c r="W53" s="63"/>
      <c r="X53" s="63"/>
      <c r="Y53" s="91" t="s">
        <v>99</v>
      </c>
      <c r="Z53" s="91">
        <f ca="1">-(Z52/(1.85*AA52))</f>
        <v>-1.3320297283367799</v>
      </c>
      <c r="AA53" s="63"/>
      <c r="AB53" s="63"/>
      <c r="AC53" s="63"/>
      <c r="AD53" s="63"/>
      <c r="AE53" s="91" t="s">
        <v>100</v>
      </c>
      <c r="AF53" s="91">
        <f ca="1">-(AF52/(1.85*AG52))</f>
        <v>0.25342362694035914</v>
      </c>
      <c r="AG53" s="63"/>
      <c r="AH53" s="63"/>
      <c r="AI53" s="63"/>
      <c r="AJ53" s="63"/>
      <c r="AK53" s="91" t="s">
        <v>101</v>
      </c>
      <c r="AL53" s="91">
        <f ca="1">-(AL52/(1.85*AM52))</f>
        <v>-0.32525313469608047</v>
      </c>
      <c r="AM53" s="63"/>
      <c r="AN53" s="63"/>
      <c r="AO53" s="63"/>
      <c r="AP53" s="63"/>
      <c r="AQ53" s="91" t="s">
        <v>113</v>
      </c>
      <c r="AR53" s="91">
        <f ca="1">-(AR52/(1.85*AS52))</f>
        <v>1.033483375988932E-2</v>
      </c>
      <c r="AS53" s="63"/>
      <c r="AT53" s="63"/>
      <c r="AU53" s="63"/>
      <c r="AV53" s="63"/>
      <c r="AW53" s="91" t="s">
        <v>102</v>
      </c>
      <c r="AX53" s="91">
        <f ca="1">-(AX52/(1.85*AY52))</f>
        <v>-0.10798259383550994</v>
      </c>
      <c r="AY53" s="63"/>
      <c r="AZ53" s="63"/>
      <c r="BA53" s="123" t="s">
        <v>103</v>
      </c>
      <c r="BB53" s="124"/>
      <c r="BC53" s="91" t="s">
        <v>104</v>
      </c>
      <c r="BD53" s="91">
        <f ca="1">-(BD52/(1.85*BE52))</f>
        <v>-2.6864628755504529E-2</v>
      </c>
      <c r="BE53" s="63"/>
      <c r="BF53" s="63"/>
    </row>
    <row r="55" spans="1:58" x14ac:dyDescent="0.2">
      <c r="A55" s="70" t="s">
        <v>23</v>
      </c>
      <c r="B55" s="70" t="s">
        <v>24</v>
      </c>
      <c r="C55" s="70" t="s">
        <v>25</v>
      </c>
      <c r="D55" s="70" t="s">
        <v>26</v>
      </c>
      <c r="E55" s="70" t="s">
        <v>27</v>
      </c>
      <c r="F55" s="70" t="s">
        <v>28</v>
      </c>
      <c r="G55" s="70" t="s">
        <v>29</v>
      </c>
      <c r="H55" s="70" t="s">
        <v>30</v>
      </c>
      <c r="I55" s="70" t="s">
        <v>31</v>
      </c>
      <c r="J55" s="70" t="s">
        <v>32</v>
      </c>
      <c r="K55" s="93" t="s">
        <v>33</v>
      </c>
      <c r="L55" s="93" t="s">
        <v>34</v>
      </c>
      <c r="M55" s="93" t="s">
        <v>35</v>
      </c>
      <c r="N55" s="93" t="s">
        <v>36</v>
      </c>
      <c r="O55" s="93" t="s">
        <v>37</v>
      </c>
      <c r="P55" s="93" t="s">
        <v>38</v>
      </c>
      <c r="Q55" s="94" t="s">
        <v>39</v>
      </c>
      <c r="R55" s="94" t="s">
        <v>40</v>
      </c>
      <c r="S55" s="94" t="s">
        <v>41</v>
      </c>
      <c r="T55" s="94" t="s">
        <v>42</v>
      </c>
      <c r="U55" s="94" t="s">
        <v>43</v>
      </c>
      <c r="V55" s="94" t="s">
        <v>44</v>
      </c>
      <c r="W55" s="95" t="s">
        <v>45</v>
      </c>
      <c r="X55" s="95" t="s">
        <v>46</v>
      </c>
      <c r="Y55" s="95" t="s">
        <v>47</v>
      </c>
      <c r="Z55" s="95" t="s">
        <v>48</v>
      </c>
      <c r="AA55" s="95" t="s">
        <v>49</v>
      </c>
      <c r="AB55" s="95" t="s">
        <v>50</v>
      </c>
      <c r="AC55" s="96" t="s">
        <v>51</v>
      </c>
      <c r="AD55" s="96" t="s">
        <v>52</v>
      </c>
      <c r="AE55" s="96" t="s">
        <v>53</v>
      </c>
      <c r="AF55" s="96" t="s">
        <v>54</v>
      </c>
      <c r="AG55" s="96" t="s">
        <v>55</v>
      </c>
      <c r="AH55" s="96" t="s">
        <v>56</v>
      </c>
      <c r="AI55" s="97" t="s">
        <v>57</v>
      </c>
      <c r="AJ55" s="97" t="s">
        <v>58</v>
      </c>
      <c r="AK55" s="97" t="s">
        <v>59</v>
      </c>
      <c r="AL55" s="97" t="s">
        <v>60</v>
      </c>
      <c r="AM55" s="97" t="s">
        <v>61</v>
      </c>
      <c r="AN55" s="97" t="s">
        <v>62</v>
      </c>
      <c r="AO55" s="98" t="s">
        <v>63</v>
      </c>
      <c r="AP55" s="98" t="s">
        <v>64</v>
      </c>
      <c r="AQ55" s="98" t="s">
        <v>65</v>
      </c>
      <c r="AR55" s="98" t="s">
        <v>66</v>
      </c>
      <c r="AS55" s="98" t="s">
        <v>67</v>
      </c>
      <c r="AT55" s="98" t="s">
        <v>68</v>
      </c>
      <c r="AU55" s="99" t="s">
        <v>69</v>
      </c>
      <c r="AV55" s="99" t="s">
        <v>70</v>
      </c>
      <c r="AW55" s="99" t="s">
        <v>71</v>
      </c>
      <c r="AX55" s="99" t="s">
        <v>72</v>
      </c>
      <c r="AY55" s="99" t="s">
        <v>73</v>
      </c>
      <c r="AZ55" s="99" t="s">
        <v>74</v>
      </c>
      <c r="BA55" s="100" t="s">
        <v>75</v>
      </c>
      <c r="BB55" s="100" t="s">
        <v>76</v>
      </c>
      <c r="BC55" s="100" t="s">
        <v>77</v>
      </c>
      <c r="BD55" s="100" t="s">
        <v>78</v>
      </c>
      <c r="BE55" s="100" t="s">
        <v>79</v>
      </c>
      <c r="BF55" s="100" t="s">
        <v>80</v>
      </c>
    </row>
    <row r="56" spans="1:58" x14ac:dyDescent="0.2">
      <c r="A56" s="60" t="s">
        <v>130</v>
      </c>
      <c r="B56" s="87" t="s">
        <v>131</v>
      </c>
      <c r="C56" s="61">
        <v>231.79</v>
      </c>
      <c r="D56" s="66">
        <f ca="1">IFERROR(IF(OFFSET(Auxiliar!$A$1,MATCH(ABS(E56),IF($H$2="PVC",Auxiliar!$B$1:$B$12,Auxiliar!$C$1:$C$12),1),0)&gt;$J$3,OFFSET(Auxiliar!$A$1,MATCH(ABS(E56),IF($H$2="PVC",Auxiliar!$B$1:$B$12,Auxiliar!$C$1:$C$12),1),0),$J$3),$J$3)</f>
        <v>250</v>
      </c>
      <c r="E56" s="61">
        <f>Vazões!H27</f>
        <v>46.987432188236568</v>
      </c>
      <c r="F56" s="92">
        <f ca="1">ABS((4000*E56)/(PI()*($D56^2)))</f>
        <v>0.95722010828199455</v>
      </c>
      <c r="G56" s="67">
        <f ca="1">(10.641*((0.001*ABS(E56))^1.85))/((140^1.85)*((0.001*$D$56)^4.87))*1000</f>
        <v>3.4028585918899905</v>
      </c>
      <c r="H56" s="89">
        <f ca="1">IF(E56&lt;0,((-$C$56*G56)/1000),(($C$56*G56)/1000))</f>
        <v>0.78874859301418088</v>
      </c>
      <c r="I56" s="92">
        <f ca="1">ABS(H56/E56)</f>
        <v>1.6786373638260792E-2</v>
      </c>
      <c r="J56" s="92">
        <f ca="1">H61-H44</f>
        <v>4.3902492211687694</v>
      </c>
      <c r="K56" s="92">
        <f ca="1">J56+E56</f>
        <v>51.377681409405341</v>
      </c>
      <c r="L56" s="92">
        <f ca="1">ABS((4000*K56)/(PI()*($D56^2)))</f>
        <v>1.0466575309961519</v>
      </c>
      <c r="M56" s="67">
        <f ca="1">(10.641*((0.001*ABS(K56))^1.85))/((140^1.85)*((0.001*$D$56)^4.87))*1000</f>
        <v>4.0143068129962058</v>
      </c>
      <c r="N56" s="89">
        <f ca="1">IF(K56&lt;0,((-$C$56*M56)/1000),(($C$56*M56)/1000))</f>
        <v>0.93047617618439049</v>
      </c>
      <c r="O56" s="92">
        <f ca="1">ABS(N56/K56)</f>
        <v>1.8110513177304551E-2</v>
      </c>
      <c r="P56" s="92">
        <f ca="1">N61-N44</f>
        <v>-6.5039924194388394</v>
      </c>
      <c r="Q56" s="92">
        <f ca="1">P56+K56</f>
        <v>44.873688989966503</v>
      </c>
      <c r="R56" s="92">
        <f ca="1">ABS((4000*Q56)/(PI()*($D56^2)))</f>
        <v>0.91415928544275582</v>
      </c>
      <c r="S56" s="67">
        <f ca="1">(10.641*((0.001*ABS(Q56))^1.85))/((140^1.85)*((0.001*$D$56)^4.87))*1000</f>
        <v>3.1250899061648072</v>
      </c>
      <c r="T56" s="89">
        <f ca="1">IF(Q56&lt;0,((-$C$56*S56)/1000),(($C$56*S56)/1000))</f>
        <v>0.72436458934994064</v>
      </c>
      <c r="U56" s="92">
        <f ca="1">ABS(T56/Q56)</f>
        <v>1.6142300881746192E-2</v>
      </c>
      <c r="V56" s="92">
        <f ca="1">T61-T44</f>
        <v>3.0402535682809675</v>
      </c>
      <c r="W56" s="92">
        <f ca="1">V56+Q56</f>
        <v>47.91394255824747</v>
      </c>
      <c r="X56" s="92">
        <f ca="1">ABS((4000*W56)/(PI()*($D56^2)))</f>
        <v>0.97609482254927604</v>
      </c>
      <c r="Y56" s="67">
        <f ca="1">(10.641*((0.001*ABS(W56))^1.85))/((140^1.85)*((0.001*$D$56)^4.87))*1000</f>
        <v>3.528029960296807</v>
      </c>
      <c r="Z56" s="89">
        <f ca="1">IF(W56&lt;0,((-$C$56*Y56)/1000),(($C$56*Y56)/1000))</f>
        <v>0.81776206449719691</v>
      </c>
      <c r="AA56" s="92">
        <f ca="1">ABS(Z56/W56)</f>
        <v>1.7067309030207006E-2</v>
      </c>
      <c r="AB56" s="92">
        <f ca="1">Z61-Z44</f>
        <v>-1.0167443675654302</v>
      </c>
      <c r="AC56" s="92">
        <f ca="1">AB56+W56</f>
        <v>46.89719819068204</v>
      </c>
      <c r="AD56" s="92">
        <f ca="1">ABS((4000*AC56)/(PI()*($D56^2)))</f>
        <v>0.95538187637853933</v>
      </c>
      <c r="AE56" s="67">
        <f ca="1">(10.641*((0.001*ABS(AC56))^1.85))/((140^1.85)*((0.001*$D$56)^4.87))*1000</f>
        <v>3.3907790773153406</v>
      </c>
      <c r="AF56" s="89">
        <f ca="1">IF(AC56&lt;0,((-$C$56*AE56)/1000),(($C$56*AE56)/1000))</f>
        <v>0.78594868233092274</v>
      </c>
      <c r="AG56" s="92">
        <f ca="1">ABS(AF56/AC56)</f>
        <v>1.6758968822301247E-2</v>
      </c>
      <c r="AH56" s="92">
        <f ca="1">AF61-AF44</f>
        <v>0.70519018036175096</v>
      </c>
      <c r="AI56" s="92">
        <f ca="1">AH56+AC56</f>
        <v>47.602388371043794</v>
      </c>
      <c r="AJ56" s="92">
        <f ca="1">ABS((4000*AI56)/(PI()*($D56^2)))</f>
        <v>0.96974789276566731</v>
      </c>
      <c r="AK56" s="67">
        <f ca="1">(10.641*((0.001*ABS(AI56))^1.85))/((140^1.85)*((0.001*$D$56)^4.87))*1000</f>
        <v>3.4857072522931203</v>
      </c>
      <c r="AL56" s="89">
        <f ca="1">IF(AI56&lt;0,((-$C$56*AK56)/1000),(($C$56*AK56)/1000))</f>
        <v>0.8079520840090223</v>
      </c>
      <c r="AM56" s="92">
        <f ca="1">ABS(AL56/AI56)</f>
        <v>1.697293164601997E-2</v>
      </c>
      <c r="AN56" s="92">
        <f ca="1">AL61-AL44</f>
        <v>-0.20784740737047111</v>
      </c>
      <c r="AO56" s="92">
        <f ca="1">AN56+AI56</f>
        <v>47.394540963673322</v>
      </c>
      <c r="AP56" s="92">
        <f ca="1">ABS((4000*AO56)/(PI()*($D56^2)))</f>
        <v>0.9655136601523111</v>
      </c>
      <c r="AQ56" s="67">
        <f ca="1">(10.641*((0.001*ABS(AO56))^1.85))/((140^1.85)*((0.001*$D$56)^4.87))*1000</f>
        <v>3.4576030238578195</v>
      </c>
      <c r="AR56" s="89">
        <f ca="1">IF(AO56&lt;0,((-$C$56*AQ56)/1000),(($C$56*AQ56)/1000))</f>
        <v>0.80143780490000394</v>
      </c>
      <c r="AS56" s="92">
        <f ca="1">ABS(AR56/AO56)</f>
        <v>1.6909918075043391E-2</v>
      </c>
      <c r="AT56" s="92">
        <f ca="1">AR61-AR44</f>
        <v>0.18549548789390605</v>
      </c>
      <c r="AU56" s="92">
        <f ca="1">AT56+AO56</f>
        <v>47.580036451567224</v>
      </c>
      <c r="AV56" s="92">
        <f ca="1">ABS((4000*AU56)/(PI()*($D56^2)))</f>
        <v>0.9692925432012145</v>
      </c>
      <c r="AW56" s="67">
        <f ca="1">(10.641*((0.001*ABS(AU56))^1.85))/((140^1.85)*((0.001*$D$56)^4.87))*1000</f>
        <v>3.4826799064284377</v>
      </c>
      <c r="AX56" s="89">
        <f ca="1">IF(AU56&lt;0,((-$C$56*AW56)/1000),(($C$56*AW56)/1000))</f>
        <v>0.8072503755110475</v>
      </c>
      <c r="AY56" s="92">
        <f ca="1">ABS(AX56/AU56)</f>
        <v>1.6966157147289402E-2</v>
      </c>
      <c r="AZ56" s="92">
        <f ca="1">AX61-AX44</f>
        <v>-2.2685735642640412E-3</v>
      </c>
      <c r="BA56" s="92">
        <f ca="1">AZ56+AU56</f>
        <v>47.577767878002959</v>
      </c>
      <c r="BB56" s="92">
        <f ca="1">ABS((4000*BA56)/(PI()*($D56^2)))</f>
        <v>0.96924632820005985</v>
      </c>
      <c r="BC56" s="67">
        <f ca="1">(10.641*((0.001*ABS(BA56))^1.85))/((140^1.85)*((0.001*$D$56)^4.87))*1000</f>
        <v>3.4823727181891817</v>
      </c>
      <c r="BD56" s="89">
        <f ca="1">IF(BA56&lt;0,((-$C$56*BC56)/1000),(($C$56*BC56)/1000))</f>
        <v>0.80717917234907044</v>
      </c>
      <c r="BE56" s="92">
        <f ca="1">ABS(BD56/BA56)</f>
        <v>1.6965469553317583E-2</v>
      </c>
      <c r="BF56" s="92">
        <f ca="1">BD61-BD44</f>
        <v>5.4052077050209667E-2</v>
      </c>
    </row>
    <row r="57" spans="1:58" x14ac:dyDescent="0.2">
      <c r="A57" s="60" t="s">
        <v>130</v>
      </c>
      <c r="B57" s="85" t="s">
        <v>132</v>
      </c>
      <c r="C57" s="61">
        <v>259.52</v>
      </c>
      <c r="D57" s="66">
        <f ca="1">IFERROR(IF(OFFSET(Auxiliar!$A$1,MATCH(ABS(E57),IF($H$2="PVC",Auxiliar!$B$1:$B$12,Auxiliar!$C$1:$C$12),1),0)&gt;$J$3,OFFSET(Auxiliar!$A$1,MATCH(ABS(E57),IF($H$2="PVC",Auxiliar!$B$1:$B$12,Auxiliar!$C$1:$C$12),1),0),$J$3),$J$3)</f>
        <v>200</v>
      </c>
      <c r="E57" s="61">
        <f>Vazões!K18</f>
        <v>24.033935879629638</v>
      </c>
      <c r="F57" s="92">
        <f ca="1">ABS((4000*E57)/(PI()*($D57^2)))</f>
        <v>0.76502393943934321</v>
      </c>
      <c r="G57" s="67">
        <f ca="1">(10.641*((0.001*ABS(E57))^1.85))/((140^1.85)*((0.001*$D$57)^4.87))*1000</f>
        <v>2.9184721943234431</v>
      </c>
      <c r="H57" s="89">
        <f ca="1">IF(E57&lt;0,((-$C$57*G57)/1000),(($C$57*G57)/1000))</f>
        <v>0.75740190387081985</v>
      </c>
      <c r="I57" s="92">
        <f t="shared" ref="I57:I58" ca="1" si="44">ABS(H57/E57)</f>
        <v>3.1513852232283285E-2</v>
      </c>
      <c r="J57" s="92">
        <f ca="1">H61-H34</f>
        <v>-0.95193522361777794</v>
      </c>
      <c r="K57" s="92">
        <f t="shared" ref="K57:K58" ca="1" si="45">J57+E57</f>
        <v>23.082000656011861</v>
      </c>
      <c r="L57" s="92">
        <f ca="1">ABS((4000*K57)/(PI()*($D57^2)))</f>
        <v>0.73472290017093167</v>
      </c>
      <c r="M57" s="67">
        <f ca="1">(10.641*((0.001*ABS(K57))^1.85))/((140^1.85)*((0.001*$D$57)^4.87))*1000</f>
        <v>2.7082289673612627</v>
      </c>
      <c r="N57" s="89">
        <f ca="1">IF(K57&lt;0,((-$C$57*M57)/1000),(($C$57*M57)/1000))</f>
        <v>0.70283958160959481</v>
      </c>
      <c r="O57" s="92">
        <f ca="1">ABS(N57/K57)</f>
        <v>3.0449682074094195E-2</v>
      </c>
      <c r="P57" s="92">
        <f ca="1">N61-N34</f>
        <v>1.0066170483858135</v>
      </c>
      <c r="Q57" s="92">
        <f t="shared" ref="Q57:Q58" ca="1" si="46">P57+K57</f>
        <v>24.088617704397674</v>
      </c>
      <c r="R57" s="92">
        <f ca="1">ABS((4000*Q57)/(PI()*($D57^2)))</f>
        <v>0.76676451598116691</v>
      </c>
      <c r="S57" s="67">
        <f ca="1">(10.641*((0.001*ABS(Q57))^1.85))/((140^1.85)*((0.001*$D$57)^4.87))*1000</f>
        <v>2.9307682290873323</v>
      </c>
      <c r="T57" s="89">
        <f ca="1">IF(Q57&lt;0,((-$C$57*S57)/1000),(($C$57*S57)/1000))</f>
        <v>0.76059297081274435</v>
      </c>
      <c r="U57" s="92">
        <f ca="1">ABS(T57/Q57)</f>
        <v>3.1574786903355134E-2</v>
      </c>
      <c r="V57" s="92">
        <f ca="1">T61-T34</f>
        <v>0.31431684967293344</v>
      </c>
      <c r="W57" s="92">
        <f t="shared" ref="W57:W58" ca="1" si="47">V57+Q57</f>
        <v>24.402934554070608</v>
      </c>
      <c r="X57" s="92">
        <f ca="1">ABS((4000*W57)/(PI()*($D57^2)))</f>
        <v>0.77676953204567079</v>
      </c>
      <c r="Y57" s="67">
        <f ca="1">(10.641*((0.001*ABS(W57))^1.85))/((140^1.85)*((0.001*$D$57)^4.87))*1000</f>
        <v>3.001907462202559</v>
      </c>
      <c r="Z57" s="89">
        <f ca="1">IF(W57&lt;0,((-$C$57*Y57)/1000),(($C$57*Y57)/1000))</f>
        <v>0.77905502459080811</v>
      </c>
      <c r="AA57" s="92">
        <f ca="1">ABS(Z57/W57)</f>
        <v>3.1924645081706185E-2</v>
      </c>
      <c r="AB57" s="92">
        <f ca="1">Z61-Z34</f>
        <v>-9.9551654901151032E-2</v>
      </c>
      <c r="AC57" s="92">
        <f t="shared" ref="AC57:AC58" ca="1" si="48">AB57+W57</f>
        <v>24.303382899169456</v>
      </c>
      <c r="AD57" s="92">
        <f ca="1">ABS((4000*AC57)/(PI()*($D57^2)))</f>
        <v>0.77360070445157147</v>
      </c>
      <c r="AE57" s="67">
        <f ca="1">(10.641*((0.001*ABS(AC57))^1.85))/((140^1.85)*((0.001*$D$57)^4.87))*1000</f>
        <v>2.9792911559420059</v>
      </c>
      <c r="AF57" s="89">
        <f ca="1">IF(AC57&lt;0,((-$C$57*AE57)/1000),(($C$57*AE57)/1000))</f>
        <v>0.77318564079006935</v>
      </c>
      <c r="AG57" s="92">
        <f ca="1">ABS(AF57/AC57)</f>
        <v>3.1813910186819803E-2</v>
      </c>
      <c r="AH57" s="92">
        <f ca="1">AF61-AF34</f>
        <v>0.1454291971240165</v>
      </c>
      <c r="AI57" s="92">
        <f t="shared" ref="AI57:AI58" ca="1" si="49">AH57+AC57</f>
        <v>24.448812096293473</v>
      </c>
      <c r="AJ57" s="92">
        <f ca="1">ABS((4000*AI57)/(PI()*($D57^2)))</f>
        <v>0.77822985957000601</v>
      </c>
      <c r="AK57" s="67">
        <f ca="1">(10.641*((0.001*ABS(AI57))^1.85))/((140^1.85)*((0.001*$D$57)^4.87))*1000</f>
        <v>3.0123564433970955</v>
      </c>
      <c r="AL57" s="89">
        <f ca="1">IF(AI57&lt;0,((-$C$57*AK57)/1000),(($C$57*AK57)/1000))</f>
        <v>0.78176674419041425</v>
      </c>
      <c r="AM57" s="92">
        <f ca="1">ABS(AL57/AI57)</f>
        <v>3.1975653504610672E-2</v>
      </c>
      <c r="AN57" s="92">
        <f ca="1">AL61-AL34</f>
        <v>-5.442174600255173E-2</v>
      </c>
      <c r="AO57" s="92">
        <f t="shared" ref="AO57:AO58" ca="1" si="50">AN57+AI57</f>
        <v>24.394390350290923</v>
      </c>
      <c r="AP57" s="92">
        <f ca="1">ABS((4000*AO57)/(PI()*($D57^2)))</f>
        <v>0.77649756159240657</v>
      </c>
      <c r="AQ57" s="67">
        <f ca="1">(10.641*((0.001*ABS(AO57))^1.85))/((140^1.85)*((0.001*$D$57)^4.87))*1000</f>
        <v>2.9999632935332614</v>
      </c>
      <c r="AR57" s="89">
        <f ca="1">IF(AO57&lt;0,((-$C$57*AQ57)/1000),(($C$57*AQ57)/1000))</f>
        <v>0.7785504739377519</v>
      </c>
      <c r="AS57" s="92">
        <f ca="1">ABS(AR57/AO57)</f>
        <v>3.1915143717804247E-2</v>
      </c>
      <c r="AT57" s="92">
        <f ca="1">AR61-AR34</f>
        <v>4.1234314255512765E-2</v>
      </c>
      <c r="AU57" s="92">
        <f t="shared" ref="AU57:AU58" ca="1" si="51">AT57+AO57</f>
        <v>24.435624664546435</v>
      </c>
      <c r="AV57" s="92">
        <f ca="1">ABS((4000*AU57)/(PI()*($D57^2)))</f>
        <v>0.77781009058016037</v>
      </c>
      <c r="AW57" s="67">
        <f ca="1">(10.641*((0.001*ABS(AU57))^1.85))/((140^1.85)*((0.001*$D$57)^4.87))*1000</f>
        <v>3.0093511908220214</v>
      </c>
      <c r="AX57" s="89">
        <f ca="1">IF(AU57&lt;0,((-$C$57*AW57)/1000),(($C$57*AW57)/1000))</f>
        <v>0.78098682104213091</v>
      </c>
      <c r="AY57" s="92">
        <f ca="1">ABS(AX57/AU57)</f>
        <v>3.1960992680300171E-2</v>
      </c>
      <c r="AZ57" s="92">
        <f ca="1">AX61-AX34</f>
        <v>-8.7303547324675476E-3</v>
      </c>
      <c r="BA57" s="92">
        <f t="shared" ref="BA57:BA58" ca="1" si="52">AZ57+AU57</f>
        <v>24.426894309813967</v>
      </c>
      <c r="BB57" s="92">
        <f ca="1">ABS((4000*BA57)/(PI()*($D57^2)))</f>
        <v>0.77753219475803681</v>
      </c>
      <c r="BC57" s="67">
        <f ca="1">(10.641*((0.001*ABS(BA57))^1.85))/((140^1.85)*((0.001*$D$57)^4.87))*1000</f>
        <v>3.0073624092153644</v>
      </c>
      <c r="BD57" s="89">
        <f ca="1">IF(BA57&lt;0,((-$C$57*BC57)/1000),(($C$57*BC57)/1000))</f>
        <v>0.78047069243957123</v>
      </c>
      <c r="BE57" s="92">
        <f ca="1">ABS(BD57/BA57)</f>
        <v>3.1951286256067454E-2</v>
      </c>
      <c r="BF57" s="92">
        <f ca="1">BD61-BD34</f>
        <v>1.4444276306833204E-2</v>
      </c>
    </row>
    <row r="58" spans="1:58" x14ac:dyDescent="0.2">
      <c r="A58" s="60" t="s">
        <v>130</v>
      </c>
      <c r="B58" s="61" t="s">
        <v>133</v>
      </c>
      <c r="C58" s="61">
        <v>455.36</v>
      </c>
      <c r="D58" s="66">
        <f ca="1">IFERROR(IF(OFFSET(Auxiliar!$A$1,MATCH(ABS(E58),IF($H$2="PVC",Auxiliar!$B$1:$B$12,Auxiliar!$C$1:$C$12),1),0)&gt;$J$3,OFFSET(Auxiliar!$A$1,MATCH(ABS(E58),IF($H$2="PVC",Auxiliar!$B$1:$B$12,Auxiliar!$C$1:$C$12),1),0),$J$3),$J$3)</f>
        <v>200</v>
      </c>
      <c r="E58" s="61">
        <f>-Vazões!K19</f>
        <v>-24.033935879629638</v>
      </c>
      <c r="F58" s="92">
        <f ca="1">ABS((4000*E58)/(PI()*($D58^2)))</f>
        <v>0.76502393943934321</v>
      </c>
      <c r="G58" s="67">
        <f ca="1">(10.641*((0.001*ABS(E58))^1.85))/((140^1.85)*((0.001*$D$58)^4.87))*1000</f>
        <v>2.9184721943234431</v>
      </c>
      <c r="H58" s="89">
        <f ca="1">IF(E58&lt;0,((-$C$58*G58)/1000),(($C$58*G58)/1000))</f>
        <v>-1.328955498407123</v>
      </c>
      <c r="I58" s="92">
        <f t="shared" ca="1" si="44"/>
        <v>5.5294958972304714E-2</v>
      </c>
      <c r="J58" s="92">
        <f ca="1">H$61</f>
        <v>-1.1332833862696483</v>
      </c>
      <c r="K58" s="92">
        <f t="shared" ca="1" si="45"/>
        <v>-25.167219265899288</v>
      </c>
      <c r="L58" s="92">
        <f ca="1">ABS((4000*K58)/(PI()*($D58^2)))</f>
        <v>0.8010974700090906</v>
      </c>
      <c r="M58" s="67">
        <f ca="1">(10.641*((0.001*ABS(K58))^1.85))/((140^1.85)*((0.001*$D$58)^4.87))*1000</f>
        <v>3.1781521092662848</v>
      </c>
      <c r="N58" s="89">
        <f ca="1">IF(K58&lt;0,((-$C$58*M58)/1000),(($C$58*M58)/1000))</f>
        <v>-1.4472033444754955</v>
      </c>
      <c r="O58" s="92">
        <f ca="1">ABS(N58/K58)</f>
        <v>5.750350601651117E-2</v>
      </c>
      <c r="P58" s="92">
        <f ca="1">N$61</f>
        <v>-0.94849890484557731</v>
      </c>
      <c r="Q58" s="92">
        <f t="shared" ca="1" si="46"/>
        <v>-26.115718170744866</v>
      </c>
      <c r="R58" s="92">
        <f ca="1">ABS((4000*Q58)/(PI()*($D58^2)))</f>
        <v>0.83128912785377518</v>
      </c>
      <c r="S58" s="67">
        <f ca="1">(10.641*((0.001*ABS(Q58))^1.85))/((140^1.85)*((0.001*$D$58)^4.87))*1000</f>
        <v>3.4032836617769195</v>
      </c>
      <c r="T58" s="89">
        <f ca="1">IF(Q58&lt;0,((-$C$58*S58)/1000),(($C$58*S58)/1000))</f>
        <v>-1.5497192482267381</v>
      </c>
      <c r="U58" s="92">
        <f ca="1">ABS(T58/Q58)</f>
        <v>5.9340479863301321E-2</v>
      </c>
      <c r="V58" s="92">
        <f ca="1">T$61</f>
        <v>0.32698592580982727</v>
      </c>
      <c r="W58" s="92">
        <f t="shared" ca="1" si="47"/>
        <v>-25.788732244935041</v>
      </c>
      <c r="X58" s="92">
        <f ca="1">ABS((4000*W58)/(PI()*($D58^2)))</f>
        <v>0.82088084257095251</v>
      </c>
      <c r="Y58" s="67">
        <f ca="1">(10.641*((0.001*ABS(W58))^1.85))/((140^1.85)*((0.001*$D$58)^4.87))*1000</f>
        <v>3.3248724200215403</v>
      </c>
      <c r="Z58" s="89">
        <f ca="1">IF(W58&lt;0,((-$C$58*Y58)/1000),(($C$58*Y58)/1000))</f>
        <v>-1.5140139051810086</v>
      </c>
      <c r="AA58" s="92">
        <f ca="1">ABS(Z58/W58)</f>
        <v>5.8708349476091985E-2</v>
      </c>
      <c r="AB58" s="92">
        <f ca="1">Z$61</f>
        <v>-0.41558358051416411</v>
      </c>
      <c r="AC58" s="92">
        <f t="shared" ca="1" si="48"/>
        <v>-26.204315825449203</v>
      </c>
      <c r="AD58" s="92">
        <f ca="1">ABS((4000*AC58)/(PI()*($D58^2)))</f>
        <v>0.83410927879228414</v>
      </c>
      <c r="AE58" s="67">
        <f ca="1">(10.641*((0.001*ABS(AC58))^1.85))/((140^1.85)*((0.001*$D$58)^4.87))*1000</f>
        <v>3.4246739060665772</v>
      </c>
      <c r="AF58" s="89">
        <f ca="1">IF(AC58&lt;0,((-$C$58*AE58)/1000),(($C$58*AE58)/1000))</f>
        <v>-1.5594595098664765</v>
      </c>
      <c r="AG58" s="92">
        <f ca="1">ABS(AF58/AC58)</f>
        <v>5.951155222881091E-2</v>
      </c>
      <c r="AH58" s="92">
        <f ca="1">AF$61</f>
        <v>1.6262899028805199E-3</v>
      </c>
      <c r="AI58" s="92">
        <f t="shared" ca="1" si="49"/>
        <v>-26.202689535546323</v>
      </c>
      <c r="AJ58" s="92">
        <f ca="1">ABS((4000*AI58)/(PI()*($D58^2)))</f>
        <v>0.83405751237689529</v>
      </c>
      <c r="AK58" s="67">
        <f ca="1">(10.641*((0.001*ABS(AI58))^1.85))/((140^1.85)*((0.001*$D$58)^4.87))*1000</f>
        <v>3.424280714097899</v>
      </c>
      <c r="AL58" s="89">
        <f ca="1">IF(AI58&lt;0,((-$C$58*AK58)/1000),(($C$58*AK58)/1000))</f>
        <v>-1.5592804659716193</v>
      </c>
      <c r="AM58" s="92">
        <f ca="1">ABS(AL58/AI58)</f>
        <v>5.950841282366507E-2</v>
      </c>
      <c r="AN58" s="92">
        <f ca="1">AL$61</f>
        <v>-0.15170223295035801</v>
      </c>
      <c r="AO58" s="92">
        <f t="shared" ca="1" si="50"/>
        <v>-26.354391768496683</v>
      </c>
      <c r="AP58" s="92">
        <f ca="1">ABS((4000*AO58)/(PI()*($D58^2)))</f>
        <v>0.83888634442732091</v>
      </c>
      <c r="AQ58" s="67">
        <f ca="1">(10.641*((0.001*ABS(AO58))^1.85))/((140^1.85)*((0.001*$D$58)^4.87))*1000</f>
        <v>3.4610473741979448</v>
      </c>
      <c r="AR58" s="89">
        <f ca="1">IF(AO58&lt;0,((-$C$58*AQ58)/1000),(($C$58*AQ58)/1000))</f>
        <v>-1.5760225323147763</v>
      </c>
      <c r="AS58" s="92">
        <f ca="1">ABS(AR58/AO58)</f>
        <v>5.9801134708739906E-2</v>
      </c>
      <c r="AT58" s="92">
        <f ca="1">AR$61</f>
        <v>-1.9734160250623717E-2</v>
      </c>
      <c r="AU58" s="92">
        <f t="shared" ca="1" si="51"/>
        <v>-26.374125928747308</v>
      </c>
      <c r="AV58" s="92">
        <f ca="1">ABS((4000*AU58)/(PI()*($D58^2)))</f>
        <v>0.83951450225765178</v>
      </c>
      <c r="AW58" s="67">
        <f ca="1">(10.641*((0.001*ABS(AU58))^1.85))/((140^1.85)*((0.001*$D$58)^4.87))*1000</f>
        <v>3.465843417636131</v>
      </c>
      <c r="AX58" s="89">
        <f ca="1">IF(AU58&lt;0,((-$C$58*AW58)/1000),(($C$58*AW58)/1000))</f>
        <v>-1.5782064586547888</v>
      </c>
      <c r="AY58" s="92">
        <f ca="1">ABS(AX58/AU58)</f>
        <v>5.9839194781980361E-2</v>
      </c>
      <c r="AZ58" s="92">
        <f ca="1">AX$61</f>
        <v>-4.9850167393958693E-2</v>
      </c>
      <c r="BA58" s="92">
        <f t="shared" ca="1" si="52"/>
        <v>-26.423976096141267</v>
      </c>
      <c r="BB58" s="92">
        <f ca="1">ABS((4000*BA58)/(PI()*($D58^2)))</f>
        <v>0.84110128236859327</v>
      </c>
      <c r="BC58" s="67">
        <f ca="1">(10.641*((0.001*ABS(BA58))^1.85))/((140^1.85)*((0.001*$D$58)^4.87))*1000</f>
        <v>3.4779722196655891</v>
      </c>
      <c r="BD58" s="89">
        <f ca="1">IF(BA58&lt;0,((-$C$58*BC58)/1000),(($C$58*BC58)/1000))</f>
        <v>-1.5837294299469227</v>
      </c>
      <c r="BE58" s="92">
        <f ca="1">ABS(BD58/BA58)</f>
        <v>5.9935318749330731E-2</v>
      </c>
      <c r="BF58" s="92">
        <f ca="1">BD$61</f>
        <v>-1.9468200097129677E-2</v>
      </c>
    </row>
    <row r="59" spans="1:58" x14ac:dyDescent="0.2"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</row>
    <row r="60" spans="1:58" x14ac:dyDescent="0.2">
      <c r="F60" s="63"/>
      <c r="G60" s="65" t="s">
        <v>86</v>
      </c>
      <c r="H60" s="91">
        <f ca="1">SUM(H56:H58)</f>
        <v>0.2171949984778776</v>
      </c>
      <c r="I60" s="91">
        <f ca="1">SUM(I56:I58)</f>
        <v>0.1035951848428488</v>
      </c>
      <c r="J60" s="63"/>
      <c r="K60" s="63"/>
      <c r="L60" s="63"/>
      <c r="M60" s="91" t="s">
        <v>87</v>
      </c>
      <c r="N60" s="91">
        <f ca="1">SUM(N56:N58)</f>
        <v>0.18611241331848993</v>
      </c>
      <c r="O60" s="91">
        <f ca="1">SUM(O56:O58)</f>
        <v>0.10606370126790993</v>
      </c>
      <c r="P60" s="63"/>
      <c r="Q60" s="63"/>
      <c r="R60" s="63"/>
      <c r="S60" s="91" t="s">
        <v>88</v>
      </c>
      <c r="T60" s="91">
        <f ca="1">SUM(T56:T58)</f>
        <v>-6.4761688064053136E-2</v>
      </c>
      <c r="U60" s="91">
        <f ca="1">SUM(U56:U58)</f>
        <v>0.10705756764840264</v>
      </c>
      <c r="V60" s="63"/>
      <c r="W60" s="63"/>
      <c r="X60" s="63"/>
      <c r="Y60" s="91" t="s">
        <v>89</v>
      </c>
      <c r="Z60" s="91">
        <f ca="1">SUM(Z56:Z58)</f>
        <v>8.280318390699648E-2</v>
      </c>
      <c r="AA60" s="91">
        <f ca="1">SUM(AA56:AA58)</f>
        <v>0.10770030358800517</v>
      </c>
      <c r="AB60" s="63"/>
      <c r="AC60" s="63"/>
      <c r="AD60" s="63"/>
      <c r="AE60" s="91" t="s">
        <v>90</v>
      </c>
      <c r="AF60" s="91">
        <f ca="1">SUM(AF56:AF58)</f>
        <v>-3.251867454845403E-4</v>
      </c>
      <c r="AG60" s="91">
        <f ca="1">SUM(AG56:AG58)</f>
        <v>0.10808443123793196</v>
      </c>
      <c r="AH60" s="63"/>
      <c r="AI60" s="63"/>
      <c r="AJ60" s="63"/>
      <c r="AK60" s="91" t="s">
        <v>91</v>
      </c>
      <c r="AL60" s="91">
        <f ca="1">SUM(AL56:AL58)</f>
        <v>3.0438362227817262E-2</v>
      </c>
      <c r="AM60" s="91">
        <f ca="1">SUM(AM56:AM58)</f>
        <v>0.10845699797429571</v>
      </c>
      <c r="AN60" s="63"/>
      <c r="AO60" s="63"/>
      <c r="AP60" s="63"/>
      <c r="AQ60" s="91" t="s">
        <v>112</v>
      </c>
      <c r="AR60" s="91">
        <f ca="1">SUM(AR56:AR58)</f>
        <v>3.9657465229794298E-3</v>
      </c>
      <c r="AS60" s="91">
        <f ca="1">SUM(AS56:AS58)</f>
        <v>0.10862619650158754</v>
      </c>
      <c r="AT60" s="63"/>
      <c r="AU60" s="63"/>
      <c r="AV60" s="63"/>
      <c r="AW60" s="91" t="s">
        <v>93</v>
      </c>
      <c r="AX60" s="91">
        <f ca="1">SUM(AX56:AX58)</f>
        <v>1.0030737898389708E-2</v>
      </c>
      <c r="AY60" s="91">
        <f ca="1">SUM(AY56:AY58)</f>
        <v>0.10876634460956994</v>
      </c>
      <c r="AZ60" s="63"/>
      <c r="BA60" s="123" t="s">
        <v>94</v>
      </c>
      <c r="BB60" s="124"/>
      <c r="BC60" s="91" t="s">
        <v>95</v>
      </c>
      <c r="BD60" s="91">
        <f ca="1">SUM(BD56:BD58)</f>
        <v>3.9204348417190005E-3</v>
      </c>
      <c r="BE60" s="91">
        <f ca="1">SUM(BE56:BE58)</f>
        <v>0.10885207455871576</v>
      </c>
      <c r="BF60" s="63"/>
    </row>
    <row r="61" spans="1:58" x14ac:dyDescent="0.2">
      <c r="F61" s="63"/>
      <c r="G61" s="91" t="s">
        <v>96</v>
      </c>
      <c r="H61" s="91">
        <f ca="1">-(H60/(1.85*I60))</f>
        <v>-1.1332833862696483</v>
      </c>
      <c r="I61" s="63"/>
      <c r="J61" s="63"/>
      <c r="K61" s="63"/>
      <c r="L61" s="63"/>
      <c r="M61" s="91" t="s">
        <v>97</v>
      </c>
      <c r="N61" s="91">
        <f ca="1">-(N60/(1.85*O60))</f>
        <v>-0.94849890484557731</v>
      </c>
      <c r="O61" s="63"/>
      <c r="P61" s="63"/>
      <c r="Q61" s="63"/>
      <c r="R61" s="63"/>
      <c r="S61" s="91" t="s">
        <v>98</v>
      </c>
      <c r="T61" s="91">
        <f ca="1">-(T60/(1.85*U60))</f>
        <v>0.32698592580982727</v>
      </c>
      <c r="U61" s="63"/>
      <c r="V61" s="63"/>
      <c r="W61" s="63"/>
      <c r="X61" s="63"/>
      <c r="Y61" s="91" t="s">
        <v>99</v>
      </c>
      <c r="Z61" s="91">
        <f ca="1">-(Z60/(1.85*AA60))</f>
        <v>-0.41558358051416411</v>
      </c>
      <c r="AA61" s="63"/>
      <c r="AB61" s="63"/>
      <c r="AC61" s="63"/>
      <c r="AD61" s="63"/>
      <c r="AE61" s="91" t="s">
        <v>100</v>
      </c>
      <c r="AF61" s="91">
        <f ca="1">-(AF60/(1.85*AG60))</f>
        <v>1.6262899028805199E-3</v>
      </c>
      <c r="AG61" s="63"/>
      <c r="AH61" s="63"/>
      <c r="AI61" s="63"/>
      <c r="AJ61" s="63"/>
      <c r="AK61" s="91" t="s">
        <v>101</v>
      </c>
      <c r="AL61" s="91">
        <f ca="1">-(AL60/(1.85*AM60))</f>
        <v>-0.15170223295035801</v>
      </c>
      <c r="AM61" s="63"/>
      <c r="AN61" s="63"/>
      <c r="AO61" s="63"/>
      <c r="AP61" s="63"/>
      <c r="AQ61" s="91" t="s">
        <v>113</v>
      </c>
      <c r="AR61" s="91">
        <f ca="1">-(AR60/(1.85*AS60))</f>
        <v>-1.9734160250623717E-2</v>
      </c>
      <c r="AS61" s="63"/>
      <c r="AT61" s="63"/>
      <c r="AU61" s="63"/>
      <c r="AV61" s="63"/>
      <c r="AW61" s="91" t="s">
        <v>102</v>
      </c>
      <c r="AX61" s="91">
        <f ca="1">-(AX60/(1.85*AY60))</f>
        <v>-4.9850167393958693E-2</v>
      </c>
      <c r="AY61" s="63"/>
      <c r="AZ61" s="63"/>
      <c r="BA61" s="123" t="s">
        <v>103</v>
      </c>
      <c r="BB61" s="124"/>
      <c r="BC61" s="91" t="s">
        <v>104</v>
      </c>
      <c r="BD61" s="91">
        <f ca="1">-(BD60/(1.85*BE60))</f>
        <v>-1.9468200097129677E-2</v>
      </c>
      <c r="BE61" s="63"/>
      <c r="BF61" s="63"/>
    </row>
    <row r="63" spans="1:58" x14ac:dyDescent="0.2">
      <c r="B63" s="118" t="s">
        <v>134</v>
      </c>
      <c r="C63" s="118" t="s">
        <v>25</v>
      </c>
      <c r="D63" s="118" t="s">
        <v>26</v>
      </c>
      <c r="E63" s="118" t="s">
        <v>27</v>
      </c>
      <c r="F63" s="118" t="s">
        <v>28</v>
      </c>
      <c r="G63" s="118" t="s">
        <v>29</v>
      </c>
      <c r="H63" s="118" t="s">
        <v>30</v>
      </c>
      <c r="I63" s="118" t="s">
        <v>31</v>
      </c>
    </row>
    <row r="64" spans="1:58" x14ac:dyDescent="0.2">
      <c r="B64" s="65" t="s">
        <v>135</v>
      </c>
      <c r="C64" s="65">
        <v>100</v>
      </c>
      <c r="D64" s="119">
        <v>600</v>
      </c>
      <c r="E64" s="65">
        <f>Vazões!B3</f>
        <v>572.42807638888905</v>
      </c>
      <c r="F64" s="120">
        <f>ABS((4000*E64)/(PI()*($D64^2)))</f>
        <v>2.0245501760417057</v>
      </c>
      <c r="G64" s="121">
        <f>(10.641*((0.001*ABS(E64))^1.85))/((140^1.85)*((0.001*$D$64)^4.87))*1000</f>
        <v>4.8846415849493612</v>
      </c>
      <c r="H64" s="122">
        <f>IF(E64&lt;0,((-$C$64*G64)/1000),(($C$64*G64)/1000))</f>
        <v>0.48846415849493607</v>
      </c>
      <c r="I64" s="122">
        <f>ABS(H64/E64)</f>
        <v>8.5331970712612182E-4</v>
      </c>
    </row>
    <row r="65" spans="2:9" x14ac:dyDescent="0.2">
      <c r="B65" s="65" t="s">
        <v>136</v>
      </c>
      <c r="C65" s="65">
        <v>92.94</v>
      </c>
      <c r="D65" s="119">
        <f ca="1">IFERROR(IF(OFFSET(Auxiliar!$A$1,MATCH(ABS(E57),IF($H$2="PVC",Auxiliar!$B$1:$B$12,Auxiliar!$C$1:$C$12),1),0)&gt;$J$3,OFFSET(Auxiliar!$A$1,MATCH(ABS(E65),IF($H$2="PVC",Auxiliar!$B$1:$B$12,Auxiliar!$C$1:$C$12),1),0),$J$3),$J$3)</f>
        <v>150</v>
      </c>
      <c r="E65" s="65">
        <f>Vazões!B23</f>
        <v>16.510000000000002</v>
      </c>
      <c r="F65" s="120">
        <f ca="1">ABS((4000*E65)/(PI()*($D65^2)))</f>
        <v>0.93427488371455714</v>
      </c>
      <c r="G65" s="121">
        <f>(10.641*((0.001*ABS(E65))^1.85))/((140^1.85)*((0.001*$D$64)^4.87))*1000</f>
        <v>6.9164154674797194E-3</v>
      </c>
      <c r="H65" s="122">
        <f>IF(E65&lt;0,((-$C$65*G65)/1000),(($C$65*G65)/1000))</f>
        <v>6.428116535475651E-4</v>
      </c>
      <c r="I65" s="122">
        <f>ABS(H65/E65)</f>
        <v>3.8934685254243794E-5</v>
      </c>
    </row>
  </sheetData>
  <mergeCells count="22">
    <mergeCell ref="D2:D4"/>
    <mergeCell ref="BA60:BB60"/>
    <mergeCell ref="BA61:BB61"/>
    <mergeCell ref="N1:S1"/>
    <mergeCell ref="A1:D1"/>
    <mergeCell ref="E4:G4"/>
    <mergeCell ref="E1:J1"/>
    <mergeCell ref="K1:M1"/>
    <mergeCell ref="K4:L4"/>
    <mergeCell ref="B4:C4"/>
    <mergeCell ref="B2:C2"/>
    <mergeCell ref="B3:C3"/>
    <mergeCell ref="BA34:BB34"/>
    <mergeCell ref="BA43:BB43"/>
    <mergeCell ref="BA44:BB44"/>
    <mergeCell ref="BA52:BB52"/>
    <mergeCell ref="BA53:BB53"/>
    <mergeCell ref="BA13:BB13"/>
    <mergeCell ref="BA14:BB14"/>
    <mergeCell ref="BA24:BB24"/>
    <mergeCell ref="BA25:BB25"/>
    <mergeCell ref="BA33:BB33"/>
  </mergeCells>
  <conditionalFormatting sqref="M5:M6 M8:M15 M17:M26 M28:M35 M37:M45 M47:M50 S47:S50 Y47:Y50 AE47:AE50 AK47:AK50 AQ47:AQ50 AW47:AW50 BC47:BC50 L51 R51 X51 AD51 AJ51 AP51 AV51 BB51 M52:M53 S52:S53 Y52:Y53 AE52:AE53 AK52:AK53 AQ52:AQ53 AW52:AW53 BC52:BC53 L54 R54 X54 AD54 AJ54 AP54 AV54 BB54 M56:M1048576">
    <cfRule type="expression" dxfId="67" priority="164">
      <formula>IF(AND(ISNUMBER(L5), L5 &gt;= 7.5), 1, 0)</formula>
    </cfRule>
  </conditionalFormatting>
  <conditionalFormatting sqref="S8:S15 S17:S26 S28:S35 S37:S45 S56:S61">
    <cfRule type="expression" dxfId="66" priority="113">
      <formula>IF(AND(ISNUMBER(S8), S8 &gt;= 7.5), 1, 0)</formula>
    </cfRule>
  </conditionalFormatting>
  <conditionalFormatting sqref="Y8:Y15 Y17:Y26 Y28:Y35 Y37:Y45 Y56:Y61">
    <cfRule type="expression" dxfId="65" priority="112">
      <formula>IF(AND(ISNUMBER(Y8), Y8 &gt;= 7.5), 1, 0)</formula>
    </cfRule>
  </conditionalFormatting>
  <conditionalFormatting sqref="AE8:AE15 AE17:AE26 AE28:AE35 AE37:AE45 AE56:AE61">
    <cfRule type="expression" dxfId="64" priority="111">
      <formula>IF(AND(ISNUMBER(AE8), AE8 &gt;= 7.5), 1, 0)</formula>
    </cfRule>
  </conditionalFormatting>
  <conditionalFormatting sqref="AK8:AK15 AK17:AK26 AK28:AK35 AK37:AK45 AK56:AK61">
    <cfRule type="expression" dxfId="63" priority="110">
      <formula>IF(AND(ISNUMBER(AK8), AK8 &gt;= 7.5), 1, 0)</formula>
    </cfRule>
  </conditionalFormatting>
  <conditionalFormatting sqref="AQ8:AQ15 AQ17:AQ26 AQ28:AQ35 AQ37:AQ45 AQ56:AQ61">
    <cfRule type="expression" dxfId="62" priority="109">
      <formula>IF(AND(ISNUMBER(AQ8), AQ8 &gt;= 7.5), 1, 0)</formula>
    </cfRule>
  </conditionalFormatting>
  <conditionalFormatting sqref="AW8:AW15 AW17:AW26 AW28:AW35 AW37:AW45 AW56:AW61">
    <cfRule type="expression" dxfId="61" priority="108">
      <formula>IF(AND(ISNUMBER(AW8), AW8 &gt;= 7.5), 1, 0)</formula>
    </cfRule>
  </conditionalFormatting>
  <conditionalFormatting sqref="AX13">
    <cfRule type="cellIs" dxfId="60" priority="11" operator="between">
      <formula>-0.05</formula>
      <formula>0.05</formula>
    </cfRule>
  </conditionalFormatting>
  <conditionalFormatting sqref="AX13:AX14">
    <cfRule type="cellIs" dxfId="59" priority="12" operator="greaterThan">
      <formula>0.1</formula>
    </cfRule>
  </conditionalFormatting>
  <conditionalFormatting sqref="AX14">
    <cfRule type="cellIs" dxfId="58" priority="35" operator="between">
      <formula>-0.1</formula>
      <formula>0.1</formula>
    </cfRule>
    <cfRule type="cellIs" dxfId="57" priority="34" operator="between">
      <formula>-0.1</formula>
      <formula>0.1</formula>
    </cfRule>
    <cfRule type="cellIs" dxfId="56" priority="33" operator="lessThan">
      <formula>-0.1</formula>
    </cfRule>
  </conditionalFormatting>
  <conditionalFormatting sqref="AX24">
    <cfRule type="cellIs" dxfId="55" priority="9" operator="between">
      <formula>-0.05</formula>
      <formula>0.05</formula>
    </cfRule>
  </conditionalFormatting>
  <conditionalFormatting sqref="AX24:AX25">
    <cfRule type="cellIs" dxfId="54" priority="10" operator="greaterThan">
      <formula>0.1</formula>
    </cfRule>
  </conditionalFormatting>
  <conditionalFormatting sqref="AX25">
    <cfRule type="cellIs" dxfId="53" priority="29" operator="lessThan">
      <formula>-0.1</formula>
    </cfRule>
    <cfRule type="cellIs" dxfId="52" priority="30" operator="between">
      <formula>-0.1</formula>
      <formula>0.1</formula>
    </cfRule>
    <cfRule type="cellIs" dxfId="51" priority="31" operator="between">
      <formula>-0.1</formula>
      <formula>0.1</formula>
    </cfRule>
  </conditionalFormatting>
  <conditionalFormatting sqref="AX33">
    <cfRule type="cellIs" dxfId="50" priority="7" operator="between">
      <formula>-0.05</formula>
      <formula>0.05</formula>
    </cfRule>
  </conditionalFormatting>
  <conditionalFormatting sqref="AX33:AX34">
    <cfRule type="cellIs" dxfId="49" priority="8" operator="greaterThan">
      <formula>0.1</formula>
    </cfRule>
  </conditionalFormatting>
  <conditionalFormatting sqref="AX34">
    <cfRule type="cellIs" dxfId="48" priority="25" operator="lessThan">
      <formula>-0.1</formula>
    </cfRule>
    <cfRule type="cellIs" dxfId="47" priority="26" operator="between">
      <formula>-0.1</formula>
      <formula>0.1</formula>
    </cfRule>
    <cfRule type="cellIs" dxfId="46" priority="27" operator="between">
      <formula>-0.1</formula>
      <formula>0.1</formula>
    </cfRule>
  </conditionalFormatting>
  <conditionalFormatting sqref="AX43">
    <cfRule type="cellIs" dxfId="45" priority="5" operator="between">
      <formula>-0.05</formula>
      <formula>0.05</formula>
    </cfRule>
  </conditionalFormatting>
  <conditionalFormatting sqref="AX43:AX44">
    <cfRule type="cellIs" dxfId="44" priority="6" operator="greaterThan">
      <formula>0.1</formula>
    </cfRule>
  </conditionalFormatting>
  <conditionalFormatting sqref="AX44">
    <cfRule type="cellIs" dxfId="43" priority="23" operator="between">
      <formula>-0.1</formula>
      <formula>0.1</formula>
    </cfRule>
    <cfRule type="cellIs" dxfId="42" priority="21" operator="lessThan">
      <formula>-0.1</formula>
    </cfRule>
    <cfRule type="cellIs" dxfId="41" priority="22" operator="between">
      <formula>-0.1</formula>
      <formula>0.1</formula>
    </cfRule>
  </conditionalFormatting>
  <conditionalFormatting sqref="AX52">
    <cfRule type="cellIs" dxfId="40" priority="3" operator="between">
      <formula>-0.05</formula>
      <formula>0.05</formula>
    </cfRule>
  </conditionalFormatting>
  <conditionalFormatting sqref="AX52:AX53">
    <cfRule type="cellIs" dxfId="39" priority="4" operator="greaterThan">
      <formula>0.1</formula>
    </cfRule>
  </conditionalFormatting>
  <conditionalFormatting sqref="AX53">
    <cfRule type="cellIs" dxfId="38" priority="19" operator="between">
      <formula>-0.1</formula>
      <formula>0.1</formula>
    </cfRule>
    <cfRule type="cellIs" dxfId="37" priority="17" operator="lessThan">
      <formula>-0.1</formula>
    </cfRule>
    <cfRule type="cellIs" dxfId="36" priority="18" operator="between">
      <formula>-0.1</formula>
      <formula>0.1</formula>
    </cfRule>
  </conditionalFormatting>
  <conditionalFormatting sqref="AX60">
    <cfRule type="cellIs" dxfId="35" priority="1" operator="between">
      <formula>-0.05</formula>
      <formula>0.05</formula>
    </cfRule>
  </conditionalFormatting>
  <conditionalFormatting sqref="AX60:AX61">
    <cfRule type="cellIs" dxfId="34" priority="2" operator="greaterThan">
      <formula>0.1</formula>
    </cfRule>
  </conditionalFormatting>
  <conditionalFormatting sqref="AX61">
    <cfRule type="cellIs" dxfId="33" priority="15" operator="between">
      <formula>-0.1</formula>
      <formula>0.1</formula>
    </cfRule>
    <cfRule type="cellIs" dxfId="32" priority="14" operator="between">
      <formula>-0.1</formula>
      <formula>0.1</formula>
    </cfRule>
    <cfRule type="cellIs" dxfId="31" priority="13" operator="lessThan">
      <formula>-0.1</formula>
    </cfRule>
  </conditionalFormatting>
  <conditionalFormatting sqref="BC8:BC15 BC17:BC26 BC28:BC35 BC37:BC45 BC56:BC61">
    <cfRule type="expression" dxfId="30" priority="107">
      <formula>IF(AND(ISNUMBER(BC8), BC8 &gt;= 7.5), 1, 0)</formula>
    </cfRule>
  </conditionalFormatting>
  <conditionalFormatting sqref="BD13">
    <cfRule type="cellIs" dxfId="29" priority="99" operator="between">
      <formula>-0.05</formula>
      <formula>0.05</formula>
    </cfRule>
  </conditionalFormatting>
  <conditionalFormatting sqref="BD13:BD14">
    <cfRule type="cellIs" dxfId="28" priority="40" operator="greaterThan">
      <formula>0.1</formula>
    </cfRule>
  </conditionalFormatting>
  <conditionalFormatting sqref="BD14">
    <cfRule type="cellIs" dxfId="27" priority="39" operator="between">
      <formula>-0.1</formula>
      <formula>0.1</formula>
    </cfRule>
    <cfRule type="cellIs" dxfId="26" priority="38" operator="between">
      <formula>-0.1</formula>
      <formula>0.1</formula>
    </cfRule>
    <cfRule type="cellIs" dxfId="25" priority="37" operator="lessThan">
      <formula>-0.1</formula>
    </cfRule>
  </conditionalFormatting>
  <conditionalFormatting sqref="BD24">
    <cfRule type="cellIs" dxfId="24" priority="95" operator="between">
      <formula>-0.05</formula>
      <formula>0.05</formula>
    </cfRule>
  </conditionalFormatting>
  <conditionalFormatting sqref="BD24:BD25">
    <cfRule type="cellIs" dxfId="23" priority="44" operator="greaterThan">
      <formula>0.1</formula>
    </cfRule>
  </conditionalFormatting>
  <conditionalFormatting sqref="BD25">
    <cfRule type="cellIs" dxfId="22" priority="41" operator="lessThan">
      <formula>-0.1</formula>
    </cfRule>
    <cfRule type="cellIs" dxfId="21" priority="42" operator="between">
      <formula>-0.1</formula>
      <formula>0.1</formula>
    </cfRule>
    <cfRule type="cellIs" dxfId="20" priority="43" operator="between">
      <formula>-0.1</formula>
      <formula>0.1</formula>
    </cfRule>
  </conditionalFormatting>
  <conditionalFormatting sqref="BD33">
    <cfRule type="cellIs" dxfId="19" priority="90" operator="between">
      <formula>-0.05</formula>
      <formula>0.05</formula>
    </cfRule>
  </conditionalFormatting>
  <conditionalFormatting sqref="BD33:BD34">
    <cfRule type="cellIs" dxfId="18" priority="48" operator="greaterThan">
      <formula>0.1</formula>
    </cfRule>
  </conditionalFormatting>
  <conditionalFormatting sqref="BD34">
    <cfRule type="cellIs" dxfId="17" priority="46" operator="between">
      <formula>-0.1</formula>
      <formula>0.1</formula>
    </cfRule>
    <cfRule type="cellIs" dxfId="16" priority="47" operator="between">
      <formula>-0.1</formula>
      <formula>0.1</formula>
    </cfRule>
    <cfRule type="cellIs" dxfId="15" priority="45" operator="lessThan">
      <formula>-0.1</formula>
    </cfRule>
  </conditionalFormatting>
  <conditionalFormatting sqref="BD43">
    <cfRule type="cellIs" dxfId="14" priority="85" operator="between">
      <formula>-0.05</formula>
      <formula>0.05</formula>
    </cfRule>
  </conditionalFormatting>
  <conditionalFormatting sqref="BD43:BD44">
    <cfRule type="cellIs" dxfId="13" priority="60" operator="greaterThan">
      <formula>0.1</formula>
    </cfRule>
  </conditionalFormatting>
  <conditionalFormatting sqref="BD44">
    <cfRule type="cellIs" dxfId="12" priority="57" operator="lessThan">
      <formula>-0.1</formula>
    </cfRule>
    <cfRule type="cellIs" dxfId="11" priority="59" operator="between">
      <formula>-0.1</formula>
      <formula>0.1</formula>
    </cfRule>
    <cfRule type="cellIs" dxfId="10" priority="58" operator="between">
      <formula>-0.1</formula>
      <formula>0.1</formula>
    </cfRule>
  </conditionalFormatting>
  <conditionalFormatting sqref="BD52">
    <cfRule type="cellIs" dxfId="9" priority="80" operator="between">
      <formula>-0.05</formula>
      <formula>0.05</formula>
    </cfRule>
  </conditionalFormatting>
  <conditionalFormatting sqref="BD52:BD53">
    <cfRule type="cellIs" dxfId="8" priority="56" operator="greaterThan">
      <formula>0.1</formula>
    </cfRule>
  </conditionalFormatting>
  <conditionalFormatting sqref="BD53">
    <cfRule type="cellIs" dxfId="7" priority="53" operator="lessThan">
      <formula>-0.1</formula>
    </cfRule>
    <cfRule type="cellIs" dxfId="6" priority="54" operator="between">
      <formula>-0.1</formula>
      <formula>0.1</formula>
    </cfRule>
    <cfRule type="cellIs" dxfId="5" priority="55" operator="between">
      <formula>-0.1</formula>
      <formula>0.1</formula>
    </cfRule>
  </conditionalFormatting>
  <conditionalFormatting sqref="BD60">
    <cfRule type="cellIs" dxfId="4" priority="75" operator="between">
      <formula>-0.05</formula>
      <formula>0.05</formula>
    </cfRule>
  </conditionalFormatting>
  <conditionalFormatting sqref="BD60:BD61">
    <cfRule type="cellIs" dxfId="3" priority="52" operator="greaterThan">
      <formula>0.1</formula>
    </cfRule>
  </conditionalFormatting>
  <conditionalFormatting sqref="BD61">
    <cfRule type="cellIs" dxfId="2" priority="49" operator="lessThan">
      <formula>-0.1</formula>
    </cfRule>
    <cfRule type="cellIs" dxfId="1" priority="50" operator="between">
      <formula>-0.1</formula>
      <formula>0.1</formula>
    </cfRule>
    <cfRule type="cellIs" dxfId="0" priority="51" operator="between">
      <formula>-0.1</formula>
      <formula>0.1</formula>
    </cfRule>
  </conditionalFormatting>
  <pageMargins left="0.7" right="0.7" top="0.75" bottom="0.75" header="0.3" footer="0.3"/>
  <ignoredErrors>
    <ignoredError sqref="J9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A1A7-1128-4837-84C0-F43210C3B460}">
  <dimension ref="A1:O28"/>
  <sheetViews>
    <sheetView showGridLines="0" zoomScale="85" zoomScaleNormal="85" workbookViewId="0">
      <selection activeCell="D29" sqref="D29"/>
    </sheetView>
  </sheetViews>
  <sheetFormatPr defaultColWidth="8.85546875" defaultRowHeight="14.25" x14ac:dyDescent="0.2"/>
  <cols>
    <col min="1" max="1" width="30.7109375" style="23" bestFit="1" customWidth="1"/>
    <col min="2" max="2" width="14.28515625" style="23" bestFit="1" customWidth="1"/>
    <col min="3" max="3" width="8.85546875" style="23"/>
    <col min="4" max="4" width="29.7109375" style="23" bestFit="1" customWidth="1"/>
    <col min="5" max="5" width="14.28515625" style="23" bestFit="1" customWidth="1"/>
    <col min="6" max="6" width="8.85546875" style="23"/>
    <col min="7" max="7" width="30.7109375" style="23" bestFit="1" customWidth="1"/>
    <col min="8" max="8" width="14.28515625" style="23" bestFit="1" customWidth="1"/>
    <col min="9" max="9" width="8.85546875" style="23"/>
    <col min="10" max="10" width="30.7109375" style="23" bestFit="1" customWidth="1"/>
    <col min="11" max="11" width="14.28515625" style="23" bestFit="1" customWidth="1"/>
    <col min="12" max="13" width="8.85546875" style="23"/>
    <col min="14" max="14" width="30.7109375" style="23" bestFit="1" customWidth="1"/>
    <col min="15" max="16384" width="8.85546875" style="23"/>
  </cols>
  <sheetData>
    <row r="1" spans="1:15" ht="15" x14ac:dyDescent="0.25">
      <c r="A1" s="138" t="s">
        <v>137</v>
      </c>
      <c r="B1" s="139"/>
      <c r="D1" s="138" t="s">
        <v>138</v>
      </c>
      <c r="E1" s="139"/>
      <c r="G1" s="140" t="s">
        <v>139</v>
      </c>
      <c r="H1" s="141"/>
      <c r="J1" s="140" t="s">
        <v>140</v>
      </c>
      <c r="K1" s="141"/>
      <c r="N1"/>
      <c r="O1"/>
    </row>
    <row r="2" spans="1:15" ht="15" x14ac:dyDescent="0.25">
      <c r="A2" s="142" t="s">
        <v>141</v>
      </c>
      <c r="B2" s="142"/>
      <c r="D2" s="142" t="s">
        <v>142</v>
      </c>
      <c r="E2" s="142"/>
      <c r="G2" s="140" t="s">
        <v>143</v>
      </c>
      <c r="H2" s="141"/>
      <c r="J2" s="140" t="s">
        <v>144</v>
      </c>
      <c r="K2" s="141"/>
      <c r="N2"/>
      <c r="O2"/>
    </row>
    <row r="3" spans="1:15" ht="15" x14ac:dyDescent="0.25">
      <c r="A3" s="78" t="s">
        <v>145</v>
      </c>
      <c r="B3" s="79">
        <f>E3+B10+E23</f>
        <v>572.42807638888905</v>
      </c>
      <c r="D3" s="78" t="s">
        <v>82</v>
      </c>
      <c r="E3" s="79">
        <f>'Hardy Cross'!I4+E10+H8</f>
        <v>256.70533347124376</v>
      </c>
      <c r="G3" s="27" t="s">
        <v>146</v>
      </c>
      <c r="H3" s="26">
        <f>100+125+261.01</f>
        <v>486.01</v>
      </c>
      <c r="J3" s="27" t="s">
        <v>146</v>
      </c>
      <c r="K3" s="26">
        <f>100+125+96.0888+296.64+236.53</f>
        <v>854.25879999999995</v>
      </c>
      <c r="N3"/>
      <c r="O3"/>
    </row>
    <row r="4" spans="1:15" ht="15" x14ac:dyDescent="0.25">
      <c r="A4" s="73"/>
      <c r="B4" s="73"/>
      <c r="D4" s="73"/>
      <c r="E4" s="73"/>
      <c r="G4" s="27" t="s">
        <v>147</v>
      </c>
      <c r="H4" s="26">
        <f>100+115.84+191.3</f>
        <v>407.14</v>
      </c>
      <c r="J4" s="27" t="s">
        <v>147</v>
      </c>
      <c r="K4" s="25">
        <f>100+125+261.01+198.13+119.32</f>
        <v>803.46</v>
      </c>
      <c r="N4"/>
      <c r="O4"/>
    </row>
    <row r="5" spans="1:15" ht="15" x14ac:dyDescent="0.25">
      <c r="A5"/>
      <c r="B5"/>
      <c r="D5"/>
      <c r="E5"/>
      <c r="G5" s="25" t="s">
        <v>148</v>
      </c>
      <c r="H5" s="26">
        <f>H3/H4</f>
        <v>1.1937171488922729</v>
      </c>
      <c r="J5" s="25" t="s">
        <v>148</v>
      </c>
      <c r="K5" s="26">
        <f>K3/K4</f>
        <v>1.0632250516516066</v>
      </c>
      <c r="N5"/>
      <c r="O5"/>
    </row>
    <row r="6" spans="1:15" ht="13.9" customHeight="1" x14ac:dyDescent="0.25">
      <c r="G6" s="28" t="s">
        <v>149</v>
      </c>
      <c r="H6" s="26">
        <f>E17</f>
        <v>130.56016160180812</v>
      </c>
      <c r="J6" s="28" t="s">
        <v>149</v>
      </c>
      <c r="K6" s="25">
        <f>'Hardy Cross'!I4+K17</f>
        <v>79.625743518518547</v>
      </c>
      <c r="N6"/>
      <c r="O6"/>
    </row>
    <row r="7" spans="1:15" ht="15" x14ac:dyDescent="0.25">
      <c r="G7" s="76" t="s">
        <v>150</v>
      </c>
      <c r="H7" s="77">
        <f>(H6/2)*H5</f>
        <v>77.925951933112401</v>
      </c>
      <c r="J7" s="76" t="s">
        <v>151</v>
      </c>
      <c r="K7" s="76">
        <f>(K6/2)*K5</f>
        <v>42.33004263263723</v>
      </c>
      <c r="N7"/>
      <c r="O7"/>
    </row>
    <row r="8" spans="1:15" ht="15" x14ac:dyDescent="0.25">
      <c r="A8" s="138" t="s">
        <v>152</v>
      </c>
      <c r="B8" s="139"/>
      <c r="D8" s="138" t="s">
        <v>153</v>
      </c>
      <c r="E8" s="139"/>
      <c r="G8" s="76" t="s">
        <v>154</v>
      </c>
      <c r="H8" s="77">
        <f>H6-H7</f>
        <v>52.634209668695718</v>
      </c>
      <c r="J8" s="76" t="s">
        <v>155</v>
      </c>
      <c r="K8" s="76">
        <f>K6-K7</f>
        <v>37.295700885881317</v>
      </c>
      <c r="N8"/>
      <c r="O8"/>
    </row>
    <row r="9" spans="1:15" x14ac:dyDescent="0.2">
      <c r="A9" s="138" t="s">
        <v>156</v>
      </c>
      <c r="B9" s="139"/>
      <c r="D9" s="138" t="s">
        <v>157</v>
      </c>
      <c r="E9" s="139"/>
    </row>
    <row r="10" spans="1:15" x14ac:dyDescent="0.2">
      <c r="A10" s="78" t="s">
        <v>126</v>
      </c>
      <c r="B10" s="79">
        <f>'Hardy Cross'!I4+H7+H18</f>
        <v>171.32799304762068</v>
      </c>
      <c r="D10" s="78" t="s">
        <v>106</v>
      </c>
      <c r="E10" s="79">
        <f>'Hardy Cross'!I4+B17</f>
        <v>148.47931616365912</v>
      </c>
    </row>
    <row r="11" spans="1:15" x14ac:dyDescent="0.2">
      <c r="A11" s="73"/>
      <c r="B11" s="73"/>
      <c r="D11" s="73"/>
      <c r="E11" s="73"/>
      <c r="G11" s="140" t="s">
        <v>158</v>
      </c>
      <c r="H11" s="141"/>
      <c r="J11" s="140" t="s">
        <v>159</v>
      </c>
      <c r="K11" s="141"/>
    </row>
    <row r="12" spans="1:15" x14ac:dyDescent="0.2">
      <c r="G12" s="140" t="s">
        <v>160</v>
      </c>
      <c r="H12" s="141"/>
      <c r="J12" s="140" t="s">
        <v>161</v>
      </c>
      <c r="K12" s="141"/>
    </row>
    <row r="13" spans="1:15" x14ac:dyDescent="0.2">
      <c r="G13" s="27" t="s">
        <v>146</v>
      </c>
      <c r="H13" s="25">
        <f>100+232.02+292.65</f>
        <v>624.66999999999996</v>
      </c>
      <c r="J13" s="71" t="s">
        <v>146</v>
      </c>
      <c r="K13" s="72">
        <f>100+115.84+191.3+198.13+193.86+259.42</f>
        <v>1058.55</v>
      </c>
    </row>
    <row r="14" spans="1:15" x14ac:dyDescent="0.2">
      <c r="G14" s="27" t="s">
        <v>147</v>
      </c>
      <c r="H14" s="25">
        <f>100+115.84+229.48</f>
        <v>445.32</v>
      </c>
      <c r="J14" s="71" t="s">
        <v>147</v>
      </c>
      <c r="K14" s="72">
        <f>100+115.84+191.3+198.13+119.32+269.39</f>
        <v>993.9799999999999</v>
      </c>
    </row>
    <row r="15" spans="1:15" x14ac:dyDescent="0.2">
      <c r="A15" s="138" t="s">
        <v>162</v>
      </c>
      <c r="B15" s="139"/>
      <c r="D15" s="138" t="s">
        <v>163</v>
      </c>
      <c r="E15" s="139"/>
      <c r="G15" s="25" t="s">
        <v>148</v>
      </c>
      <c r="H15" s="26">
        <f>H13/H14</f>
        <v>1.4027440941345548</v>
      </c>
      <c r="J15" s="72" t="s">
        <v>148</v>
      </c>
      <c r="K15" s="72">
        <f>K13/K14</f>
        <v>1.0649610656150024</v>
      </c>
    </row>
    <row r="16" spans="1:15" x14ac:dyDescent="0.2">
      <c r="A16" s="138" t="s">
        <v>157</v>
      </c>
      <c r="B16" s="139"/>
      <c r="D16" s="24" t="s">
        <v>164</v>
      </c>
      <c r="E16" s="24"/>
      <c r="G16" s="28" t="s">
        <v>149</v>
      </c>
      <c r="H16" s="25">
        <f>'Hardy Cross'!I4+H27+K19</f>
        <v>126.61317570675511</v>
      </c>
      <c r="J16" s="72" t="s">
        <v>149</v>
      </c>
      <c r="K16" s="72">
        <f>'Hardy Cross'!I4+B23</f>
        <v>72.101807638888914</v>
      </c>
    </row>
    <row r="17" spans="1:12" x14ac:dyDescent="0.2">
      <c r="A17" s="78" t="s">
        <v>107</v>
      </c>
      <c r="B17" s="76">
        <f>'Hardy Cross'!I4+K8</f>
        <v>92.887508524770226</v>
      </c>
      <c r="D17" s="76" t="s">
        <v>121</v>
      </c>
      <c r="E17" s="79">
        <f>'Hardy Cross'!I4+K7+H28</f>
        <v>130.56016160180812</v>
      </c>
      <c r="G17" s="76" t="s">
        <v>165</v>
      </c>
      <c r="H17" s="76">
        <f>(H16/2)*H15</f>
        <v>88.802942231135717</v>
      </c>
      <c r="J17" s="74" t="s">
        <v>166</v>
      </c>
      <c r="K17" s="74">
        <f>K16/3</f>
        <v>24.033935879629638</v>
      </c>
    </row>
    <row r="18" spans="1:12" x14ac:dyDescent="0.2">
      <c r="A18" s="73"/>
      <c r="B18" s="73"/>
      <c r="D18" s="73"/>
      <c r="E18" s="73"/>
      <c r="G18" s="76" t="s">
        <v>167</v>
      </c>
      <c r="H18" s="76">
        <f>H16-H17</f>
        <v>37.810233475619398</v>
      </c>
      <c r="J18" s="74" t="s">
        <v>168</v>
      </c>
      <c r="K18" s="74">
        <f>K16/3</f>
        <v>24.033935879629638</v>
      </c>
    </row>
    <row r="19" spans="1:12" x14ac:dyDescent="0.2">
      <c r="J19" s="75" t="s">
        <v>169</v>
      </c>
      <c r="K19" s="74">
        <f>K16/3</f>
        <v>24.033935879629638</v>
      </c>
    </row>
    <row r="21" spans="1:12" x14ac:dyDescent="0.2">
      <c r="A21" s="138" t="s">
        <v>170</v>
      </c>
      <c r="B21" s="139"/>
      <c r="D21" s="138" t="s">
        <v>171</v>
      </c>
      <c r="E21" s="139"/>
      <c r="G21" s="140" t="s">
        <v>172</v>
      </c>
      <c r="H21" s="141"/>
    </row>
    <row r="22" spans="1:12" x14ac:dyDescent="0.2">
      <c r="A22" s="24" t="s">
        <v>157</v>
      </c>
      <c r="B22" s="24"/>
      <c r="D22" s="24" t="s">
        <v>157</v>
      </c>
      <c r="E22" s="24"/>
      <c r="G22" s="140" t="s">
        <v>173</v>
      </c>
      <c r="H22" s="141"/>
    </row>
    <row r="23" spans="1:12" ht="15" x14ac:dyDescent="0.25">
      <c r="A23" s="78" t="s">
        <v>136</v>
      </c>
      <c r="B23" s="76">
        <f>16.51</f>
        <v>16.510000000000002</v>
      </c>
      <c r="D23" s="76" t="s">
        <v>174</v>
      </c>
      <c r="E23" s="79">
        <f>'Hardy Cross'!I4+H17</f>
        <v>144.39474987002461</v>
      </c>
      <c r="G23" s="27" t="s">
        <v>146</v>
      </c>
      <c r="H23" s="26">
        <f>100+115.84+191.3+198.13+193.86</f>
        <v>799.13</v>
      </c>
      <c r="L23"/>
    </row>
    <row r="24" spans="1:12" x14ac:dyDescent="0.2">
      <c r="A24" s="73"/>
      <c r="B24" s="73"/>
      <c r="D24" s="73"/>
      <c r="E24" s="73"/>
      <c r="G24" s="27" t="s">
        <v>147</v>
      </c>
      <c r="H24" s="25">
        <f>100+115.84+229.48+231.79</f>
        <v>677.11</v>
      </c>
    </row>
    <row r="25" spans="1:12" x14ac:dyDescent="0.2">
      <c r="G25" s="25" t="s">
        <v>148</v>
      </c>
      <c r="H25" s="26">
        <f>H23/H24</f>
        <v>1.1802070564605456</v>
      </c>
    </row>
    <row r="26" spans="1:12" ht="15" x14ac:dyDescent="0.25">
      <c r="G26" s="28" t="s">
        <v>149</v>
      </c>
      <c r="H26" s="25">
        <f>'Hardy Cross'!I4+K18</f>
        <v>79.625743518518547</v>
      </c>
      <c r="J26"/>
      <c r="K26"/>
    </row>
    <row r="27" spans="1:12" ht="15" x14ac:dyDescent="0.25">
      <c r="A27"/>
      <c r="B27"/>
      <c r="G27" s="76" t="s">
        <v>175</v>
      </c>
      <c r="H27" s="76">
        <f>(H26/2)*H25</f>
        <v>46.987432188236568</v>
      </c>
    </row>
    <row r="28" spans="1:12" x14ac:dyDescent="0.2">
      <c r="G28" s="76" t="s">
        <v>176</v>
      </c>
      <c r="H28" s="76">
        <f>H26-H27</f>
        <v>32.638311330281979</v>
      </c>
    </row>
  </sheetData>
  <mergeCells count="23">
    <mergeCell ref="G22:H22"/>
    <mergeCell ref="G11:H11"/>
    <mergeCell ref="G12:H12"/>
    <mergeCell ref="J11:K11"/>
    <mergeCell ref="J12:K12"/>
    <mergeCell ref="G21:H21"/>
    <mergeCell ref="J1:K1"/>
    <mergeCell ref="J2:K2"/>
    <mergeCell ref="D15:E15"/>
    <mergeCell ref="A2:B2"/>
    <mergeCell ref="D2:E2"/>
    <mergeCell ref="G2:H2"/>
    <mergeCell ref="A9:B9"/>
    <mergeCell ref="D9:E9"/>
    <mergeCell ref="A21:B21"/>
    <mergeCell ref="D21:E21"/>
    <mergeCell ref="G1:H1"/>
    <mergeCell ref="A1:B1"/>
    <mergeCell ref="D1:E1"/>
    <mergeCell ref="A8:B8"/>
    <mergeCell ref="D8:E8"/>
    <mergeCell ref="A15:B15"/>
    <mergeCell ref="A16:B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1ACC-1201-470A-BA0A-6007DA32A60B}">
  <dimension ref="B1:P33"/>
  <sheetViews>
    <sheetView showGridLines="0" topLeftCell="A7" zoomScale="130" zoomScaleNormal="130" workbookViewId="0">
      <selection activeCell="B22" sqref="B22:C22"/>
    </sheetView>
  </sheetViews>
  <sheetFormatPr defaultRowHeight="15" x14ac:dyDescent="0.25"/>
  <cols>
    <col min="1" max="1" width="2.5703125" customWidth="1"/>
    <col min="2" max="2" width="10.28515625" bestFit="1" customWidth="1"/>
    <col min="3" max="3" width="13.28515625" bestFit="1" customWidth="1"/>
    <col min="4" max="4" width="11" bestFit="1" customWidth="1"/>
    <col min="5" max="6" width="11.28515625" customWidth="1"/>
    <col min="7" max="7" width="9.28515625" customWidth="1"/>
    <col min="8" max="9" width="9.85546875" bestFit="1" customWidth="1"/>
    <col min="12" max="12" width="13.140625" customWidth="1"/>
    <col min="13" max="13" width="9.140625" customWidth="1"/>
    <col min="14" max="14" width="12.28515625" customWidth="1"/>
    <col min="15" max="15" width="13.28515625" customWidth="1"/>
    <col min="16" max="16" width="13.140625" bestFit="1" customWidth="1"/>
  </cols>
  <sheetData>
    <row r="1" spans="2:16" s="13" customFormat="1" x14ac:dyDescent="0.25">
      <c r="B1" s="143" t="s">
        <v>177</v>
      </c>
      <c r="C1" s="143"/>
      <c r="D1" s="143"/>
      <c r="E1" s="143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25">
      <c r="B2" s="19" t="s">
        <v>178</v>
      </c>
      <c r="C2" s="19" t="s">
        <v>179</v>
      </c>
      <c r="D2" s="20" t="s">
        <v>180</v>
      </c>
      <c r="E2" s="21"/>
      <c r="F2" s="2"/>
      <c r="J2" s="6"/>
      <c r="M2" s="7"/>
    </row>
    <row r="3" spans="2:16" x14ac:dyDescent="0.25">
      <c r="B3" s="5" t="s">
        <v>181</v>
      </c>
      <c r="C3" s="3">
        <v>2015</v>
      </c>
      <c r="D3" s="4">
        <v>76312</v>
      </c>
      <c r="E3" s="5" t="s">
        <v>182</v>
      </c>
      <c r="F3" s="2"/>
      <c r="G3" s="2"/>
      <c r="J3" s="2"/>
      <c r="M3" s="2"/>
    </row>
    <row r="4" spans="2:16" x14ac:dyDescent="0.25">
      <c r="B4" s="1" t="s">
        <v>183</v>
      </c>
      <c r="C4" s="3">
        <v>2025</v>
      </c>
      <c r="D4" s="8">
        <v>88487</v>
      </c>
      <c r="E4" s="1" t="s">
        <v>184</v>
      </c>
      <c r="F4" s="2"/>
      <c r="G4" s="2"/>
      <c r="J4" s="2"/>
      <c r="M4" s="2"/>
    </row>
    <row r="5" spans="2:16" x14ac:dyDescent="0.25">
      <c r="B5" s="1" t="s">
        <v>185</v>
      </c>
      <c r="C5" s="3">
        <v>2040</v>
      </c>
      <c r="D5" s="10"/>
      <c r="E5" s="1" t="s">
        <v>186</v>
      </c>
      <c r="F5" s="2"/>
      <c r="G5" s="2"/>
      <c r="H5" s="2"/>
      <c r="I5" s="2"/>
      <c r="J5" s="2"/>
      <c r="K5" s="2"/>
      <c r="L5" s="2"/>
      <c r="M5" s="2"/>
    </row>
    <row r="7" spans="2:16" x14ac:dyDescent="0.25">
      <c r="B7" s="144" t="s">
        <v>187</v>
      </c>
      <c r="C7" s="144"/>
    </row>
    <row r="8" spans="2:16" x14ac:dyDescent="0.25">
      <c r="B8" s="5" t="s">
        <v>188</v>
      </c>
      <c r="C8" s="5">
        <f>(D4-D3)/(C4-C3)</f>
        <v>1217.5</v>
      </c>
    </row>
    <row r="9" spans="2:16" x14ac:dyDescent="0.25">
      <c r="B9" s="5" t="s">
        <v>189</v>
      </c>
      <c r="C9" s="9">
        <f>(D4+C8*(C5-C4))</f>
        <v>106749.5</v>
      </c>
    </row>
    <row r="11" spans="2:16" x14ac:dyDescent="0.25">
      <c r="B11" s="144" t="s">
        <v>190</v>
      </c>
      <c r="C11" s="144"/>
    </row>
    <row r="12" spans="2:16" x14ac:dyDescent="0.25">
      <c r="B12" s="5" t="s">
        <v>191</v>
      </c>
      <c r="C12" s="5">
        <f>(D4/D3)^(1/(C4-C3))</f>
        <v>1.0149126451237815</v>
      </c>
    </row>
    <row r="13" spans="2:16" x14ac:dyDescent="0.25">
      <c r="B13" s="5" t="s">
        <v>189</v>
      </c>
      <c r="C13" s="5">
        <f>ROUNDUP((D4*(C12^(C5-C4))),0)</f>
        <v>110487</v>
      </c>
    </row>
    <row r="15" spans="2:16" s="13" customFormat="1" x14ac:dyDescent="0.25">
      <c r="B15" s="143" t="s">
        <v>192</v>
      </c>
      <c r="C15" s="143"/>
      <c r="D15" s="143"/>
      <c r="E15" s="12"/>
    </row>
    <row r="16" spans="2:16" x14ac:dyDescent="0.25">
      <c r="B16" s="18" t="s">
        <v>178</v>
      </c>
      <c r="C16" s="18" t="s">
        <v>179</v>
      </c>
      <c r="D16" s="18" t="s">
        <v>180</v>
      </c>
      <c r="E16" s="2"/>
    </row>
    <row r="17" spans="2:5" x14ac:dyDescent="0.25">
      <c r="B17" s="5" t="s">
        <v>181</v>
      </c>
      <c r="C17" s="3">
        <v>2005</v>
      </c>
      <c r="D17" s="3">
        <v>72654</v>
      </c>
      <c r="E17" s="2" t="s">
        <v>182</v>
      </c>
    </row>
    <row r="18" spans="2:5" x14ac:dyDescent="0.25">
      <c r="B18" s="5" t="s">
        <v>183</v>
      </c>
      <c r="C18" s="3">
        <v>2015</v>
      </c>
      <c r="D18" s="11">
        <v>76312</v>
      </c>
      <c r="E18" s="2" t="s">
        <v>184</v>
      </c>
    </row>
    <row r="19" spans="2:5" x14ac:dyDescent="0.25">
      <c r="B19" s="1" t="s">
        <v>193</v>
      </c>
      <c r="C19" s="3">
        <v>2025</v>
      </c>
      <c r="D19" s="11">
        <v>88487</v>
      </c>
      <c r="E19" t="s">
        <v>194</v>
      </c>
    </row>
    <row r="20" spans="2:5" x14ac:dyDescent="0.25">
      <c r="B20" s="1" t="s">
        <v>185</v>
      </c>
      <c r="C20" s="3">
        <v>2040</v>
      </c>
      <c r="D20" s="1"/>
      <c r="E20" t="s">
        <v>186</v>
      </c>
    </row>
    <row r="22" spans="2:5" s="152" customFormat="1" x14ac:dyDescent="0.25">
      <c r="B22" s="150" t="s">
        <v>192</v>
      </c>
      <c r="C22" s="150"/>
      <c r="D22" s="151" t="s">
        <v>195</v>
      </c>
    </row>
    <row r="23" spans="2:5" x14ac:dyDescent="0.25">
      <c r="B23" s="5" t="s">
        <v>196</v>
      </c>
      <c r="C23" s="16" t="str">
        <f>IF(C18-C17=C19-C18,"VERDADEIRO","FALSO")</f>
        <v>VERDADEIRO</v>
      </c>
      <c r="D23" s="2"/>
    </row>
    <row r="24" spans="2:5" x14ac:dyDescent="0.25">
      <c r="B24" s="5" t="s">
        <v>197</v>
      </c>
      <c r="C24" s="16" t="b">
        <f>_xlfn.IFS(D17&lt;D18,D18&lt;D19,"VERDADEIRO","FALSO")</f>
        <v>1</v>
      </c>
      <c r="D24" s="2"/>
    </row>
    <row r="25" spans="2:5" x14ac:dyDescent="0.25">
      <c r="B25" s="5" t="s">
        <v>198</v>
      </c>
      <c r="C25" s="22" t="str">
        <f>IF(D18^2&gt;(D17*D19),"VERDADEIRO","FALSO")</f>
        <v>FALSO</v>
      </c>
      <c r="D25" s="2"/>
    </row>
    <row r="26" spans="2:5" hidden="1" x14ac:dyDescent="0.25">
      <c r="B26" s="1" t="s">
        <v>199</v>
      </c>
      <c r="C26" s="17">
        <f>ROUNDUP(((2*D17*D18*D19)-((D18^2)*(D17+D19)))/(D17*D19-(D18^2)),0)</f>
        <v>70699</v>
      </c>
      <c r="D26" s="15">
        <f>D17*(C26-D18)</f>
        <v>-407806902</v>
      </c>
    </row>
    <row r="27" spans="2:5" hidden="1" x14ac:dyDescent="0.25">
      <c r="B27" s="5" t="s">
        <v>200</v>
      </c>
      <c r="C27" s="17" t="e">
        <f>(1/0.4343)*(LOG((C26-D17)/D17))</f>
        <v>#NUM!</v>
      </c>
      <c r="D27" s="15">
        <f>D18*(C26-D17)</f>
        <v>-149189960</v>
      </c>
    </row>
    <row r="28" spans="2:5" hidden="1" x14ac:dyDescent="0.25">
      <c r="B28" s="5" t="s">
        <v>201</v>
      </c>
      <c r="C28" s="17">
        <f>C18-C17</f>
        <v>10</v>
      </c>
      <c r="D28" s="15">
        <f>D26/D27</f>
        <v>2.7334741694414291</v>
      </c>
    </row>
    <row r="29" spans="2:5" hidden="1" x14ac:dyDescent="0.25">
      <c r="B29" s="5" t="s">
        <v>202</v>
      </c>
      <c r="C29" s="17">
        <f>D31</f>
        <v>-0.10055606131402725</v>
      </c>
      <c r="D29" s="15">
        <f>LOG(D28)</f>
        <v>0.43671497428682038</v>
      </c>
    </row>
    <row r="30" spans="2:5" hidden="1" x14ac:dyDescent="0.25">
      <c r="B30" s="5" t="s">
        <v>203</v>
      </c>
      <c r="C30" s="17">
        <f>C18-C17</f>
        <v>10</v>
      </c>
      <c r="D30" s="15">
        <f>-(1/(0.4343*C28))</f>
        <v>-0.23025558369790466</v>
      </c>
    </row>
    <row r="31" spans="2:5" hidden="1" x14ac:dyDescent="0.25">
      <c r="B31" s="5" t="s">
        <v>189</v>
      </c>
      <c r="C31" s="17" t="e">
        <f>ROUNDUP((C26/(1+EXP(C27-C29*C30))),0)</f>
        <v>#NUM!</v>
      </c>
      <c r="D31" s="15">
        <f>D30*D29</f>
        <v>-0.10055606131402725</v>
      </c>
    </row>
    <row r="32" spans="2:5" x14ac:dyDescent="0.25">
      <c r="B32" s="2"/>
    </row>
    <row r="33" spans="2:5" s="13" customFormat="1" x14ac:dyDescent="0.25">
      <c r="B33" s="143" t="s">
        <v>204</v>
      </c>
      <c r="C33" s="143"/>
      <c r="D33" s="143"/>
      <c r="E33" s="14">
        <f>ROUNDUP(((C9+C13)/2),0)</f>
        <v>108619</v>
      </c>
    </row>
  </sheetData>
  <mergeCells count="6">
    <mergeCell ref="B1:E1"/>
    <mergeCell ref="B33:D33"/>
    <mergeCell ref="B15:D15"/>
    <mergeCell ref="B7:C7"/>
    <mergeCell ref="B11:C11"/>
    <mergeCell ref="B22:C2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0A28-5C6C-465F-80B8-C8BAF348FC21}">
  <dimension ref="A1:C12"/>
  <sheetViews>
    <sheetView workbookViewId="0">
      <selection activeCell="D14" sqref="D14"/>
    </sheetView>
  </sheetViews>
  <sheetFormatPr defaultColWidth="8.85546875" defaultRowHeight="14.25" x14ac:dyDescent="0.2"/>
  <cols>
    <col min="1" max="16384" width="8.85546875" style="23"/>
  </cols>
  <sheetData>
    <row r="1" spans="1:3" ht="25.5" x14ac:dyDescent="0.2">
      <c r="A1" s="29" t="s">
        <v>205</v>
      </c>
      <c r="B1" s="29" t="s">
        <v>6</v>
      </c>
      <c r="C1" s="30" t="s">
        <v>206</v>
      </c>
    </row>
    <row r="2" spans="1:3" x14ac:dyDescent="0.2">
      <c r="A2" s="31">
        <v>50</v>
      </c>
      <c r="B2" s="32">
        <v>1.0900000000000001</v>
      </c>
      <c r="C2" s="32">
        <v>0.78</v>
      </c>
    </row>
    <row r="3" spans="1:3" x14ac:dyDescent="0.2">
      <c r="A3" s="31">
        <v>75</v>
      </c>
      <c r="B3" s="32">
        <v>3.17</v>
      </c>
      <c r="C3" s="32">
        <v>2.27</v>
      </c>
    </row>
    <row r="4" spans="1:3" x14ac:dyDescent="0.2">
      <c r="A4" s="31">
        <v>100</v>
      </c>
      <c r="B4" s="32">
        <v>6.76</v>
      </c>
      <c r="C4" s="32">
        <v>4.83</v>
      </c>
    </row>
    <row r="5" spans="1:3" x14ac:dyDescent="0.2">
      <c r="A5" s="31">
        <v>125</v>
      </c>
      <c r="B5" s="32">
        <v>12.15</v>
      </c>
      <c r="C5" s="32">
        <v>8.68</v>
      </c>
    </row>
    <row r="6" spans="1:3" x14ac:dyDescent="0.2">
      <c r="A6" s="31">
        <v>150</v>
      </c>
      <c r="B6" s="32">
        <v>19.63</v>
      </c>
      <c r="C6" s="32">
        <v>14.02</v>
      </c>
    </row>
    <row r="7" spans="1:3" x14ac:dyDescent="0.2">
      <c r="A7" s="31">
        <v>200</v>
      </c>
      <c r="B7" s="32">
        <v>41.84</v>
      </c>
      <c r="C7" s="32">
        <v>29.88</v>
      </c>
    </row>
    <row r="8" spans="1:3" x14ac:dyDescent="0.2">
      <c r="A8" s="31">
        <v>250</v>
      </c>
      <c r="B8" s="32">
        <v>75.239999999999995</v>
      </c>
      <c r="C8" s="32">
        <v>53.74</v>
      </c>
    </row>
    <row r="9" spans="1:3" x14ac:dyDescent="0.2">
      <c r="A9" s="31">
        <v>300</v>
      </c>
      <c r="B9" s="32">
        <v>121.53</v>
      </c>
      <c r="C9" s="32">
        <v>86.81</v>
      </c>
    </row>
    <row r="10" spans="1:3" x14ac:dyDescent="0.2">
      <c r="A10" s="31">
        <v>325</v>
      </c>
      <c r="B10" s="32">
        <v>150.01</v>
      </c>
      <c r="C10" s="32">
        <v>107.15</v>
      </c>
    </row>
    <row r="11" spans="1:3" x14ac:dyDescent="0.2">
      <c r="A11" s="31">
        <v>350</v>
      </c>
      <c r="B11" s="32">
        <v>182.29</v>
      </c>
      <c r="C11" s="32">
        <v>130.21</v>
      </c>
    </row>
    <row r="12" spans="1:3" x14ac:dyDescent="0.2">
      <c r="A12" s="31">
        <v>400</v>
      </c>
      <c r="B12" s="32">
        <v>258.99</v>
      </c>
      <c r="C12" s="32">
        <v>184.99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Hardy Cross</vt:lpstr>
      <vt:lpstr>Vazões</vt:lpstr>
      <vt:lpstr>População</vt:lpstr>
      <vt:lpstr>Auxiliar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Marchezan</dc:creator>
  <cp:keywords/>
  <dc:description/>
  <cp:lastModifiedBy>Felipe Grolla Freitas</cp:lastModifiedBy>
  <cp:revision/>
  <dcterms:created xsi:type="dcterms:W3CDTF">2025-04-25T22:56:21Z</dcterms:created>
  <dcterms:modified xsi:type="dcterms:W3CDTF">2025-06-09T02:28:15Z</dcterms:modified>
  <cp:category/>
  <cp:contentStatus/>
</cp:coreProperties>
</file>