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31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vinicius.souto\Desktop\"/>
    </mc:Choice>
  </mc:AlternateContent>
  <xr:revisionPtr revIDLastSave="0" documentId="13_ncr:1_{FFF55A35-2B4E-4F1C-A448-8A89AC032554}" xr6:coauthVersionLast="47" xr6:coauthVersionMax="47" xr10:uidLastSave="{00000000-0000-0000-0000-000000000000}"/>
  <bookViews>
    <workbookView xWindow="1470" yWindow="255" windowWidth="27060" windowHeight="15045" tabRatio="0" firstSheet="2" activeTab="2" xr2:uid="{00000000-000D-0000-FFFF-FFFF00000000}"/>
  </bookViews>
  <sheets>
    <sheet name="Dados Historicos" sheetId="15" state="hidden" r:id="rId1"/>
    <sheet name="INPUTS" sheetId="7" r:id="rId2"/>
    <sheet name="PAINEL" sheetId="3" r:id="rId3"/>
    <sheet name="Desafio do 1 centavo" sheetId="16" r:id="rId4"/>
    <sheet name="BANCO DE DADOS" sheetId="5" state="hidden" r:id="rId5"/>
    <sheet name="ANEXO DE APOIO" sheetId="6" state="hidden" r:id="rId6"/>
  </sheets>
  <externalReferences>
    <externalReference r:id="rId7"/>
    <externalReference r:id="rId8"/>
  </externalReferences>
  <definedNames>
    <definedName name="aloc_1994">'[1]Otimização 1994'!$C$5:$C$8</definedName>
    <definedName name="aloc_1999">'[1]Otimização 1999'!$C$5:$C$9</definedName>
    <definedName name="Aloc_2006">'[1]Otimização 2006'!$C$5:$C$16</definedName>
    <definedName name="Aloc_2008">'[1]Otimização 2008'!$C$5:$C$21</definedName>
    <definedName name="Aportes">'BANCO DE DADOS'!$AF$27</definedName>
    <definedName name="Capital_Inicial">'BANCO DE DADOS'!$AD$26</definedName>
    <definedName name="Crescimento_Salário">'BANCO DE DADOS'!$AF$35</definedName>
    <definedName name="Data_Anual">'BANCO DE DADOS'!$X$5:OFFSET('BANCO DE DADOS'!$X$5,'BANCO DE DADOS'!$AC$6,0)</definedName>
    <definedName name="Data_Anual_2">#REF!:OFFSET(#REF!,#REF!,0)</definedName>
    <definedName name="Data_Anual_3">#REF!:OFFSET(#REF!,#REF!,0)</definedName>
    <definedName name="Data_Mensal">'BANCO DE DADOS'!$U$5:OFFSET('BANCO DE DADOS'!$U$5,'BANCO DE DADOS'!$AC$4,0)</definedName>
    <definedName name="Inflação">'BANCO DE DADOS'!$AF$30</definedName>
    <definedName name="Mês_Atual">'BANCO DE DADOS'!$AF$4</definedName>
    <definedName name="Mês_Atual_2" localSheetId="4">'BANCO DE DADOS'!$AF$4</definedName>
    <definedName name="Patrimônio_Anual">'BANCO DE DADOS'!$V$5:OFFSET('BANCO DE DADOS'!$V$5,'BANCO DE DADOS'!$AC$6,0)</definedName>
    <definedName name="Patrimônio_Anual_2">#REF!:OFFSET(#REF!,#REF!,0)</definedName>
    <definedName name="Patrimônio_Anual_3">#REF!:OFFSET(#REF!,#REF!,0)</definedName>
    <definedName name="Período">'BANCO DE DADOS'!$AF$29</definedName>
    <definedName name="RentM">IFERROR((INDEX(#REF!,MATCH(#REF!,#REF!,0),MATCH(#REF!,#REF!,0))+INDEX(#REF!,MATCH(#REF!,#REF!,0),MATCH(#REF!,#REF!,0)))/INDEX(#REF!,MATCH(#REF!,#REF!,0)-1,MATCH(#REF!,#REF!,0))-1,"-")</definedName>
    <definedName name="Retorno_1994">'[1]Otimização 1994'!$D$9</definedName>
    <definedName name="Retorno_1999">'[1]Otimização 1999'!$D$10</definedName>
    <definedName name="Retorno_2006">'[1]Otimização 2006'!$H$17</definedName>
    <definedName name="Retorno_2008">'[1]Otimização 2008'!$H$22</definedName>
    <definedName name="Retorno_CDI">#REF!</definedName>
    <definedName name="Retorno_CSHG">#REF!</definedName>
    <definedName name="Retorno_Eagle">#REF!</definedName>
    <definedName name="Retorno_Gap">#REF!</definedName>
    <definedName name="Retorno_Gavea">#REF!</definedName>
    <definedName name="Risco_1994">'[1]Otimização 1994'!$E$9</definedName>
    <definedName name="Risco_1999">'[1]Otimização 1999'!$E$10</definedName>
    <definedName name="Risco_2006">'[1]Otimização 2006'!$I$17</definedName>
    <definedName name="Risco_2008">'[1]Otimização 2008'!$I$22</definedName>
    <definedName name="Risco_CDI">#REF!</definedName>
    <definedName name="Risco_CSHG">#REF!</definedName>
    <definedName name="Risco_Eagle">#REF!</definedName>
    <definedName name="Risco_Gap">#REF!</definedName>
    <definedName name="Risco_Gavea">#REF!</definedName>
    <definedName name="Taxa">'BANCO DE DADOS'!$AF$28</definedName>
    <definedName name="Valor_Presente">'BANCO DE DADOS'!$R$5:OFFSET('BANCO DE DADOS'!$R$5,'BANCO DE DADOS'!$AC$4,0)</definedName>
    <definedName name="Valor_Total">[2]Calc!$Q$5:OFFSET([2]Calc!$Q$5,[2]Calc!$AC$4,0)</definedName>
  </definedName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7" i="16" l="1"/>
  <c r="B8" i="16" s="1"/>
  <c r="B9" i="16" s="1"/>
  <c r="B10" i="16" s="1"/>
  <c r="B11" i="16" s="1"/>
  <c r="B12" i="16" s="1"/>
  <c r="B13" i="16" s="1"/>
  <c r="B14" i="16" s="1"/>
  <c r="B15" i="16" s="1"/>
  <c r="B16" i="16" s="1"/>
  <c r="B17" i="16" s="1"/>
  <c r="B18" i="16" s="1"/>
  <c r="B19" i="16" s="1"/>
  <c r="B20" i="16" s="1"/>
  <c r="B21" i="16" s="1"/>
  <c r="B22" i="16" s="1"/>
  <c r="B23" i="16" s="1"/>
  <c r="B24" i="16" s="1"/>
  <c r="B25" i="16" s="1"/>
  <c r="B26" i="16" s="1"/>
  <c r="B27" i="16" s="1"/>
  <c r="B28" i="16" s="1"/>
  <c r="B29" i="16" s="1"/>
  <c r="B30" i="16" s="1"/>
  <c r="B31" i="16" s="1"/>
  <c r="B32" i="16" s="1"/>
  <c r="B33" i="16" s="1"/>
  <c r="B34" i="16" s="1"/>
  <c r="AE36" i="5"/>
  <c r="AK22" i="5"/>
  <c r="AK23" i="5"/>
  <c r="AK24" i="5"/>
  <c r="AK25" i="5"/>
  <c r="AK26" i="5"/>
  <c r="AK27" i="5"/>
  <c r="AK28" i="5"/>
  <c r="AK29" i="5"/>
  <c r="AK30" i="5"/>
  <c r="AK31" i="5"/>
  <c r="AK32" i="5"/>
  <c r="AK33" i="5"/>
  <c r="AK34" i="5"/>
  <c r="AK35" i="5"/>
  <c r="AK36" i="5"/>
  <c r="AK37" i="5"/>
  <c r="AK38" i="5"/>
  <c r="AK39" i="5"/>
  <c r="AK40" i="5"/>
  <c r="AK41" i="5"/>
  <c r="AK42" i="5"/>
  <c r="AK43" i="5"/>
  <c r="AK44" i="5"/>
  <c r="AK45" i="5"/>
  <c r="AK46" i="5"/>
  <c r="AK47" i="5"/>
  <c r="AK48" i="5"/>
  <c r="AK49" i="5"/>
  <c r="AK50" i="5"/>
  <c r="AK51" i="5"/>
  <c r="AK52" i="5"/>
  <c r="AK53" i="5"/>
  <c r="AK54" i="5"/>
  <c r="AK55" i="5"/>
  <c r="AK56" i="5"/>
  <c r="AK57" i="5"/>
  <c r="AK58" i="5"/>
  <c r="AK59" i="5"/>
  <c r="AK60" i="5"/>
  <c r="AK61" i="5"/>
  <c r="AK62" i="5"/>
  <c r="AK63" i="5"/>
  <c r="AK64" i="5"/>
  <c r="AK65" i="5"/>
  <c r="AK66" i="5"/>
  <c r="AK67" i="5"/>
  <c r="AK68" i="5"/>
  <c r="AK69" i="5"/>
  <c r="AK70" i="5"/>
  <c r="AK71" i="5"/>
  <c r="AK72" i="5"/>
  <c r="AK73" i="5"/>
  <c r="AK74" i="5"/>
  <c r="AK75" i="5"/>
  <c r="AK76" i="5"/>
  <c r="AK77" i="5"/>
  <c r="AK21" i="5"/>
  <c r="J5" i="6"/>
  <c r="J6" i="6"/>
  <c r="J7" i="6"/>
  <c r="J8" i="6"/>
  <c r="J9" i="6"/>
  <c r="J10" i="6"/>
  <c r="J11" i="6"/>
  <c r="J12" i="6"/>
  <c r="J13" i="6"/>
  <c r="J14" i="6"/>
  <c r="L21" i="3"/>
  <c r="L22" i="3"/>
  <c r="L23" i="3"/>
  <c r="L24" i="3"/>
  <c r="L25" i="3"/>
  <c r="L26" i="3"/>
  <c r="L27" i="3"/>
  <c r="L28" i="3"/>
  <c r="L29" i="3"/>
  <c r="L20" i="3"/>
  <c r="L5" i="3"/>
  <c r="X6" i="5"/>
  <c r="X7" i="5"/>
  <c r="X8" i="5"/>
  <c r="X9" i="5"/>
  <c r="X10" i="5"/>
  <c r="X11" i="5"/>
  <c r="X12" i="5"/>
  <c r="X13" i="5"/>
  <c r="X14" i="5"/>
  <c r="X15" i="5"/>
  <c r="X16" i="5"/>
  <c r="X17" i="5"/>
  <c r="X18" i="5"/>
  <c r="X19" i="5"/>
  <c r="X20" i="5"/>
  <c r="X21" i="5"/>
  <c r="X22" i="5"/>
  <c r="X23" i="5"/>
  <c r="X24" i="5"/>
  <c r="X25" i="5"/>
  <c r="X26" i="5"/>
  <c r="X27" i="5"/>
  <c r="X28" i="5"/>
  <c r="X29" i="5"/>
  <c r="X30" i="5"/>
  <c r="X31" i="5"/>
  <c r="X32" i="5"/>
  <c r="X33" i="5"/>
  <c r="X34" i="5"/>
  <c r="X35" i="5"/>
  <c r="X36" i="5"/>
  <c r="X37" i="5"/>
  <c r="X38" i="5"/>
  <c r="X39" i="5"/>
  <c r="X40" i="5"/>
  <c r="X41" i="5"/>
  <c r="X42" i="5"/>
  <c r="X43" i="5"/>
  <c r="X44" i="5"/>
  <c r="X45" i="5"/>
  <c r="X46" i="5"/>
  <c r="X47" i="5"/>
  <c r="X48" i="5"/>
  <c r="X49" i="5"/>
  <c r="X50" i="5"/>
  <c r="X51" i="5"/>
  <c r="X52" i="5"/>
  <c r="X53" i="5"/>
  <c r="X54" i="5"/>
  <c r="X5" i="5"/>
  <c r="AF4" i="5"/>
  <c r="U5" i="5" s="1"/>
  <c r="U6" i="5" s="1"/>
  <c r="U7" i="5" s="1"/>
  <c r="U8" i="5" s="1"/>
  <c r="U9" i="5" s="1"/>
  <c r="U10" i="5" s="1"/>
  <c r="U11" i="5" s="1"/>
  <c r="U12" i="5" s="1"/>
  <c r="U13" i="5" s="1"/>
  <c r="U14" i="5" s="1"/>
  <c r="U15" i="5" s="1"/>
  <c r="U16" i="5" s="1"/>
  <c r="U17" i="5" s="1"/>
  <c r="U18" i="5" s="1"/>
  <c r="U19" i="5" s="1"/>
  <c r="U20" i="5" s="1"/>
  <c r="U21" i="5" s="1"/>
  <c r="U22" i="5" s="1"/>
  <c r="U23" i="5" s="1"/>
  <c r="U24" i="5" s="1"/>
  <c r="U25" i="5" s="1"/>
  <c r="U26" i="5" s="1"/>
  <c r="U27" i="5" s="1"/>
  <c r="U28" i="5" s="1"/>
  <c r="U29" i="5" s="1"/>
  <c r="U30" i="5" s="1"/>
  <c r="U31" i="5" s="1"/>
  <c r="U32" i="5" s="1"/>
  <c r="U33" i="5" s="1"/>
  <c r="U34" i="5" s="1"/>
  <c r="U35" i="5" s="1"/>
  <c r="U36" i="5" s="1"/>
  <c r="U37" i="5" s="1"/>
  <c r="U38" i="5" s="1"/>
  <c r="U39" i="5" s="1"/>
  <c r="U40" i="5" s="1"/>
  <c r="U41" i="5" s="1"/>
  <c r="U42" i="5" s="1"/>
  <c r="U43" i="5" s="1"/>
  <c r="U44" i="5" s="1"/>
  <c r="U45" i="5" s="1"/>
  <c r="U46" i="5" s="1"/>
  <c r="U47" i="5" s="1"/>
  <c r="U48" i="5" s="1"/>
  <c r="U49" i="5" s="1"/>
  <c r="U50" i="5" s="1"/>
  <c r="U51" i="5" s="1"/>
  <c r="U52" i="5" s="1"/>
  <c r="U53" i="5" s="1"/>
  <c r="U54" i="5" s="1"/>
  <c r="U55" i="5" s="1"/>
  <c r="U56" i="5" s="1"/>
  <c r="U57" i="5" s="1"/>
  <c r="U58" i="5" s="1"/>
  <c r="U59" i="5" s="1"/>
  <c r="U60" i="5" s="1"/>
  <c r="U61" i="5" s="1"/>
  <c r="U62" i="5" s="1"/>
  <c r="U63" i="5" s="1"/>
  <c r="U64" i="5" s="1"/>
  <c r="AB40" i="5"/>
  <c r="AB46" i="5"/>
  <c r="AB47" i="5"/>
  <c r="AB48" i="5"/>
  <c r="AB49" i="5"/>
  <c r="AB45" i="5"/>
  <c r="AB42" i="5"/>
  <c r="AB43" i="5"/>
  <c r="AB44" i="5"/>
  <c r="AB41" i="5"/>
  <c r="Y35" i="5"/>
  <c r="Y36" i="5"/>
  <c r="Y37" i="5"/>
  <c r="Y38" i="5"/>
  <c r="Y39" i="5"/>
  <c r="Y40" i="5"/>
  <c r="Y41" i="5"/>
  <c r="Y42" i="5"/>
  <c r="Y43" i="5"/>
  <c r="Y44" i="5"/>
  <c r="Y45" i="5"/>
  <c r="Y46" i="5"/>
  <c r="Y47" i="5"/>
  <c r="Y48" i="5"/>
  <c r="Y49" i="5"/>
  <c r="Y50" i="5"/>
  <c r="Y51" i="5"/>
  <c r="Y52" i="5"/>
  <c r="Y53" i="5"/>
  <c r="Y54" i="5"/>
  <c r="Y6" i="5"/>
  <c r="Y7" i="5"/>
  <c r="Y8" i="5"/>
  <c r="Y9" i="5"/>
  <c r="Y10" i="5"/>
  <c r="Y11" i="5"/>
  <c r="Y12" i="5"/>
  <c r="Y13" i="5"/>
  <c r="Y14" i="5"/>
  <c r="Y15" i="5"/>
  <c r="Y16" i="5"/>
  <c r="Y17" i="5"/>
  <c r="Y18" i="5"/>
  <c r="Y19" i="5"/>
  <c r="Y20" i="5"/>
  <c r="Y21" i="5"/>
  <c r="Y22" i="5"/>
  <c r="Y23" i="5"/>
  <c r="Y24" i="5"/>
  <c r="Y25" i="5"/>
  <c r="Y26" i="5"/>
  <c r="Y27" i="5"/>
  <c r="Y28" i="5"/>
  <c r="Y29" i="5"/>
  <c r="Y30" i="5"/>
  <c r="Y31" i="5"/>
  <c r="Y32" i="5"/>
  <c r="Y33" i="5"/>
  <c r="Y34" i="5"/>
  <c r="Y5" i="5"/>
  <c r="AG35" i="5"/>
  <c r="AD36" i="5"/>
  <c r="AF36" i="5" s="1"/>
  <c r="AG11" i="5" s="1"/>
  <c r="AD34" i="5"/>
  <c r="AE34" i="5" s="1"/>
  <c r="AG9" i="5" s="1"/>
  <c r="AD32" i="5"/>
  <c r="AE32" i="5" s="1"/>
  <c r="AG7" i="5" s="1"/>
  <c r="AD33" i="5"/>
  <c r="AE33" i="5" s="1"/>
  <c r="AD31" i="5"/>
  <c r="AE31" i="5" s="1"/>
  <c r="AD35" i="5"/>
  <c r="AF35" i="5" s="1"/>
  <c r="L16" i="7"/>
  <c r="L13" i="7"/>
  <c r="L10" i="7"/>
  <c r="L7" i="7"/>
  <c r="L4" i="7"/>
  <c r="AE30" i="5"/>
  <c r="AG30" i="5" s="1"/>
  <c r="AE29" i="5"/>
  <c r="AG29" i="5" s="1"/>
  <c r="AE28" i="5"/>
  <c r="AG28" i="5" s="1"/>
  <c r="AE27" i="5"/>
  <c r="AG27" i="5" s="1"/>
  <c r="AD30" i="5"/>
  <c r="AF30" i="5" s="1"/>
  <c r="AD29" i="5"/>
  <c r="B4" i="3" s="1"/>
  <c r="AD27" i="5"/>
  <c r="AD26" i="5"/>
  <c r="B27" i="6"/>
  <c r="T5" i="5"/>
  <c r="C6" i="5"/>
  <c r="AD28" i="5"/>
  <c r="AF29" i="5" l="1"/>
  <c r="AA18" i="5" s="1"/>
  <c r="AB18" i="5" s="1"/>
  <c r="AF27" i="5"/>
  <c r="E5" i="5" s="1"/>
  <c r="AG13" i="5"/>
  <c r="AF28" i="5"/>
  <c r="H5" i="5" s="1"/>
  <c r="I5" i="5" s="1"/>
  <c r="B5" i="5"/>
  <c r="B6" i="5" s="1"/>
  <c r="B7" i="5" s="1"/>
  <c r="B8" i="5" s="1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B41" i="5" s="1"/>
  <c r="B42" i="5" s="1"/>
  <c r="B43" i="5" s="1"/>
  <c r="B44" i="5" s="1"/>
  <c r="B45" i="5" s="1"/>
  <c r="B46" i="5" s="1"/>
  <c r="B47" i="5" s="1"/>
  <c r="B48" i="5" s="1"/>
  <c r="B49" i="5" s="1"/>
  <c r="B50" i="5" s="1"/>
  <c r="B51" i="5" s="1"/>
  <c r="B52" i="5" s="1"/>
  <c r="B53" i="5" s="1"/>
  <c r="B54" i="5" s="1"/>
  <c r="B55" i="5" s="1"/>
  <c r="B56" i="5" s="1"/>
  <c r="B57" i="5" s="1"/>
  <c r="B58" i="5" s="1"/>
  <c r="B59" i="5" s="1"/>
  <c r="B60" i="5" s="1"/>
  <c r="B61" i="5" s="1"/>
  <c r="B62" i="5" s="1"/>
  <c r="B63" i="5" s="1"/>
  <c r="B64" i="5" s="1"/>
  <c r="B65" i="5" s="1"/>
  <c r="B66" i="5" s="1"/>
  <c r="B67" i="5" s="1"/>
  <c r="B68" i="5" s="1"/>
  <c r="B69" i="5" s="1"/>
  <c r="B70" i="5" s="1"/>
  <c r="B71" i="5" s="1"/>
  <c r="B72" i="5" s="1"/>
  <c r="B73" i="5" s="1"/>
  <c r="B74" i="5" s="1"/>
  <c r="B75" i="5" s="1"/>
  <c r="B76" i="5" s="1"/>
  <c r="B77" i="5" s="1"/>
  <c r="B78" i="5" s="1"/>
  <c r="B79" i="5" s="1"/>
  <c r="B80" i="5" s="1"/>
  <c r="B81" i="5" s="1"/>
  <c r="B82" i="5" s="1"/>
  <c r="B83" i="5" s="1"/>
  <c r="B84" i="5" s="1"/>
  <c r="B85" i="5" s="1"/>
  <c r="B86" i="5" s="1"/>
  <c r="B87" i="5" s="1"/>
  <c r="B88" i="5" s="1"/>
  <c r="B89" i="5" s="1"/>
  <c r="B90" i="5" s="1"/>
  <c r="B91" i="5" s="1"/>
  <c r="B92" i="5" s="1"/>
  <c r="B93" i="5" s="1"/>
  <c r="B94" i="5" s="1"/>
  <c r="B95" i="5" s="1"/>
  <c r="B96" i="5" s="1"/>
  <c r="B97" i="5" s="1"/>
  <c r="B98" i="5" s="1"/>
  <c r="B99" i="5" s="1"/>
  <c r="B100" i="5" s="1"/>
  <c r="B101" i="5" s="1"/>
  <c r="B102" i="5" s="1"/>
  <c r="B103" i="5" s="1"/>
  <c r="B104" i="5" s="1"/>
  <c r="B105" i="5" s="1"/>
  <c r="B106" i="5" s="1"/>
  <c r="B107" i="5" s="1"/>
  <c r="B108" i="5" s="1"/>
  <c r="B109" i="5" s="1"/>
  <c r="B110" i="5" s="1"/>
  <c r="B111" i="5" s="1"/>
  <c r="B112" i="5" s="1"/>
  <c r="B113" i="5" s="1"/>
  <c r="B114" i="5" s="1"/>
  <c r="B115" i="5" s="1"/>
  <c r="B116" i="5" s="1"/>
  <c r="B117" i="5" s="1"/>
  <c r="B118" i="5" s="1"/>
  <c r="B119" i="5" s="1"/>
  <c r="B120" i="5" s="1"/>
  <c r="B121" i="5" s="1"/>
  <c r="B122" i="5" s="1"/>
  <c r="B123" i="5" s="1"/>
  <c r="B124" i="5" s="1"/>
  <c r="B125" i="5" s="1"/>
  <c r="B126" i="5" s="1"/>
  <c r="B127" i="5" s="1"/>
  <c r="B128" i="5" s="1"/>
  <c r="B129" i="5" s="1"/>
  <c r="B130" i="5" s="1"/>
  <c r="B131" i="5" s="1"/>
  <c r="B132" i="5" s="1"/>
  <c r="B133" i="5" s="1"/>
  <c r="B134" i="5" s="1"/>
  <c r="B135" i="5" s="1"/>
  <c r="B136" i="5" s="1"/>
  <c r="B137" i="5" s="1"/>
  <c r="B138" i="5" s="1"/>
  <c r="B139" i="5" s="1"/>
  <c r="B140" i="5" s="1"/>
  <c r="B141" i="5" s="1"/>
  <c r="B142" i="5" s="1"/>
  <c r="B143" i="5" s="1"/>
  <c r="B144" i="5" s="1"/>
  <c r="B145" i="5" s="1"/>
  <c r="B146" i="5" s="1"/>
  <c r="B147" i="5" s="1"/>
  <c r="B148" i="5" s="1"/>
  <c r="B149" i="5" s="1"/>
  <c r="B150" i="5" s="1"/>
  <c r="B151" i="5" s="1"/>
  <c r="B152" i="5" s="1"/>
  <c r="B153" i="5" s="1"/>
  <c r="B154" i="5" s="1"/>
  <c r="B155" i="5" s="1"/>
  <c r="B156" i="5" s="1"/>
  <c r="B157" i="5" s="1"/>
  <c r="B158" i="5" s="1"/>
  <c r="B159" i="5" s="1"/>
  <c r="B160" i="5" s="1"/>
  <c r="B161" i="5" s="1"/>
  <c r="B162" i="5" s="1"/>
  <c r="B163" i="5" s="1"/>
  <c r="B164" i="5" s="1"/>
  <c r="B165" i="5" s="1"/>
  <c r="B166" i="5" s="1"/>
  <c r="B167" i="5" s="1"/>
  <c r="B168" i="5" s="1"/>
  <c r="B169" i="5" s="1"/>
  <c r="B170" i="5" s="1"/>
  <c r="B171" i="5" s="1"/>
  <c r="B172" i="5" s="1"/>
  <c r="B173" i="5" s="1"/>
  <c r="B174" i="5" s="1"/>
  <c r="B175" i="5" s="1"/>
  <c r="B176" i="5" s="1"/>
  <c r="B177" i="5" s="1"/>
  <c r="B178" i="5" s="1"/>
  <c r="B179" i="5" s="1"/>
  <c r="B180" i="5" s="1"/>
  <c r="B181" i="5" s="1"/>
  <c r="B182" i="5" s="1"/>
  <c r="B183" i="5" s="1"/>
  <c r="B184" i="5" s="1"/>
  <c r="B185" i="5" s="1"/>
  <c r="B186" i="5" s="1"/>
  <c r="B187" i="5" s="1"/>
  <c r="B188" i="5" s="1"/>
  <c r="B189" i="5" s="1"/>
  <c r="B190" i="5" s="1"/>
  <c r="B191" i="5" s="1"/>
  <c r="B192" i="5" s="1"/>
  <c r="B193" i="5" s="1"/>
  <c r="B194" i="5" s="1"/>
  <c r="B195" i="5" s="1"/>
  <c r="B196" i="5" s="1"/>
  <c r="B197" i="5" s="1"/>
  <c r="B198" i="5" s="1"/>
  <c r="B199" i="5" s="1"/>
  <c r="B200" i="5" s="1"/>
  <c r="B201" i="5" s="1"/>
  <c r="B202" i="5" s="1"/>
  <c r="B203" i="5" s="1"/>
  <c r="B204" i="5" s="1"/>
  <c r="B205" i="5" s="1"/>
  <c r="B206" i="5" s="1"/>
  <c r="B207" i="5" s="1"/>
  <c r="B208" i="5" s="1"/>
  <c r="B209" i="5" s="1"/>
  <c r="B210" i="5" s="1"/>
  <c r="B211" i="5" s="1"/>
  <c r="B212" i="5" s="1"/>
  <c r="B213" i="5" s="1"/>
  <c r="B214" i="5" s="1"/>
  <c r="B215" i="5" s="1"/>
  <c r="B216" i="5" s="1"/>
  <c r="B217" i="5" s="1"/>
  <c r="B218" i="5" s="1"/>
  <c r="B219" i="5" s="1"/>
  <c r="B220" i="5" s="1"/>
  <c r="B221" i="5" s="1"/>
  <c r="B222" i="5" s="1"/>
  <c r="B223" i="5" s="1"/>
  <c r="B224" i="5" s="1"/>
  <c r="B225" i="5" s="1"/>
  <c r="B226" i="5" s="1"/>
  <c r="B227" i="5" s="1"/>
  <c r="B228" i="5" s="1"/>
  <c r="B229" i="5" s="1"/>
  <c r="B230" i="5" s="1"/>
  <c r="B231" i="5" s="1"/>
  <c r="B232" i="5" s="1"/>
  <c r="B233" i="5" s="1"/>
  <c r="B234" i="5" s="1"/>
  <c r="B235" i="5" s="1"/>
  <c r="B236" i="5" s="1"/>
  <c r="B237" i="5" s="1"/>
  <c r="B238" i="5" s="1"/>
  <c r="B239" i="5" s="1"/>
  <c r="B240" i="5" s="1"/>
  <c r="B241" i="5" s="1"/>
  <c r="B242" i="5" s="1"/>
  <c r="B243" i="5" s="1"/>
  <c r="B244" i="5" s="1"/>
  <c r="B245" i="5" s="1"/>
  <c r="B246" i="5" s="1"/>
  <c r="B247" i="5" s="1"/>
  <c r="B248" i="5" s="1"/>
  <c r="B249" i="5" s="1"/>
  <c r="B250" i="5" s="1"/>
  <c r="B251" i="5" s="1"/>
  <c r="B252" i="5" s="1"/>
  <c r="B253" i="5" s="1"/>
  <c r="B254" i="5" s="1"/>
  <c r="B255" i="5" s="1"/>
  <c r="B256" i="5" s="1"/>
  <c r="B257" i="5" s="1"/>
  <c r="B258" i="5" s="1"/>
  <c r="B259" i="5" s="1"/>
  <c r="B260" i="5" s="1"/>
  <c r="B261" i="5" s="1"/>
  <c r="B262" i="5" s="1"/>
  <c r="B263" i="5" s="1"/>
  <c r="B264" i="5" s="1"/>
  <c r="B265" i="5" s="1"/>
  <c r="B266" i="5" s="1"/>
  <c r="B267" i="5" s="1"/>
  <c r="B268" i="5" s="1"/>
  <c r="B269" i="5" s="1"/>
  <c r="B270" i="5" s="1"/>
  <c r="B271" i="5" s="1"/>
  <c r="B272" i="5" s="1"/>
  <c r="B273" i="5" s="1"/>
  <c r="B274" i="5" s="1"/>
  <c r="B275" i="5" s="1"/>
  <c r="B276" i="5" s="1"/>
  <c r="B277" i="5" s="1"/>
  <c r="B278" i="5" s="1"/>
  <c r="B279" i="5" s="1"/>
  <c r="B280" i="5" s="1"/>
  <c r="B281" i="5" s="1"/>
  <c r="B282" i="5" s="1"/>
  <c r="B283" i="5" s="1"/>
  <c r="B284" i="5" s="1"/>
  <c r="B285" i="5" s="1"/>
  <c r="B286" i="5" s="1"/>
  <c r="B287" i="5" s="1"/>
  <c r="B288" i="5" s="1"/>
  <c r="B289" i="5" s="1"/>
  <c r="B290" i="5" s="1"/>
  <c r="B291" i="5" s="1"/>
  <c r="B292" i="5" s="1"/>
  <c r="B293" i="5" s="1"/>
  <c r="B294" i="5" s="1"/>
  <c r="B295" i="5" s="1"/>
  <c r="B296" i="5" s="1"/>
  <c r="B297" i="5" s="1"/>
  <c r="B298" i="5" s="1"/>
  <c r="B299" i="5" s="1"/>
  <c r="B300" i="5" s="1"/>
  <c r="B301" i="5" s="1"/>
  <c r="B302" i="5" s="1"/>
  <c r="B303" i="5" s="1"/>
  <c r="B304" i="5" s="1"/>
  <c r="B305" i="5" s="1"/>
  <c r="B306" i="5" s="1"/>
  <c r="B307" i="5" s="1"/>
  <c r="B308" i="5" s="1"/>
  <c r="B309" i="5" s="1"/>
  <c r="B310" i="5" s="1"/>
  <c r="B311" i="5" s="1"/>
  <c r="B312" i="5" s="1"/>
  <c r="B313" i="5" s="1"/>
  <c r="B314" i="5" s="1"/>
  <c r="B315" i="5" s="1"/>
  <c r="B316" i="5" s="1"/>
  <c r="B317" i="5" s="1"/>
  <c r="B318" i="5" s="1"/>
  <c r="B319" i="5" s="1"/>
  <c r="B320" i="5" s="1"/>
  <c r="B321" i="5" s="1"/>
  <c r="B322" i="5" s="1"/>
  <c r="B323" i="5" s="1"/>
  <c r="B324" i="5" s="1"/>
  <c r="B325" i="5" s="1"/>
  <c r="B326" i="5" s="1"/>
  <c r="B327" i="5" s="1"/>
  <c r="B328" i="5" s="1"/>
  <c r="B329" i="5" s="1"/>
  <c r="B330" i="5" s="1"/>
  <c r="B331" i="5" s="1"/>
  <c r="B332" i="5" s="1"/>
  <c r="B333" i="5" s="1"/>
  <c r="B334" i="5" s="1"/>
  <c r="B335" i="5" s="1"/>
  <c r="B336" i="5" s="1"/>
  <c r="B337" i="5" s="1"/>
  <c r="B338" i="5" s="1"/>
  <c r="B339" i="5" s="1"/>
  <c r="B340" i="5" s="1"/>
  <c r="B341" i="5" s="1"/>
  <c r="B342" i="5" s="1"/>
  <c r="B343" i="5" s="1"/>
  <c r="B344" i="5" s="1"/>
  <c r="B345" i="5" s="1"/>
  <c r="B346" i="5" s="1"/>
  <c r="B347" i="5" s="1"/>
  <c r="B348" i="5" s="1"/>
  <c r="B349" i="5" s="1"/>
  <c r="B350" i="5" s="1"/>
  <c r="B351" i="5" s="1"/>
  <c r="B352" i="5" s="1"/>
  <c r="B353" i="5" s="1"/>
  <c r="B354" i="5" s="1"/>
  <c r="B355" i="5" s="1"/>
  <c r="B356" i="5" s="1"/>
  <c r="B357" i="5" s="1"/>
  <c r="B358" i="5" s="1"/>
  <c r="B359" i="5" s="1"/>
  <c r="B360" i="5" s="1"/>
  <c r="B361" i="5" s="1"/>
  <c r="B362" i="5" s="1"/>
  <c r="B363" i="5" s="1"/>
  <c r="B364" i="5" s="1"/>
  <c r="B365" i="5" s="1"/>
  <c r="B366" i="5" s="1"/>
  <c r="B367" i="5" s="1"/>
  <c r="B368" i="5" s="1"/>
  <c r="B369" i="5" s="1"/>
  <c r="B370" i="5" s="1"/>
  <c r="B371" i="5" s="1"/>
  <c r="B372" i="5" s="1"/>
  <c r="B373" i="5" s="1"/>
  <c r="B374" i="5" s="1"/>
  <c r="B375" i="5" s="1"/>
  <c r="B376" i="5" s="1"/>
  <c r="B377" i="5" s="1"/>
  <c r="B378" i="5" s="1"/>
  <c r="B379" i="5" s="1"/>
  <c r="B380" i="5" s="1"/>
  <c r="B381" i="5" s="1"/>
  <c r="B382" i="5" s="1"/>
  <c r="B383" i="5" s="1"/>
  <c r="B384" i="5" s="1"/>
  <c r="B385" i="5" s="1"/>
  <c r="B386" i="5" s="1"/>
  <c r="B387" i="5" s="1"/>
  <c r="B388" i="5" s="1"/>
  <c r="B389" i="5" s="1"/>
  <c r="B390" i="5" s="1"/>
  <c r="B391" i="5" s="1"/>
  <c r="B392" i="5" s="1"/>
  <c r="B393" i="5" s="1"/>
  <c r="B394" i="5" s="1"/>
  <c r="B395" i="5" s="1"/>
  <c r="B396" i="5" s="1"/>
  <c r="B397" i="5" s="1"/>
  <c r="B398" i="5" s="1"/>
  <c r="B399" i="5" s="1"/>
  <c r="B400" i="5" s="1"/>
  <c r="B401" i="5" s="1"/>
  <c r="B402" i="5" s="1"/>
  <c r="B403" i="5" s="1"/>
  <c r="B404" i="5" s="1"/>
  <c r="B405" i="5" s="1"/>
  <c r="B406" i="5" s="1"/>
  <c r="B407" i="5" s="1"/>
  <c r="B408" i="5" s="1"/>
  <c r="B409" i="5" s="1"/>
  <c r="B410" i="5" s="1"/>
  <c r="B411" i="5" s="1"/>
  <c r="B412" i="5" s="1"/>
  <c r="B413" i="5" s="1"/>
  <c r="B414" i="5" s="1"/>
  <c r="B415" i="5" s="1"/>
  <c r="B416" i="5" s="1"/>
  <c r="B417" i="5" s="1"/>
  <c r="B418" i="5" s="1"/>
  <c r="B419" i="5" s="1"/>
  <c r="B420" i="5" s="1"/>
  <c r="B421" i="5" s="1"/>
  <c r="B422" i="5" s="1"/>
  <c r="B423" i="5" s="1"/>
  <c r="B424" i="5" s="1"/>
  <c r="B425" i="5" s="1"/>
  <c r="B426" i="5" s="1"/>
  <c r="B427" i="5" s="1"/>
  <c r="B428" i="5" s="1"/>
  <c r="B429" i="5" s="1"/>
  <c r="B430" i="5" s="1"/>
  <c r="B431" i="5" s="1"/>
  <c r="B432" i="5" s="1"/>
  <c r="B433" i="5" s="1"/>
  <c r="B434" i="5" s="1"/>
  <c r="B435" i="5" s="1"/>
  <c r="B436" i="5" s="1"/>
  <c r="B437" i="5" s="1"/>
  <c r="B438" i="5" s="1"/>
  <c r="B439" i="5" s="1"/>
  <c r="B440" i="5" s="1"/>
  <c r="B441" i="5" s="1"/>
  <c r="B442" i="5" s="1"/>
  <c r="B443" i="5" s="1"/>
  <c r="B444" i="5" s="1"/>
  <c r="B445" i="5" s="1"/>
  <c r="B446" i="5" s="1"/>
  <c r="B447" i="5" s="1"/>
  <c r="B448" i="5" s="1"/>
  <c r="B449" i="5" s="1"/>
  <c r="B450" i="5" s="1"/>
  <c r="B451" i="5" s="1"/>
  <c r="B452" i="5" s="1"/>
  <c r="B453" i="5" s="1"/>
  <c r="B454" i="5" s="1"/>
  <c r="B455" i="5" s="1"/>
  <c r="B456" i="5" s="1"/>
  <c r="B457" i="5" s="1"/>
  <c r="B458" i="5" s="1"/>
  <c r="B459" i="5" s="1"/>
  <c r="B460" i="5" s="1"/>
  <c r="B461" i="5" s="1"/>
  <c r="B462" i="5" s="1"/>
  <c r="B463" i="5" s="1"/>
  <c r="B464" i="5" s="1"/>
  <c r="B465" i="5" s="1"/>
  <c r="B466" i="5" s="1"/>
  <c r="B467" i="5" s="1"/>
  <c r="B468" i="5" s="1"/>
  <c r="B469" i="5" s="1"/>
  <c r="B470" i="5" s="1"/>
  <c r="B471" i="5" s="1"/>
  <c r="B472" i="5" s="1"/>
  <c r="B473" i="5" s="1"/>
  <c r="B474" i="5" s="1"/>
  <c r="B475" i="5" s="1"/>
  <c r="B476" i="5" s="1"/>
  <c r="B477" i="5" s="1"/>
  <c r="B478" i="5" s="1"/>
  <c r="B479" i="5" s="1"/>
  <c r="B480" i="5" s="1"/>
  <c r="B481" i="5" s="1"/>
  <c r="B482" i="5" s="1"/>
  <c r="B483" i="5" s="1"/>
  <c r="B484" i="5" s="1"/>
  <c r="B485" i="5" s="1"/>
  <c r="B486" i="5" s="1"/>
  <c r="B487" i="5" s="1"/>
  <c r="B488" i="5" s="1"/>
  <c r="B489" i="5" s="1"/>
  <c r="B490" i="5" s="1"/>
  <c r="B491" i="5" s="1"/>
  <c r="B492" i="5" s="1"/>
  <c r="B493" i="5" s="1"/>
  <c r="B494" i="5" s="1"/>
  <c r="B495" i="5" s="1"/>
  <c r="B496" i="5" s="1"/>
  <c r="B497" i="5" s="1"/>
  <c r="B498" i="5" s="1"/>
  <c r="B499" i="5" s="1"/>
  <c r="B500" i="5" s="1"/>
  <c r="B501" i="5" s="1"/>
  <c r="B502" i="5" s="1"/>
  <c r="B503" i="5" s="1"/>
  <c r="B504" i="5" s="1"/>
  <c r="B505" i="5" s="1"/>
  <c r="B506" i="5" s="1"/>
  <c r="B507" i="5" s="1"/>
  <c r="B508" i="5" s="1"/>
  <c r="B509" i="5" s="1"/>
  <c r="B510" i="5" s="1"/>
  <c r="B511" i="5" s="1"/>
  <c r="B512" i="5" s="1"/>
  <c r="B513" i="5" s="1"/>
  <c r="B514" i="5" s="1"/>
  <c r="B515" i="5" s="1"/>
  <c r="B516" i="5" s="1"/>
  <c r="B517" i="5" s="1"/>
  <c r="B518" i="5" s="1"/>
  <c r="B519" i="5" s="1"/>
  <c r="B520" i="5" s="1"/>
  <c r="B521" i="5" s="1"/>
  <c r="B522" i="5" s="1"/>
  <c r="B523" i="5" s="1"/>
  <c r="B524" i="5" s="1"/>
  <c r="B525" i="5" s="1"/>
  <c r="B526" i="5" s="1"/>
  <c r="B527" i="5" s="1"/>
  <c r="B528" i="5" s="1"/>
  <c r="B529" i="5" s="1"/>
  <c r="B530" i="5" s="1"/>
  <c r="B531" i="5" s="1"/>
  <c r="B532" i="5" s="1"/>
  <c r="B533" i="5" s="1"/>
  <c r="B534" i="5" s="1"/>
  <c r="B535" i="5" s="1"/>
  <c r="B536" i="5" s="1"/>
  <c r="B537" i="5" s="1"/>
  <c r="B538" i="5" s="1"/>
  <c r="B539" i="5" s="1"/>
  <c r="B540" i="5" s="1"/>
  <c r="B541" i="5" s="1"/>
  <c r="B542" i="5" s="1"/>
  <c r="B543" i="5" s="1"/>
  <c r="B544" i="5" s="1"/>
  <c r="B545" i="5" s="1"/>
  <c r="B546" i="5" s="1"/>
  <c r="B547" i="5" s="1"/>
  <c r="B548" i="5" s="1"/>
  <c r="B549" i="5" s="1"/>
  <c r="B550" i="5" s="1"/>
  <c r="B551" i="5" s="1"/>
  <c r="B552" i="5" s="1"/>
  <c r="B553" i="5" s="1"/>
  <c r="B554" i="5" s="1"/>
  <c r="B555" i="5" s="1"/>
  <c r="B556" i="5" s="1"/>
  <c r="B557" i="5" s="1"/>
  <c r="B558" i="5" s="1"/>
  <c r="B559" i="5" s="1"/>
  <c r="B560" i="5" s="1"/>
  <c r="B561" i="5" s="1"/>
  <c r="B562" i="5" s="1"/>
  <c r="B563" i="5" s="1"/>
  <c r="B564" i="5" s="1"/>
  <c r="B565" i="5" s="1"/>
  <c r="B566" i="5" s="1"/>
  <c r="B567" i="5" s="1"/>
  <c r="B568" i="5" s="1"/>
  <c r="B569" i="5" s="1"/>
  <c r="B570" i="5" s="1"/>
  <c r="B571" i="5" s="1"/>
  <c r="B572" i="5" s="1"/>
  <c r="B573" i="5" s="1"/>
  <c r="B574" i="5" s="1"/>
  <c r="B575" i="5" s="1"/>
  <c r="B576" i="5" s="1"/>
  <c r="B577" i="5" s="1"/>
  <c r="B578" i="5" s="1"/>
  <c r="B579" i="5" s="1"/>
  <c r="B580" i="5" s="1"/>
  <c r="B581" i="5" s="1"/>
  <c r="B582" i="5" s="1"/>
  <c r="B583" i="5" s="1"/>
  <c r="B584" i="5" s="1"/>
  <c r="B585" i="5" s="1"/>
  <c r="B586" i="5" s="1"/>
  <c r="B587" i="5" s="1"/>
  <c r="B588" i="5" s="1"/>
  <c r="B589" i="5" s="1"/>
  <c r="B590" i="5" s="1"/>
  <c r="B591" i="5" s="1"/>
  <c r="B592" i="5" s="1"/>
  <c r="B593" i="5" s="1"/>
  <c r="B594" i="5" s="1"/>
  <c r="B595" i="5" s="1"/>
  <c r="B596" i="5" s="1"/>
  <c r="B597" i="5" s="1"/>
  <c r="B598" i="5" s="1"/>
  <c r="B599" i="5" s="1"/>
  <c r="B600" i="5" s="1"/>
  <c r="B601" i="5" s="1"/>
  <c r="B602" i="5" s="1"/>
  <c r="B603" i="5" s="1"/>
  <c r="B604" i="5" s="1"/>
  <c r="U65" i="5"/>
  <c r="U66" i="5" s="1"/>
  <c r="U67" i="5" s="1"/>
  <c r="U68" i="5" s="1"/>
  <c r="U69" i="5" s="1"/>
  <c r="U70" i="5" s="1"/>
  <c r="U71" i="5" s="1"/>
  <c r="U72" i="5" s="1"/>
  <c r="U73" i="5" s="1"/>
  <c r="U74" i="5" s="1"/>
  <c r="U75" i="5" s="1"/>
  <c r="U76" i="5" s="1"/>
  <c r="U77" i="5" s="1"/>
  <c r="U78" i="5" s="1"/>
  <c r="U79" i="5" s="1"/>
  <c r="U80" i="5" s="1"/>
  <c r="U81" i="5" s="1"/>
  <c r="U82" i="5" s="1"/>
  <c r="U83" i="5" s="1"/>
  <c r="U84" i="5" s="1"/>
  <c r="U85" i="5" s="1"/>
  <c r="U86" i="5" s="1"/>
  <c r="U87" i="5" s="1"/>
  <c r="U88" i="5" s="1"/>
  <c r="U89" i="5" s="1"/>
  <c r="U90" i="5" s="1"/>
  <c r="U91" i="5" s="1"/>
  <c r="U92" i="5" s="1"/>
  <c r="U93" i="5" s="1"/>
  <c r="U94" i="5" s="1"/>
  <c r="U95" i="5" s="1"/>
  <c r="U96" i="5" s="1"/>
  <c r="U97" i="5" s="1"/>
  <c r="U98" i="5" s="1"/>
  <c r="U99" i="5" s="1"/>
  <c r="U100" i="5" s="1"/>
  <c r="U101" i="5" s="1"/>
  <c r="U102" i="5" s="1"/>
  <c r="U103" i="5" s="1"/>
  <c r="U104" i="5" s="1"/>
  <c r="U105" i="5" s="1"/>
  <c r="U106" i="5" s="1"/>
  <c r="U107" i="5" s="1"/>
  <c r="U108" i="5" s="1"/>
  <c r="U109" i="5" s="1"/>
  <c r="U110" i="5" s="1"/>
  <c r="U111" i="5" s="1"/>
  <c r="U112" i="5" s="1"/>
  <c r="U113" i="5" s="1"/>
  <c r="U114" i="5" s="1"/>
  <c r="U115" i="5" s="1"/>
  <c r="U116" i="5" s="1"/>
  <c r="U117" i="5" s="1"/>
  <c r="U118" i="5" s="1"/>
  <c r="U119" i="5" s="1"/>
  <c r="U120" i="5" s="1"/>
  <c r="U121" i="5" s="1"/>
  <c r="U122" i="5" s="1"/>
  <c r="U123" i="5" s="1"/>
  <c r="U124" i="5" s="1"/>
  <c r="AC40" i="5"/>
  <c r="T6" i="5"/>
  <c r="C7" i="5"/>
  <c r="AC7" i="5" l="1"/>
  <c r="AC6" i="5"/>
  <c r="AC4" i="5"/>
  <c r="F5" i="5"/>
  <c r="E6" i="5"/>
  <c r="E7" i="5" s="1"/>
  <c r="E8" i="5" s="1"/>
  <c r="E9" i="5" s="1"/>
  <c r="E10" i="5" s="1"/>
  <c r="E11" i="5" s="1"/>
  <c r="E12" i="5" s="1"/>
  <c r="E13" i="5" s="1"/>
  <c r="E14" i="5" s="1"/>
  <c r="E15" i="5" s="1"/>
  <c r="E16" i="5" s="1"/>
  <c r="E17" i="5" s="1"/>
  <c r="E18" i="5" s="1"/>
  <c r="E19" i="5" s="1"/>
  <c r="E20" i="5" s="1"/>
  <c r="E21" i="5" s="1"/>
  <c r="E22" i="5" s="1"/>
  <c r="E23" i="5" s="1"/>
  <c r="E24" i="5" s="1"/>
  <c r="E25" i="5" s="1"/>
  <c r="E26" i="5" s="1"/>
  <c r="E27" i="5" s="1"/>
  <c r="E28" i="5" s="1"/>
  <c r="E29" i="5" s="1"/>
  <c r="E30" i="5" s="1"/>
  <c r="E31" i="5" s="1"/>
  <c r="E32" i="5" s="1"/>
  <c r="E33" i="5" s="1"/>
  <c r="E34" i="5" s="1"/>
  <c r="E35" i="5" s="1"/>
  <c r="E36" i="5" s="1"/>
  <c r="E37" i="5" s="1"/>
  <c r="E38" i="5" s="1"/>
  <c r="E39" i="5" s="1"/>
  <c r="E40" i="5" s="1"/>
  <c r="E41" i="5" s="1"/>
  <c r="E42" i="5" s="1"/>
  <c r="E43" i="5" s="1"/>
  <c r="E44" i="5" s="1"/>
  <c r="E45" i="5" s="1"/>
  <c r="E46" i="5" s="1"/>
  <c r="E47" i="5" s="1"/>
  <c r="E48" i="5" s="1"/>
  <c r="E49" i="5" s="1"/>
  <c r="E50" i="5" s="1"/>
  <c r="E51" i="5" s="1"/>
  <c r="E52" i="5" s="1"/>
  <c r="E53" i="5" s="1"/>
  <c r="E54" i="5" s="1"/>
  <c r="E55" i="5" s="1"/>
  <c r="E56" i="5" s="1"/>
  <c r="E57" i="5" s="1"/>
  <c r="E58" i="5" s="1"/>
  <c r="E59" i="5" s="1"/>
  <c r="E60" i="5" s="1"/>
  <c r="E61" i="5" s="1"/>
  <c r="E62" i="5" s="1"/>
  <c r="E63" i="5" s="1"/>
  <c r="E64" i="5" s="1"/>
  <c r="E65" i="5" s="1"/>
  <c r="E66" i="5" s="1"/>
  <c r="E67" i="5" s="1"/>
  <c r="E68" i="5" s="1"/>
  <c r="E69" i="5" s="1"/>
  <c r="E70" i="5" s="1"/>
  <c r="E71" i="5" s="1"/>
  <c r="E72" i="5" s="1"/>
  <c r="E73" i="5" s="1"/>
  <c r="E74" i="5" s="1"/>
  <c r="E75" i="5" s="1"/>
  <c r="E76" i="5" s="1"/>
  <c r="E77" i="5" s="1"/>
  <c r="E78" i="5" s="1"/>
  <c r="E79" i="5" s="1"/>
  <c r="E80" i="5" s="1"/>
  <c r="E81" i="5" s="1"/>
  <c r="E82" i="5" s="1"/>
  <c r="E83" i="5" s="1"/>
  <c r="E84" i="5" s="1"/>
  <c r="E85" i="5" s="1"/>
  <c r="E86" i="5" s="1"/>
  <c r="E87" i="5" s="1"/>
  <c r="E88" i="5" s="1"/>
  <c r="E89" i="5" s="1"/>
  <c r="E90" i="5" s="1"/>
  <c r="E91" i="5" s="1"/>
  <c r="E92" i="5" s="1"/>
  <c r="E93" i="5" s="1"/>
  <c r="E94" i="5" s="1"/>
  <c r="E95" i="5" s="1"/>
  <c r="E96" i="5" s="1"/>
  <c r="E97" i="5" s="1"/>
  <c r="E98" i="5" s="1"/>
  <c r="E99" i="5" s="1"/>
  <c r="E100" i="5" s="1"/>
  <c r="E101" i="5" s="1"/>
  <c r="E102" i="5" s="1"/>
  <c r="E103" i="5" s="1"/>
  <c r="E104" i="5" s="1"/>
  <c r="E105" i="5" s="1"/>
  <c r="E106" i="5" s="1"/>
  <c r="E107" i="5" s="1"/>
  <c r="E108" i="5" s="1"/>
  <c r="E109" i="5" s="1"/>
  <c r="E110" i="5" s="1"/>
  <c r="E111" i="5" s="1"/>
  <c r="E112" i="5" s="1"/>
  <c r="E113" i="5" s="1"/>
  <c r="E114" i="5" s="1"/>
  <c r="E115" i="5" s="1"/>
  <c r="E116" i="5" s="1"/>
  <c r="E117" i="5" s="1"/>
  <c r="E118" i="5" s="1"/>
  <c r="E119" i="5" s="1"/>
  <c r="E120" i="5" s="1"/>
  <c r="E121" i="5" s="1"/>
  <c r="E122" i="5" s="1"/>
  <c r="E123" i="5" s="1"/>
  <c r="E124" i="5" s="1"/>
  <c r="E125" i="5" s="1"/>
  <c r="E126" i="5" s="1"/>
  <c r="E127" i="5" s="1"/>
  <c r="E128" i="5" s="1"/>
  <c r="E129" i="5" s="1"/>
  <c r="E130" i="5" s="1"/>
  <c r="E131" i="5" s="1"/>
  <c r="E132" i="5" s="1"/>
  <c r="E133" i="5" s="1"/>
  <c r="E134" i="5" s="1"/>
  <c r="E135" i="5" s="1"/>
  <c r="E136" i="5" s="1"/>
  <c r="E137" i="5" s="1"/>
  <c r="E138" i="5" s="1"/>
  <c r="E139" i="5" s="1"/>
  <c r="E140" i="5" s="1"/>
  <c r="E141" i="5" s="1"/>
  <c r="E142" i="5" s="1"/>
  <c r="E143" i="5" s="1"/>
  <c r="E144" i="5" s="1"/>
  <c r="E145" i="5" s="1"/>
  <c r="E146" i="5" s="1"/>
  <c r="E147" i="5" s="1"/>
  <c r="E148" i="5" s="1"/>
  <c r="E149" i="5" s="1"/>
  <c r="E150" i="5" s="1"/>
  <c r="E151" i="5" s="1"/>
  <c r="E152" i="5" s="1"/>
  <c r="E153" i="5" s="1"/>
  <c r="E154" i="5" s="1"/>
  <c r="E155" i="5" s="1"/>
  <c r="E156" i="5" s="1"/>
  <c r="E157" i="5" s="1"/>
  <c r="E158" i="5" s="1"/>
  <c r="E159" i="5" s="1"/>
  <c r="E160" i="5" s="1"/>
  <c r="E161" i="5" s="1"/>
  <c r="E162" i="5" s="1"/>
  <c r="E163" i="5" s="1"/>
  <c r="E164" i="5" s="1"/>
  <c r="E165" i="5" s="1"/>
  <c r="E166" i="5" s="1"/>
  <c r="E167" i="5" s="1"/>
  <c r="E168" i="5" s="1"/>
  <c r="E169" i="5" s="1"/>
  <c r="E170" i="5" s="1"/>
  <c r="E171" i="5" s="1"/>
  <c r="E172" i="5" s="1"/>
  <c r="E173" i="5" s="1"/>
  <c r="E174" i="5" s="1"/>
  <c r="E175" i="5" s="1"/>
  <c r="E176" i="5" s="1"/>
  <c r="E177" i="5" s="1"/>
  <c r="E178" i="5" s="1"/>
  <c r="E179" i="5" s="1"/>
  <c r="E180" i="5" s="1"/>
  <c r="E181" i="5" s="1"/>
  <c r="E182" i="5" s="1"/>
  <c r="E183" i="5" s="1"/>
  <c r="E184" i="5" s="1"/>
  <c r="E185" i="5" s="1"/>
  <c r="E186" i="5" s="1"/>
  <c r="E187" i="5" s="1"/>
  <c r="E188" i="5" s="1"/>
  <c r="E189" i="5" s="1"/>
  <c r="E190" i="5" s="1"/>
  <c r="E191" i="5" s="1"/>
  <c r="E192" i="5" s="1"/>
  <c r="E193" i="5" s="1"/>
  <c r="E194" i="5" s="1"/>
  <c r="E195" i="5" s="1"/>
  <c r="E196" i="5" s="1"/>
  <c r="E197" i="5" s="1"/>
  <c r="E198" i="5" s="1"/>
  <c r="E199" i="5" s="1"/>
  <c r="E200" i="5" s="1"/>
  <c r="E201" i="5" s="1"/>
  <c r="E202" i="5" s="1"/>
  <c r="E203" i="5" s="1"/>
  <c r="E204" i="5" s="1"/>
  <c r="E205" i="5" s="1"/>
  <c r="E206" i="5" s="1"/>
  <c r="E207" i="5" s="1"/>
  <c r="E208" i="5" s="1"/>
  <c r="E209" i="5" s="1"/>
  <c r="E210" i="5" s="1"/>
  <c r="E211" i="5" s="1"/>
  <c r="E212" i="5" s="1"/>
  <c r="E213" i="5" s="1"/>
  <c r="E214" i="5" s="1"/>
  <c r="E215" i="5" s="1"/>
  <c r="E216" i="5" s="1"/>
  <c r="E217" i="5" s="1"/>
  <c r="E218" i="5" s="1"/>
  <c r="E219" i="5" s="1"/>
  <c r="E220" i="5" s="1"/>
  <c r="E221" i="5" s="1"/>
  <c r="E222" i="5" s="1"/>
  <c r="E223" i="5" s="1"/>
  <c r="E224" i="5" s="1"/>
  <c r="E225" i="5" s="1"/>
  <c r="E226" i="5" s="1"/>
  <c r="E227" i="5" s="1"/>
  <c r="E228" i="5" s="1"/>
  <c r="E229" i="5" s="1"/>
  <c r="E230" i="5" s="1"/>
  <c r="E231" i="5" s="1"/>
  <c r="E232" i="5" s="1"/>
  <c r="E233" i="5" s="1"/>
  <c r="E234" i="5" s="1"/>
  <c r="E235" i="5" s="1"/>
  <c r="E236" i="5" s="1"/>
  <c r="E237" i="5" s="1"/>
  <c r="E238" i="5" s="1"/>
  <c r="E239" i="5" s="1"/>
  <c r="E240" i="5" s="1"/>
  <c r="E241" i="5" s="1"/>
  <c r="E242" i="5" s="1"/>
  <c r="E243" i="5" s="1"/>
  <c r="E244" i="5" s="1"/>
  <c r="E245" i="5" s="1"/>
  <c r="E246" i="5" s="1"/>
  <c r="E247" i="5" s="1"/>
  <c r="E248" i="5" s="1"/>
  <c r="E249" i="5" s="1"/>
  <c r="E250" i="5" s="1"/>
  <c r="E251" i="5" s="1"/>
  <c r="E252" i="5" s="1"/>
  <c r="E253" i="5" s="1"/>
  <c r="E254" i="5" s="1"/>
  <c r="E255" i="5" s="1"/>
  <c r="E256" i="5" s="1"/>
  <c r="E257" i="5" s="1"/>
  <c r="E258" i="5" s="1"/>
  <c r="E259" i="5" s="1"/>
  <c r="E260" i="5" s="1"/>
  <c r="E261" i="5" s="1"/>
  <c r="E262" i="5" s="1"/>
  <c r="E263" i="5" s="1"/>
  <c r="E264" i="5" s="1"/>
  <c r="E265" i="5" s="1"/>
  <c r="E266" i="5" s="1"/>
  <c r="E267" i="5" s="1"/>
  <c r="E268" i="5" s="1"/>
  <c r="E269" i="5" s="1"/>
  <c r="E270" i="5" s="1"/>
  <c r="E271" i="5" s="1"/>
  <c r="E272" i="5" s="1"/>
  <c r="E273" i="5" s="1"/>
  <c r="E274" i="5" s="1"/>
  <c r="E275" i="5" s="1"/>
  <c r="E276" i="5" s="1"/>
  <c r="E277" i="5" s="1"/>
  <c r="E278" i="5" s="1"/>
  <c r="E279" i="5" s="1"/>
  <c r="E280" i="5" s="1"/>
  <c r="E281" i="5" s="1"/>
  <c r="E282" i="5" s="1"/>
  <c r="E283" i="5" s="1"/>
  <c r="E284" i="5" s="1"/>
  <c r="E285" i="5" s="1"/>
  <c r="E286" i="5" s="1"/>
  <c r="E287" i="5" s="1"/>
  <c r="E288" i="5" s="1"/>
  <c r="E289" i="5" s="1"/>
  <c r="E290" i="5" s="1"/>
  <c r="E291" i="5" s="1"/>
  <c r="E292" i="5" s="1"/>
  <c r="E293" i="5" s="1"/>
  <c r="E294" i="5" s="1"/>
  <c r="E295" i="5" s="1"/>
  <c r="E296" i="5" s="1"/>
  <c r="E297" i="5" s="1"/>
  <c r="E298" i="5" s="1"/>
  <c r="E299" i="5" s="1"/>
  <c r="E300" i="5" s="1"/>
  <c r="E301" i="5" s="1"/>
  <c r="E302" i="5" s="1"/>
  <c r="E303" i="5" s="1"/>
  <c r="E304" i="5" s="1"/>
  <c r="E305" i="5" s="1"/>
  <c r="E306" i="5" s="1"/>
  <c r="E307" i="5" s="1"/>
  <c r="E308" i="5" s="1"/>
  <c r="E309" i="5" s="1"/>
  <c r="E310" i="5" s="1"/>
  <c r="E311" i="5" s="1"/>
  <c r="E312" i="5" s="1"/>
  <c r="E313" i="5" s="1"/>
  <c r="E314" i="5" s="1"/>
  <c r="E315" i="5" s="1"/>
  <c r="E316" i="5" s="1"/>
  <c r="E317" i="5" s="1"/>
  <c r="E318" i="5" s="1"/>
  <c r="E319" i="5" s="1"/>
  <c r="E320" i="5" s="1"/>
  <c r="E321" i="5" s="1"/>
  <c r="E322" i="5" s="1"/>
  <c r="E323" i="5" s="1"/>
  <c r="E324" i="5" s="1"/>
  <c r="E325" i="5" s="1"/>
  <c r="E326" i="5" s="1"/>
  <c r="E327" i="5" s="1"/>
  <c r="E328" i="5" s="1"/>
  <c r="E329" i="5" s="1"/>
  <c r="E330" i="5" s="1"/>
  <c r="E331" i="5" s="1"/>
  <c r="E332" i="5" s="1"/>
  <c r="E333" i="5" s="1"/>
  <c r="E334" i="5" s="1"/>
  <c r="E335" i="5" s="1"/>
  <c r="E336" i="5" s="1"/>
  <c r="E337" i="5" s="1"/>
  <c r="E338" i="5" s="1"/>
  <c r="E339" i="5" s="1"/>
  <c r="E340" i="5" s="1"/>
  <c r="E341" i="5" s="1"/>
  <c r="E342" i="5" s="1"/>
  <c r="E343" i="5" s="1"/>
  <c r="E344" i="5" s="1"/>
  <c r="E345" i="5" s="1"/>
  <c r="E346" i="5" s="1"/>
  <c r="E347" i="5" s="1"/>
  <c r="E348" i="5" s="1"/>
  <c r="E349" i="5" s="1"/>
  <c r="E350" i="5" s="1"/>
  <c r="E351" i="5" s="1"/>
  <c r="E352" i="5" s="1"/>
  <c r="E353" i="5" s="1"/>
  <c r="E354" i="5" s="1"/>
  <c r="E355" i="5" s="1"/>
  <c r="E356" i="5" s="1"/>
  <c r="E357" i="5" s="1"/>
  <c r="E358" i="5" s="1"/>
  <c r="E359" i="5" s="1"/>
  <c r="E360" i="5" s="1"/>
  <c r="E361" i="5" s="1"/>
  <c r="E362" i="5" s="1"/>
  <c r="E363" i="5" s="1"/>
  <c r="E364" i="5" s="1"/>
  <c r="E365" i="5" s="1"/>
  <c r="E366" i="5" s="1"/>
  <c r="E367" i="5" s="1"/>
  <c r="E368" i="5" s="1"/>
  <c r="E369" i="5" s="1"/>
  <c r="E370" i="5" s="1"/>
  <c r="E371" i="5" s="1"/>
  <c r="E372" i="5" s="1"/>
  <c r="E373" i="5" s="1"/>
  <c r="E374" i="5" s="1"/>
  <c r="E375" i="5" s="1"/>
  <c r="E376" i="5" s="1"/>
  <c r="E377" i="5" s="1"/>
  <c r="E378" i="5" s="1"/>
  <c r="E379" i="5" s="1"/>
  <c r="E380" i="5" s="1"/>
  <c r="E381" i="5" s="1"/>
  <c r="E382" i="5" s="1"/>
  <c r="E383" i="5" s="1"/>
  <c r="E384" i="5" s="1"/>
  <c r="E385" i="5" s="1"/>
  <c r="E386" i="5" s="1"/>
  <c r="E387" i="5" s="1"/>
  <c r="E388" i="5" s="1"/>
  <c r="E389" i="5" s="1"/>
  <c r="E390" i="5" s="1"/>
  <c r="E391" i="5" s="1"/>
  <c r="E392" i="5" s="1"/>
  <c r="E393" i="5" s="1"/>
  <c r="E394" i="5" s="1"/>
  <c r="E395" i="5" s="1"/>
  <c r="E396" i="5" s="1"/>
  <c r="E397" i="5" s="1"/>
  <c r="E398" i="5" s="1"/>
  <c r="E399" i="5" s="1"/>
  <c r="E400" i="5" s="1"/>
  <c r="E401" i="5" s="1"/>
  <c r="E402" i="5" s="1"/>
  <c r="E403" i="5" s="1"/>
  <c r="E404" i="5" s="1"/>
  <c r="E405" i="5" s="1"/>
  <c r="E406" i="5" s="1"/>
  <c r="E407" i="5" s="1"/>
  <c r="E408" i="5" s="1"/>
  <c r="E409" i="5" s="1"/>
  <c r="E410" i="5" s="1"/>
  <c r="E411" i="5" s="1"/>
  <c r="E412" i="5" s="1"/>
  <c r="E413" i="5" s="1"/>
  <c r="E414" i="5" s="1"/>
  <c r="E415" i="5" s="1"/>
  <c r="E416" i="5" s="1"/>
  <c r="E417" i="5" s="1"/>
  <c r="E418" i="5" s="1"/>
  <c r="E419" i="5" s="1"/>
  <c r="E420" i="5" s="1"/>
  <c r="E421" i="5" s="1"/>
  <c r="E422" i="5" s="1"/>
  <c r="E423" i="5" s="1"/>
  <c r="E424" i="5" s="1"/>
  <c r="E425" i="5" s="1"/>
  <c r="E426" i="5" s="1"/>
  <c r="E427" i="5" s="1"/>
  <c r="E428" i="5" s="1"/>
  <c r="E429" i="5" s="1"/>
  <c r="E430" i="5" s="1"/>
  <c r="E431" i="5" s="1"/>
  <c r="E432" i="5" s="1"/>
  <c r="E433" i="5" s="1"/>
  <c r="E434" i="5" s="1"/>
  <c r="E435" i="5" s="1"/>
  <c r="E436" i="5" s="1"/>
  <c r="E437" i="5" s="1"/>
  <c r="E438" i="5" s="1"/>
  <c r="E439" i="5" s="1"/>
  <c r="E440" i="5" s="1"/>
  <c r="E441" i="5" s="1"/>
  <c r="E442" i="5" s="1"/>
  <c r="E443" i="5" s="1"/>
  <c r="E444" i="5" s="1"/>
  <c r="E445" i="5" s="1"/>
  <c r="E446" i="5" s="1"/>
  <c r="E447" i="5" s="1"/>
  <c r="E448" i="5" s="1"/>
  <c r="E449" i="5" s="1"/>
  <c r="E450" i="5" s="1"/>
  <c r="E451" i="5" s="1"/>
  <c r="E452" i="5" s="1"/>
  <c r="E453" i="5" s="1"/>
  <c r="E454" i="5" s="1"/>
  <c r="E455" i="5" s="1"/>
  <c r="E456" i="5" s="1"/>
  <c r="E457" i="5" s="1"/>
  <c r="E458" i="5" s="1"/>
  <c r="E459" i="5" s="1"/>
  <c r="E460" i="5" s="1"/>
  <c r="E461" i="5" s="1"/>
  <c r="E462" i="5" s="1"/>
  <c r="E463" i="5" s="1"/>
  <c r="E464" i="5" s="1"/>
  <c r="E465" i="5" s="1"/>
  <c r="E466" i="5" s="1"/>
  <c r="E467" i="5" s="1"/>
  <c r="E468" i="5" s="1"/>
  <c r="E469" i="5" s="1"/>
  <c r="E470" i="5" s="1"/>
  <c r="E471" i="5" s="1"/>
  <c r="E472" i="5" s="1"/>
  <c r="E473" i="5" s="1"/>
  <c r="E474" i="5" s="1"/>
  <c r="E475" i="5" s="1"/>
  <c r="E476" i="5" s="1"/>
  <c r="E477" i="5" s="1"/>
  <c r="E478" i="5" s="1"/>
  <c r="E479" i="5" s="1"/>
  <c r="E480" i="5" s="1"/>
  <c r="E481" i="5" s="1"/>
  <c r="E482" i="5" s="1"/>
  <c r="E483" i="5" s="1"/>
  <c r="E484" i="5" s="1"/>
  <c r="E485" i="5" s="1"/>
  <c r="E486" i="5" s="1"/>
  <c r="E487" i="5" s="1"/>
  <c r="E488" i="5" s="1"/>
  <c r="E489" i="5" s="1"/>
  <c r="E490" i="5" s="1"/>
  <c r="E491" i="5" s="1"/>
  <c r="E492" i="5" s="1"/>
  <c r="E493" i="5" s="1"/>
  <c r="E494" i="5" s="1"/>
  <c r="E495" i="5" s="1"/>
  <c r="E496" i="5" s="1"/>
  <c r="E497" i="5" s="1"/>
  <c r="E498" i="5" s="1"/>
  <c r="E499" i="5" s="1"/>
  <c r="E500" i="5" s="1"/>
  <c r="E501" i="5" s="1"/>
  <c r="E502" i="5" s="1"/>
  <c r="E503" i="5" s="1"/>
  <c r="E504" i="5" s="1"/>
  <c r="E505" i="5" s="1"/>
  <c r="E506" i="5" s="1"/>
  <c r="E507" i="5" s="1"/>
  <c r="E508" i="5" s="1"/>
  <c r="E509" i="5" s="1"/>
  <c r="E510" i="5" s="1"/>
  <c r="E511" i="5" s="1"/>
  <c r="E512" i="5" s="1"/>
  <c r="E513" i="5" s="1"/>
  <c r="E514" i="5" s="1"/>
  <c r="E515" i="5" s="1"/>
  <c r="E516" i="5" s="1"/>
  <c r="E517" i="5" s="1"/>
  <c r="E518" i="5" s="1"/>
  <c r="E519" i="5" s="1"/>
  <c r="E520" i="5" s="1"/>
  <c r="E521" i="5" s="1"/>
  <c r="E522" i="5" s="1"/>
  <c r="E523" i="5" s="1"/>
  <c r="E524" i="5" s="1"/>
  <c r="E525" i="5" s="1"/>
  <c r="E526" i="5" s="1"/>
  <c r="E527" i="5" s="1"/>
  <c r="E528" i="5" s="1"/>
  <c r="E529" i="5" s="1"/>
  <c r="E530" i="5" s="1"/>
  <c r="E531" i="5" s="1"/>
  <c r="E532" i="5" s="1"/>
  <c r="E533" i="5" s="1"/>
  <c r="E534" i="5" s="1"/>
  <c r="E535" i="5" s="1"/>
  <c r="E536" i="5" s="1"/>
  <c r="E537" i="5" s="1"/>
  <c r="E538" i="5" s="1"/>
  <c r="E539" i="5" s="1"/>
  <c r="E540" i="5" s="1"/>
  <c r="E541" i="5" s="1"/>
  <c r="E542" i="5" s="1"/>
  <c r="E543" i="5" s="1"/>
  <c r="E544" i="5" s="1"/>
  <c r="E545" i="5" s="1"/>
  <c r="E546" i="5" s="1"/>
  <c r="E547" i="5" s="1"/>
  <c r="E548" i="5" s="1"/>
  <c r="E549" i="5" s="1"/>
  <c r="E550" i="5" s="1"/>
  <c r="E551" i="5" s="1"/>
  <c r="E552" i="5" s="1"/>
  <c r="E553" i="5" s="1"/>
  <c r="E554" i="5" s="1"/>
  <c r="E555" i="5" s="1"/>
  <c r="E556" i="5" s="1"/>
  <c r="E557" i="5" s="1"/>
  <c r="E558" i="5" s="1"/>
  <c r="E559" i="5" s="1"/>
  <c r="E560" i="5" s="1"/>
  <c r="E561" i="5" s="1"/>
  <c r="E562" i="5" s="1"/>
  <c r="E563" i="5" s="1"/>
  <c r="E564" i="5" s="1"/>
  <c r="E565" i="5" s="1"/>
  <c r="E566" i="5" s="1"/>
  <c r="E567" i="5" s="1"/>
  <c r="E568" i="5" s="1"/>
  <c r="E569" i="5" s="1"/>
  <c r="E570" i="5" s="1"/>
  <c r="E571" i="5" s="1"/>
  <c r="E572" i="5" s="1"/>
  <c r="E573" i="5" s="1"/>
  <c r="E574" i="5" s="1"/>
  <c r="E575" i="5" s="1"/>
  <c r="E576" i="5" s="1"/>
  <c r="E577" i="5" s="1"/>
  <c r="E578" i="5" s="1"/>
  <c r="E579" i="5" s="1"/>
  <c r="E580" i="5" s="1"/>
  <c r="E581" i="5" s="1"/>
  <c r="E582" i="5" s="1"/>
  <c r="E583" i="5" s="1"/>
  <c r="E584" i="5" s="1"/>
  <c r="E585" i="5" s="1"/>
  <c r="E586" i="5" s="1"/>
  <c r="E587" i="5" s="1"/>
  <c r="E588" i="5" s="1"/>
  <c r="E589" i="5" s="1"/>
  <c r="E590" i="5" s="1"/>
  <c r="E591" i="5" s="1"/>
  <c r="E592" i="5" s="1"/>
  <c r="E593" i="5" s="1"/>
  <c r="E594" i="5" s="1"/>
  <c r="E595" i="5" s="1"/>
  <c r="E596" i="5" s="1"/>
  <c r="E597" i="5" s="1"/>
  <c r="E598" i="5" s="1"/>
  <c r="E599" i="5" s="1"/>
  <c r="E600" i="5" s="1"/>
  <c r="E601" i="5" s="1"/>
  <c r="E602" i="5" s="1"/>
  <c r="E603" i="5" s="1"/>
  <c r="E604" i="5" s="1"/>
  <c r="R5" i="5"/>
  <c r="Q5" i="5"/>
  <c r="U125" i="5"/>
  <c r="U126" i="5" s="1"/>
  <c r="U127" i="5" s="1"/>
  <c r="U128" i="5" s="1"/>
  <c r="U129" i="5" s="1"/>
  <c r="U130" i="5" s="1"/>
  <c r="U131" i="5" s="1"/>
  <c r="U132" i="5" s="1"/>
  <c r="U133" i="5" s="1"/>
  <c r="U134" i="5" s="1"/>
  <c r="U135" i="5" s="1"/>
  <c r="U136" i="5" s="1"/>
  <c r="U137" i="5" s="1"/>
  <c r="U138" i="5" s="1"/>
  <c r="U139" i="5" s="1"/>
  <c r="U140" i="5" s="1"/>
  <c r="U141" i="5" s="1"/>
  <c r="U142" i="5" s="1"/>
  <c r="U143" i="5" s="1"/>
  <c r="U144" i="5" s="1"/>
  <c r="U145" i="5" s="1"/>
  <c r="U146" i="5" s="1"/>
  <c r="U147" i="5" s="1"/>
  <c r="U148" i="5" s="1"/>
  <c r="U149" i="5" s="1"/>
  <c r="U150" i="5" s="1"/>
  <c r="U151" i="5" s="1"/>
  <c r="U152" i="5" s="1"/>
  <c r="U153" i="5" s="1"/>
  <c r="U154" i="5" s="1"/>
  <c r="U155" i="5" s="1"/>
  <c r="U156" i="5" s="1"/>
  <c r="U157" i="5" s="1"/>
  <c r="U158" i="5" s="1"/>
  <c r="U159" i="5" s="1"/>
  <c r="U160" i="5" s="1"/>
  <c r="U161" i="5" s="1"/>
  <c r="U162" i="5" s="1"/>
  <c r="U163" i="5" s="1"/>
  <c r="U164" i="5" s="1"/>
  <c r="U165" i="5" s="1"/>
  <c r="U166" i="5" s="1"/>
  <c r="U167" i="5" s="1"/>
  <c r="U168" i="5" s="1"/>
  <c r="U169" i="5" s="1"/>
  <c r="U170" i="5" s="1"/>
  <c r="U171" i="5" s="1"/>
  <c r="U172" i="5" s="1"/>
  <c r="U173" i="5" s="1"/>
  <c r="U174" i="5" s="1"/>
  <c r="U175" i="5" s="1"/>
  <c r="U176" i="5" s="1"/>
  <c r="U177" i="5" s="1"/>
  <c r="U178" i="5" s="1"/>
  <c r="U179" i="5" s="1"/>
  <c r="U180" i="5" s="1"/>
  <c r="U181" i="5" s="1"/>
  <c r="U182" i="5" s="1"/>
  <c r="U183" i="5" s="1"/>
  <c r="U184" i="5" s="1"/>
  <c r="AC41" i="5"/>
  <c r="C8" i="5"/>
  <c r="T7" i="5"/>
  <c r="U185" i="5" l="1"/>
  <c r="U186" i="5" s="1"/>
  <c r="U187" i="5" s="1"/>
  <c r="U188" i="5" s="1"/>
  <c r="U189" i="5" s="1"/>
  <c r="U190" i="5" s="1"/>
  <c r="U191" i="5" s="1"/>
  <c r="U192" i="5" s="1"/>
  <c r="U193" i="5" s="1"/>
  <c r="U194" i="5" s="1"/>
  <c r="U195" i="5" s="1"/>
  <c r="U196" i="5" s="1"/>
  <c r="U197" i="5" s="1"/>
  <c r="U198" i="5" s="1"/>
  <c r="U199" i="5" s="1"/>
  <c r="U200" i="5" s="1"/>
  <c r="U201" i="5" s="1"/>
  <c r="U202" i="5" s="1"/>
  <c r="U203" i="5" s="1"/>
  <c r="U204" i="5" s="1"/>
  <c r="U205" i="5" s="1"/>
  <c r="U206" i="5" s="1"/>
  <c r="U207" i="5" s="1"/>
  <c r="U208" i="5" s="1"/>
  <c r="U209" i="5" s="1"/>
  <c r="U210" i="5" s="1"/>
  <c r="U211" i="5" s="1"/>
  <c r="U212" i="5" s="1"/>
  <c r="U213" i="5" s="1"/>
  <c r="U214" i="5" s="1"/>
  <c r="U215" i="5" s="1"/>
  <c r="U216" i="5" s="1"/>
  <c r="U217" i="5" s="1"/>
  <c r="U218" i="5" s="1"/>
  <c r="U219" i="5" s="1"/>
  <c r="U220" i="5" s="1"/>
  <c r="U221" i="5" s="1"/>
  <c r="U222" i="5" s="1"/>
  <c r="U223" i="5" s="1"/>
  <c r="U224" i="5" s="1"/>
  <c r="U225" i="5" s="1"/>
  <c r="U226" i="5" s="1"/>
  <c r="U227" i="5" s="1"/>
  <c r="U228" i="5" s="1"/>
  <c r="U229" i="5" s="1"/>
  <c r="U230" i="5" s="1"/>
  <c r="U231" i="5" s="1"/>
  <c r="U232" i="5" s="1"/>
  <c r="U233" i="5" s="1"/>
  <c r="U234" i="5" s="1"/>
  <c r="U235" i="5" s="1"/>
  <c r="U236" i="5" s="1"/>
  <c r="U237" i="5" s="1"/>
  <c r="U238" i="5" s="1"/>
  <c r="U239" i="5" s="1"/>
  <c r="U240" i="5" s="1"/>
  <c r="U241" i="5" s="1"/>
  <c r="U242" i="5" s="1"/>
  <c r="U243" i="5" s="1"/>
  <c r="U244" i="5" s="1"/>
  <c r="AC42" i="5"/>
  <c r="S5" i="5"/>
  <c r="G5" i="5" s="1"/>
  <c r="R6" i="5"/>
  <c r="K5" i="5"/>
  <c r="F6" i="5"/>
  <c r="T8" i="5"/>
  <c r="C9" i="5"/>
  <c r="H6" i="5"/>
  <c r="I6" i="5" s="1"/>
  <c r="N5" i="5"/>
  <c r="O5" i="5"/>
  <c r="P5" i="5" s="1"/>
  <c r="T9" i="5" l="1"/>
  <c r="C10" i="5"/>
  <c r="AC43" i="5"/>
  <c r="U245" i="5"/>
  <c r="U246" i="5" s="1"/>
  <c r="U247" i="5" s="1"/>
  <c r="U248" i="5" s="1"/>
  <c r="U249" i="5" s="1"/>
  <c r="U250" i="5" s="1"/>
  <c r="U251" i="5" s="1"/>
  <c r="U252" i="5" s="1"/>
  <c r="U253" i="5" s="1"/>
  <c r="U254" i="5" s="1"/>
  <c r="U255" i="5" s="1"/>
  <c r="U256" i="5" s="1"/>
  <c r="U257" i="5" s="1"/>
  <c r="U258" i="5" s="1"/>
  <c r="U259" i="5" s="1"/>
  <c r="U260" i="5" s="1"/>
  <c r="U261" i="5" s="1"/>
  <c r="U262" i="5" s="1"/>
  <c r="U263" i="5" s="1"/>
  <c r="U264" i="5" s="1"/>
  <c r="U265" i="5" s="1"/>
  <c r="U266" i="5" s="1"/>
  <c r="U267" i="5" s="1"/>
  <c r="U268" i="5" s="1"/>
  <c r="U269" i="5" s="1"/>
  <c r="U270" i="5" s="1"/>
  <c r="U271" i="5" s="1"/>
  <c r="U272" i="5" s="1"/>
  <c r="U273" i="5" s="1"/>
  <c r="U274" i="5" s="1"/>
  <c r="U275" i="5" s="1"/>
  <c r="U276" i="5" s="1"/>
  <c r="U277" i="5" s="1"/>
  <c r="U278" i="5" s="1"/>
  <c r="U279" i="5" s="1"/>
  <c r="U280" i="5" s="1"/>
  <c r="U281" i="5" s="1"/>
  <c r="U282" i="5" s="1"/>
  <c r="U283" i="5" s="1"/>
  <c r="U284" i="5" s="1"/>
  <c r="U285" i="5" s="1"/>
  <c r="U286" i="5" s="1"/>
  <c r="U287" i="5" s="1"/>
  <c r="U288" i="5" s="1"/>
  <c r="U289" i="5" s="1"/>
  <c r="U290" i="5" s="1"/>
  <c r="U291" i="5" s="1"/>
  <c r="U292" i="5" s="1"/>
  <c r="U293" i="5" s="1"/>
  <c r="U294" i="5" s="1"/>
  <c r="U295" i="5" s="1"/>
  <c r="U296" i="5" s="1"/>
  <c r="U297" i="5" s="1"/>
  <c r="U298" i="5" s="1"/>
  <c r="U299" i="5" s="1"/>
  <c r="U300" i="5" s="1"/>
  <c r="U301" i="5" s="1"/>
  <c r="U302" i="5" s="1"/>
  <c r="U303" i="5" s="1"/>
  <c r="U304" i="5" s="1"/>
  <c r="J5" i="5"/>
  <c r="L5" i="5"/>
  <c r="M5" i="5"/>
  <c r="F7" i="5"/>
  <c r="S6" i="5"/>
  <c r="G6" i="5" s="1"/>
  <c r="R7" i="5"/>
  <c r="K6" i="5"/>
  <c r="M6" i="5" s="1"/>
  <c r="Q6" i="5"/>
  <c r="L6" i="5" l="1"/>
  <c r="J6" i="5"/>
  <c r="R8" i="5"/>
  <c r="S7" i="5"/>
  <c r="G7" i="5" s="1"/>
  <c r="J7" i="5" s="1"/>
  <c r="K7" i="5"/>
  <c r="M7" i="5" s="1"/>
  <c r="T10" i="5"/>
  <c r="C11" i="5"/>
  <c r="H7" i="5"/>
  <c r="I7" i="5" s="1"/>
  <c r="N6" i="5"/>
  <c r="O6" i="5"/>
  <c r="P6" i="5" s="1"/>
  <c r="F8" i="5"/>
  <c r="U305" i="5"/>
  <c r="U306" i="5" s="1"/>
  <c r="U307" i="5" s="1"/>
  <c r="U308" i="5" s="1"/>
  <c r="U309" i="5" s="1"/>
  <c r="U310" i="5" s="1"/>
  <c r="U311" i="5" s="1"/>
  <c r="U312" i="5" s="1"/>
  <c r="U313" i="5" s="1"/>
  <c r="U314" i="5" s="1"/>
  <c r="U315" i="5" s="1"/>
  <c r="U316" i="5" s="1"/>
  <c r="U317" i="5" s="1"/>
  <c r="U318" i="5" s="1"/>
  <c r="U319" i="5" s="1"/>
  <c r="U320" i="5" s="1"/>
  <c r="U321" i="5" s="1"/>
  <c r="U322" i="5" s="1"/>
  <c r="U323" i="5" s="1"/>
  <c r="U324" i="5" s="1"/>
  <c r="U325" i="5" s="1"/>
  <c r="U326" i="5" s="1"/>
  <c r="U327" i="5" s="1"/>
  <c r="U328" i="5" s="1"/>
  <c r="U329" i="5" s="1"/>
  <c r="U330" i="5" s="1"/>
  <c r="U331" i="5" s="1"/>
  <c r="U332" i="5" s="1"/>
  <c r="U333" i="5" s="1"/>
  <c r="U334" i="5" s="1"/>
  <c r="U335" i="5" s="1"/>
  <c r="U336" i="5" s="1"/>
  <c r="U337" i="5" s="1"/>
  <c r="U338" i="5" s="1"/>
  <c r="U339" i="5" s="1"/>
  <c r="U340" i="5" s="1"/>
  <c r="U341" i="5" s="1"/>
  <c r="U342" i="5" s="1"/>
  <c r="U343" i="5" s="1"/>
  <c r="U344" i="5" s="1"/>
  <c r="U345" i="5" s="1"/>
  <c r="U346" i="5" s="1"/>
  <c r="U347" i="5" s="1"/>
  <c r="U348" i="5" s="1"/>
  <c r="U349" i="5" s="1"/>
  <c r="U350" i="5" s="1"/>
  <c r="U351" i="5" s="1"/>
  <c r="U352" i="5" s="1"/>
  <c r="U353" i="5" s="1"/>
  <c r="U354" i="5" s="1"/>
  <c r="U355" i="5" s="1"/>
  <c r="U356" i="5" s="1"/>
  <c r="U357" i="5" s="1"/>
  <c r="U358" i="5" s="1"/>
  <c r="U359" i="5" s="1"/>
  <c r="U360" i="5" s="1"/>
  <c r="U361" i="5" s="1"/>
  <c r="U362" i="5" s="1"/>
  <c r="U363" i="5" s="1"/>
  <c r="U364" i="5" s="1"/>
  <c r="AC44" i="5"/>
  <c r="Q7" i="5" l="1"/>
  <c r="N7" i="5" s="1"/>
  <c r="L7" i="5"/>
  <c r="R9" i="5"/>
  <c r="S8" i="5"/>
  <c r="G8" i="5" s="1"/>
  <c r="J8" i="5" s="1"/>
  <c r="K8" i="5"/>
  <c r="M8" i="5" s="1"/>
  <c r="F9" i="5"/>
  <c r="AC45" i="5"/>
  <c r="U365" i="5"/>
  <c r="U366" i="5" s="1"/>
  <c r="U367" i="5" s="1"/>
  <c r="U368" i="5" s="1"/>
  <c r="U369" i="5" s="1"/>
  <c r="U370" i="5" s="1"/>
  <c r="U371" i="5" s="1"/>
  <c r="U372" i="5" s="1"/>
  <c r="U373" i="5" s="1"/>
  <c r="U374" i="5" s="1"/>
  <c r="U375" i="5" s="1"/>
  <c r="U376" i="5" s="1"/>
  <c r="U377" i="5" s="1"/>
  <c r="U378" i="5" s="1"/>
  <c r="U379" i="5" s="1"/>
  <c r="U380" i="5" s="1"/>
  <c r="U381" i="5" s="1"/>
  <c r="U382" i="5" s="1"/>
  <c r="U383" i="5" s="1"/>
  <c r="U384" i="5" s="1"/>
  <c r="U385" i="5" s="1"/>
  <c r="U386" i="5" s="1"/>
  <c r="U387" i="5" s="1"/>
  <c r="U388" i="5" s="1"/>
  <c r="U389" i="5" s="1"/>
  <c r="U390" i="5" s="1"/>
  <c r="U391" i="5" s="1"/>
  <c r="U392" i="5" s="1"/>
  <c r="U393" i="5" s="1"/>
  <c r="U394" i="5" s="1"/>
  <c r="U395" i="5" s="1"/>
  <c r="U396" i="5" s="1"/>
  <c r="U397" i="5" s="1"/>
  <c r="U398" i="5" s="1"/>
  <c r="U399" i="5" s="1"/>
  <c r="U400" i="5" s="1"/>
  <c r="U401" i="5" s="1"/>
  <c r="U402" i="5" s="1"/>
  <c r="U403" i="5" s="1"/>
  <c r="U404" i="5" s="1"/>
  <c r="U405" i="5" s="1"/>
  <c r="U406" i="5" s="1"/>
  <c r="U407" i="5" s="1"/>
  <c r="U408" i="5" s="1"/>
  <c r="U409" i="5" s="1"/>
  <c r="U410" i="5" s="1"/>
  <c r="U411" i="5" s="1"/>
  <c r="U412" i="5" s="1"/>
  <c r="U413" i="5" s="1"/>
  <c r="U414" i="5" s="1"/>
  <c r="U415" i="5" s="1"/>
  <c r="U416" i="5" s="1"/>
  <c r="U417" i="5" s="1"/>
  <c r="U418" i="5" s="1"/>
  <c r="U419" i="5" s="1"/>
  <c r="U420" i="5" s="1"/>
  <c r="U421" i="5" s="1"/>
  <c r="U422" i="5" s="1"/>
  <c r="U423" i="5" s="1"/>
  <c r="U424" i="5" s="1"/>
  <c r="T11" i="5"/>
  <c r="C12" i="5"/>
  <c r="O7" i="5" l="1"/>
  <c r="P7" i="5" s="1"/>
  <c r="H8" i="5"/>
  <c r="I8" i="5" s="1"/>
  <c r="F10" i="5"/>
  <c r="C13" i="5"/>
  <c r="T12" i="5"/>
  <c r="R10" i="5"/>
  <c r="S9" i="5"/>
  <c r="G9" i="5" s="1"/>
  <c r="K9" i="5"/>
  <c r="M9" i="5" s="1"/>
  <c r="AC46" i="5"/>
  <c r="U425" i="5"/>
  <c r="U426" i="5" s="1"/>
  <c r="U427" i="5" s="1"/>
  <c r="U428" i="5" s="1"/>
  <c r="U429" i="5" s="1"/>
  <c r="U430" i="5" s="1"/>
  <c r="U431" i="5" s="1"/>
  <c r="U432" i="5" s="1"/>
  <c r="U433" i="5" s="1"/>
  <c r="U434" i="5" s="1"/>
  <c r="U435" i="5" s="1"/>
  <c r="U436" i="5" s="1"/>
  <c r="U437" i="5" s="1"/>
  <c r="U438" i="5" s="1"/>
  <c r="U439" i="5" s="1"/>
  <c r="U440" i="5" s="1"/>
  <c r="U441" i="5" s="1"/>
  <c r="U442" i="5" s="1"/>
  <c r="U443" i="5" s="1"/>
  <c r="U444" i="5" s="1"/>
  <c r="U445" i="5" s="1"/>
  <c r="U446" i="5" s="1"/>
  <c r="U447" i="5" s="1"/>
  <c r="U448" i="5" s="1"/>
  <c r="U449" i="5" s="1"/>
  <c r="U450" i="5" s="1"/>
  <c r="U451" i="5" s="1"/>
  <c r="U452" i="5" s="1"/>
  <c r="U453" i="5" s="1"/>
  <c r="U454" i="5" s="1"/>
  <c r="U455" i="5" s="1"/>
  <c r="U456" i="5" s="1"/>
  <c r="U457" i="5" s="1"/>
  <c r="U458" i="5" s="1"/>
  <c r="U459" i="5" s="1"/>
  <c r="U460" i="5" s="1"/>
  <c r="U461" i="5" s="1"/>
  <c r="U462" i="5" s="1"/>
  <c r="U463" i="5" s="1"/>
  <c r="U464" i="5" s="1"/>
  <c r="U465" i="5" s="1"/>
  <c r="U466" i="5" s="1"/>
  <c r="U467" i="5" s="1"/>
  <c r="U468" i="5" s="1"/>
  <c r="U469" i="5" s="1"/>
  <c r="U470" i="5" s="1"/>
  <c r="U471" i="5" s="1"/>
  <c r="U472" i="5" s="1"/>
  <c r="U473" i="5" s="1"/>
  <c r="U474" i="5" s="1"/>
  <c r="U475" i="5" s="1"/>
  <c r="U476" i="5" s="1"/>
  <c r="U477" i="5" s="1"/>
  <c r="U478" i="5" s="1"/>
  <c r="U479" i="5" s="1"/>
  <c r="U480" i="5" s="1"/>
  <c r="U481" i="5" s="1"/>
  <c r="U482" i="5" s="1"/>
  <c r="U483" i="5" s="1"/>
  <c r="U484" i="5" s="1"/>
  <c r="L8" i="5"/>
  <c r="L9" i="5" l="1"/>
  <c r="AC5" i="5"/>
  <c r="AC18" i="5"/>
  <c r="Q8" i="5"/>
  <c r="H9" i="5" s="1"/>
  <c r="I9" i="5" s="1"/>
  <c r="J9" i="5"/>
  <c r="AC47" i="5"/>
  <c r="U485" i="5"/>
  <c r="U486" i="5" s="1"/>
  <c r="U487" i="5" s="1"/>
  <c r="U488" i="5" s="1"/>
  <c r="U489" i="5" s="1"/>
  <c r="U490" i="5" s="1"/>
  <c r="U491" i="5" s="1"/>
  <c r="U492" i="5" s="1"/>
  <c r="U493" i="5" s="1"/>
  <c r="U494" i="5" s="1"/>
  <c r="U495" i="5" s="1"/>
  <c r="U496" i="5" s="1"/>
  <c r="U497" i="5" s="1"/>
  <c r="U498" i="5" s="1"/>
  <c r="U499" i="5" s="1"/>
  <c r="U500" i="5" s="1"/>
  <c r="U501" i="5" s="1"/>
  <c r="U502" i="5" s="1"/>
  <c r="U503" i="5" s="1"/>
  <c r="U504" i="5" s="1"/>
  <c r="U505" i="5" s="1"/>
  <c r="U506" i="5" s="1"/>
  <c r="U507" i="5" s="1"/>
  <c r="U508" i="5" s="1"/>
  <c r="U509" i="5" s="1"/>
  <c r="U510" i="5" s="1"/>
  <c r="U511" i="5" s="1"/>
  <c r="U512" i="5" s="1"/>
  <c r="U513" i="5" s="1"/>
  <c r="U514" i="5" s="1"/>
  <c r="U515" i="5" s="1"/>
  <c r="U516" i="5" s="1"/>
  <c r="U517" i="5" s="1"/>
  <c r="U518" i="5" s="1"/>
  <c r="U519" i="5" s="1"/>
  <c r="U520" i="5" s="1"/>
  <c r="U521" i="5" s="1"/>
  <c r="U522" i="5" s="1"/>
  <c r="U523" i="5" s="1"/>
  <c r="U524" i="5" s="1"/>
  <c r="U525" i="5" s="1"/>
  <c r="U526" i="5" s="1"/>
  <c r="U527" i="5" s="1"/>
  <c r="U528" i="5" s="1"/>
  <c r="U529" i="5" s="1"/>
  <c r="U530" i="5" s="1"/>
  <c r="U531" i="5" s="1"/>
  <c r="U532" i="5" s="1"/>
  <c r="U533" i="5" s="1"/>
  <c r="U534" i="5" s="1"/>
  <c r="U535" i="5" s="1"/>
  <c r="U536" i="5" s="1"/>
  <c r="U537" i="5" s="1"/>
  <c r="U538" i="5" s="1"/>
  <c r="U539" i="5" s="1"/>
  <c r="U540" i="5" s="1"/>
  <c r="U541" i="5" s="1"/>
  <c r="U542" i="5" s="1"/>
  <c r="U543" i="5" s="1"/>
  <c r="U544" i="5" s="1"/>
  <c r="R11" i="5"/>
  <c r="S10" i="5"/>
  <c r="G10" i="5" s="1"/>
  <c r="K10" i="5"/>
  <c r="M10" i="5" s="1"/>
  <c r="F11" i="5"/>
  <c r="T13" i="5"/>
  <c r="C14" i="5"/>
  <c r="N8" i="5" l="1"/>
  <c r="O8" i="5"/>
  <c r="P8" i="5" s="1"/>
  <c r="Q9" i="5"/>
  <c r="J10" i="5"/>
  <c r="C15" i="5"/>
  <c r="T14" i="5"/>
  <c r="U545" i="5"/>
  <c r="U546" i="5" s="1"/>
  <c r="U547" i="5" s="1"/>
  <c r="U548" i="5" s="1"/>
  <c r="U549" i="5" s="1"/>
  <c r="U550" i="5" s="1"/>
  <c r="U551" i="5" s="1"/>
  <c r="U552" i="5" s="1"/>
  <c r="U553" i="5" s="1"/>
  <c r="U554" i="5" s="1"/>
  <c r="U555" i="5" s="1"/>
  <c r="U556" i="5" s="1"/>
  <c r="U557" i="5" s="1"/>
  <c r="U558" i="5" s="1"/>
  <c r="U559" i="5" s="1"/>
  <c r="U560" i="5" s="1"/>
  <c r="U561" i="5" s="1"/>
  <c r="U562" i="5" s="1"/>
  <c r="U563" i="5" s="1"/>
  <c r="U564" i="5" s="1"/>
  <c r="U565" i="5" s="1"/>
  <c r="U566" i="5" s="1"/>
  <c r="U567" i="5" s="1"/>
  <c r="U568" i="5" s="1"/>
  <c r="U569" i="5" s="1"/>
  <c r="U570" i="5" s="1"/>
  <c r="U571" i="5" s="1"/>
  <c r="U572" i="5" s="1"/>
  <c r="U573" i="5" s="1"/>
  <c r="U574" i="5" s="1"/>
  <c r="U575" i="5" s="1"/>
  <c r="U576" i="5" s="1"/>
  <c r="U577" i="5" s="1"/>
  <c r="U578" i="5" s="1"/>
  <c r="U579" i="5" s="1"/>
  <c r="U580" i="5" s="1"/>
  <c r="U581" i="5" s="1"/>
  <c r="U582" i="5" s="1"/>
  <c r="U583" i="5" s="1"/>
  <c r="U584" i="5" s="1"/>
  <c r="U585" i="5" s="1"/>
  <c r="U586" i="5" s="1"/>
  <c r="U587" i="5" s="1"/>
  <c r="U588" i="5" s="1"/>
  <c r="U589" i="5" s="1"/>
  <c r="U590" i="5" s="1"/>
  <c r="U591" i="5" s="1"/>
  <c r="U592" i="5" s="1"/>
  <c r="U593" i="5" s="1"/>
  <c r="U594" i="5" s="1"/>
  <c r="U595" i="5" s="1"/>
  <c r="U596" i="5" s="1"/>
  <c r="U597" i="5" s="1"/>
  <c r="U598" i="5" s="1"/>
  <c r="U599" i="5" s="1"/>
  <c r="U600" i="5" s="1"/>
  <c r="U601" i="5" s="1"/>
  <c r="U602" i="5" s="1"/>
  <c r="U603" i="5" s="1"/>
  <c r="U604" i="5" s="1"/>
  <c r="AC49" i="5" s="1"/>
  <c r="AC48" i="5"/>
  <c r="R12" i="5"/>
  <c r="K11" i="5"/>
  <c r="M11" i="5" s="1"/>
  <c r="S11" i="5"/>
  <c r="G11" i="5" s="1"/>
  <c r="J11" i="5" s="1"/>
  <c r="F12" i="5"/>
  <c r="L10" i="5"/>
  <c r="H10" i="5" l="1"/>
  <c r="I10" i="5" s="1"/>
  <c r="O9" i="5"/>
  <c r="P9" i="5" s="1"/>
  <c r="N9" i="5"/>
  <c r="L11" i="5"/>
  <c r="S12" i="5"/>
  <c r="G12" i="5" s="1"/>
  <c r="J12" i="5" s="1"/>
  <c r="R13" i="5"/>
  <c r="K12" i="5"/>
  <c r="M12" i="5" s="1"/>
  <c r="T15" i="5"/>
  <c r="C16" i="5"/>
  <c r="F13" i="5"/>
  <c r="Q10" i="5" l="1"/>
  <c r="S13" i="5"/>
  <c r="G13" i="5" s="1"/>
  <c r="J13" i="5" s="1"/>
  <c r="R14" i="5"/>
  <c r="K13" i="5"/>
  <c r="M13" i="5" s="1"/>
  <c r="F14" i="5"/>
  <c r="T16" i="5"/>
  <c r="C17" i="5"/>
  <c r="L12" i="5"/>
  <c r="H11" i="5" l="1"/>
  <c r="I11" i="5" s="1"/>
  <c r="O10" i="5"/>
  <c r="P10" i="5" s="1"/>
  <c r="N10" i="5"/>
  <c r="L13" i="5"/>
  <c r="F15" i="5"/>
  <c r="C18" i="5"/>
  <c r="T17" i="5"/>
  <c r="S14" i="5"/>
  <c r="G14" i="5" s="1"/>
  <c r="J14" i="5" s="1"/>
  <c r="R15" i="5"/>
  <c r="K14" i="5"/>
  <c r="M14" i="5" s="1"/>
  <c r="Q11" i="5" l="1"/>
  <c r="F16" i="5"/>
  <c r="C19" i="5"/>
  <c r="T18" i="5"/>
  <c r="R16" i="5"/>
  <c r="K15" i="5"/>
  <c r="M15" i="5" s="1"/>
  <c r="S15" i="5"/>
  <c r="G15" i="5" s="1"/>
  <c r="J15" i="5" s="1"/>
  <c r="L14" i="5"/>
  <c r="H12" i="5" l="1"/>
  <c r="N11" i="5"/>
  <c r="O11" i="5"/>
  <c r="P11" i="5" s="1"/>
  <c r="L15" i="5"/>
  <c r="R17" i="5"/>
  <c r="S16" i="5"/>
  <c r="V5" i="5" s="1"/>
  <c r="K16" i="5"/>
  <c r="M16" i="5" s="1"/>
  <c r="C20" i="5"/>
  <c r="T19" i="5"/>
  <c r="F17" i="5"/>
  <c r="L16" i="5" l="1"/>
  <c r="Q12" i="5"/>
  <c r="I12" i="5"/>
  <c r="G16" i="5"/>
  <c r="J16" i="5" s="1"/>
  <c r="R18" i="5"/>
  <c r="S17" i="5"/>
  <c r="G17" i="5" s="1"/>
  <c r="J17" i="5" s="1"/>
  <c r="K17" i="5"/>
  <c r="M17" i="5" s="1"/>
  <c r="F18" i="5"/>
  <c r="C21" i="5"/>
  <c r="T20" i="5"/>
  <c r="N12" i="5" l="1"/>
  <c r="O12" i="5"/>
  <c r="P12" i="5" s="1"/>
  <c r="H13" i="5"/>
  <c r="Q13" i="5" s="1"/>
  <c r="L17" i="5"/>
  <c r="F19" i="5"/>
  <c r="T21" i="5"/>
  <c r="C22" i="5"/>
  <c r="R19" i="5"/>
  <c r="S18" i="5"/>
  <c r="G18" i="5" s="1"/>
  <c r="J18" i="5" s="1"/>
  <c r="K18" i="5"/>
  <c r="M18" i="5" s="1"/>
  <c r="L18" i="5" l="1"/>
  <c r="H14" i="5"/>
  <c r="Q14" i="5" s="1"/>
  <c r="N13" i="5"/>
  <c r="O13" i="5"/>
  <c r="P13" i="5" s="1"/>
  <c r="I13" i="5"/>
  <c r="C23" i="5"/>
  <c r="T22" i="5"/>
  <c r="R20" i="5"/>
  <c r="K19" i="5"/>
  <c r="M19" i="5" s="1"/>
  <c r="S19" i="5"/>
  <c r="G19" i="5" s="1"/>
  <c r="J19" i="5" s="1"/>
  <c r="F20" i="5"/>
  <c r="H15" i="5" l="1"/>
  <c r="Q15" i="5" s="1"/>
  <c r="O14" i="5"/>
  <c r="P14" i="5" s="1"/>
  <c r="N14" i="5"/>
  <c r="I14" i="5"/>
  <c r="L19" i="5"/>
  <c r="F21" i="5"/>
  <c r="T23" i="5"/>
  <c r="C24" i="5"/>
  <c r="S20" i="5"/>
  <c r="G20" i="5" s="1"/>
  <c r="J20" i="5" s="1"/>
  <c r="R21" i="5"/>
  <c r="K20" i="5"/>
  <c r="M20" i="5" s="1"/>
  <c r="L20" i="5" l="1"/>
  <c r="O15" i="5"/>
  <c r="P15" i="5" s="1"/>
  <c r="N15" i="5"/>
  <c r="H16" i="5"/>
  <c r="Q16" i="5" s="1"/>
  <c r="I15" i="5"/>
  <c r="S21" i="5"/>
  <c r="G21" i="5" s="1"/>
  <c r="J21" i="5" s="1"/>
  <c r="K21" i="5"/>
  <c r="M21" i="5" s="1"/>
  <c r="R22" i="5"/>
  <c r="C25" i="5"/>
  <c r="T24" i="5"/>
  <c r="F22" i="5"/>
  <c r="H17" i="5" l="1"/>
  <c r="Q17" i="5" s="1"/>
  <c r="O17" i="5" s="1"/>
  <c r="P17" i="5" s="1"/>
  <c r="O16" i="5"/>
  <c r="P16" i="5" s="1"/>
  <c r="N16" i="5"/>
  <c r="I16" i="5"/>
  <c r="L21" i="5"/>
  <c r="T25" i="5"/>
  <c r="C26" i="5"/>
  <c r="F23" i="5"/>
  <c r="S22" i="5"/>
  <c r="G22" i="5" s="1"/>
  <c r="J22" i="5" s="1"/>
  <c r="K22" i="5"/>
  <c r="M22" i="5" s="1"/>
  <c r="R23" i="5"/>
  <c r="N17" i="5" l="1"/>
  <c r="H18" i="5"/>
  <c r="Q18" i="5" s="1"/>
  <c r="H19" i="5" s="1"/>
  <c r="I17" i="5"/>
  <c r="R24" i="5"/>
  <c r="S23" i="5"/>
  <c r="G23" i="5" s="1"/>
  <c r="J23" i="5" s="1"/>
  <c r="K23" i="5"/>
  <c r="M23" i="5" s="1"/>
  <c r="F24" i="5"/>
  <c r="L22" i="5"/>
  <c r="T26" i="5"/>
  <c r="C27" i="5"/>
  <c r="I18" i="5" l="1"/>
  <c r="I19" i="5" s="1"/>
  <c r="O18" i="5"/>
  <c r="P18" i="5" s="1"/>
  <c r="L23" i="5"/>
  <c r="N18" i="5"/>
  <c r="Q19" i="5"/>
  <c r="H20" i="5" s="1"/>
  <c r="Q20" i="5" s="1"/>
  <c r="T27" i="5"/>
  <c r="C28" i="5"/>
  <c r="F25" i="5"/>
  <c r="R25" i="5"/>
  <c r="S24" i="5"/>
  <c r="G24" i="5" s="1"/>
  <c r="J24" i="5" s="1"/>
  <c r="K24" i="5"/>
  <c r="M24" i="5" s="1"/>
  <c r="N19" i="5" l="1"/>
  <c r="O19" i="5"/>
  <c r="P19" i="5" s="1"/>
  <c r="I20" i="5"/>
  <c r="R26" i="5"/>
  <c r="S25" i="5"/>
  <c r="G25" i="5" s="1"/>
  <c r="J25" i="5" s="1"/>
  <c r="K25" i="5"/>
  <c r="M25" i="5" s="1"/>
  <c r="H21" i="5"/>
  <c r="N20" i="5"/>
  <c r="O20" i="5"/>
  <c r="P20" i="5" s="1"/>
  <c r="F26" i="5"/>
  <c r="T28" i="5"/>
  <c r="C29" i="5"/>
  <c r="L24" i="5"/>
  <c r="I21" i="5" l="1"/>
  <c r="L25" i="5"/>
  <c r="Q21" i="5"/>
  <c r="O21" i="5" s="1"/>
  <c r="P21" i="5" s="1"/>
  <c r="R27" i="5"/>
  <c r="S26" i="5"/>
  <c r="G26" i="5" s="1"/>
  <c r="J26" i="5" s="1"/>
  <c r="K26" i="5"/>
  <c r="M26" i="5" s="1"/>
  <c r="C30" i="5"/>
  <c r="T29" i="5"/>
  <c r="F27" i="5"/>
  <c r="N21" i="5" l="1"/>
  <c r="H22" i="5"/>
  <c r="I22" i="5" s="1"/>
  <c r="R28" i="5"/>
  <c r="K27" i="5"/>
  <c r="M27" i="5" s="1"/>
  <c r="S27" i="5"/>
  <c r="G27" i="5" s="1"/>
  <c r="J27" i="5" s="1"/>
  <c r="F28" i="5"/>
  <c r="T30" i="5"/>
  <c r="C31" i="5"/>
  <c r="L26" i="5"/>
  <c r="Q22" i="5" l="1"/>
  <c r="L27" i="5"/>
  <c r="C32" i="5"/>
  <c r="T31" i="5"/>
  <c r="F29" i="5"/>
  <c r="S28" i="5"/>
  <c r="V6" i="5" s="1"/>
  <c r="R29" i="5"/>
  <c r="K28" i="5"/>
  <c r="M28" i="5" s="1"/>
  <c r="O22" i="5" l="1"/>
  <c r="P22" i="5" s="1"/>
  <c r="H23" i="5"/>
  <c r="I23" i="5" s="1"/>
  <c r="N22" i="5"/>
  <c r="L28" i="5"/>
  <c r="G28" i="5"/>
  <c r="J28" i="5" s="1"/>
  <c r="C33" i="5"/>
  <c r="T32" i="5"/>
  <c r="F30" i="5"/>
  <c r="S29" i="5"/>
  <c r="G29" i="5" s="1"/>
  <c r="J29" i="5" s="1"/>
  <c r="K29" i="5"/>
  <c r="M29" i="5" s="1"/>
  <c r="R30" i="5"/>
  <c r="Q23" i="5" l="1"/>
  <c r="C34" i="5"/>
  <c r="T33" i="5"/>
  <c r="L29" i="5"/>
  <c r="S30" i="5"/>
  <c r="G30" i="5" s="1"/>
  <c r="J30" i="5" s="1"/>
  <c r="R31" i="5"/>
  <c r="K30" i="5"/>
  <c r="M30" i="5" s="1"/>
  <c r="F31" i="5"/>
  <c r="N23" i="5" l="1"/>
  <c r="H24" i="5"/>
  <c r="I24" i="5" s="1"/>
  <c r="O23" i="5"/>
  <c r="P23" i="5" s="1"/>
  <c r="F32" i="5"/>
  <c r="T34" i="5"/>
  <c r="C35" i="5"/>
  <c r="R32" i="5"/>
  <c r="K31" i="5"/>
  <c r="M31" i="5" s="1"/>
  <c r="S31" i="5"/>
  <c r="G31" i="5" s="1"/>
  <c r="J31" i="5" s="1"/>
  <c r="L30" i="5"/>
  <c r="Q24" i="5" l="1"/>
  <c r="L31" i="5"/>
  <c r="C36" i="5"/>
  <c r="T35" i="5"/>
  <c r="R33" i="5"/>
  <c r="S32" i="5"/>
  <c r="G32" i="5" s="1"/>
  <c r="J32" i="5" s="1"/>
  <c r="K32" i="5"/>
  <c r="M32" i="5" s="1"/>
  <c r="F33" i="5"/>
  <c r="O24" i="5" l="1"/>
  <c r="P24" i="5" s="1"/>
  <c r="H25" i="5"/>
  <c r="I25" i="5" s="1"/>
  <c r="N24" i="5"/>
  <c r="L32" i="5"/>
  <c r="R34" i="5"/>
  <c r="S33" i="5"/>
  <c r="G33" i="5" s="1"/>
  <c r="J33" i="5" s="1"/>
  <c r="K33" i="5"/>
  <c r="M33" i="5" s="1"/>
  <c r="C37" i="5"/>
  <c r="T36" i="5"/>
  <c r="F34" i="5"/>
  <c r="Q25" i="5" l="1"/>
  <c r="H26" i="5" s="1"/>
  <c r="I26" i="5" s="1"/>
  <c r="L33" i="5"/>
  <c r="C38" i="5"/>
  <c r="T37" i="5"/>
  <c r="F35" i="5"/>
  <c r="R35" i="5"/>
  <c r="S34" i="5"/>
  <c r="G34" i="5" s="1"/>
  <c r="J34" i="5" s="1"/>
  <c r="K34" i="5"/>
  <c r="M34" i="5" s="1"/>
  <c r="Q26" i="5" l="1"/>
  <c r="N26" i="5" s="1"/>
  <c r="O25" i="5"/>
  <c r="P25" i="5" s="1"/>
  <c r="N25" i="5"/>
  <c r="F36" i="5"/>
  <c r="L34" i="5"/>
  <c r="R36" i="5"/>
  <c r="K35" i="5"/>
  <c r="M35" i="5" s="1"/>
  <c r="S35" i="5"/>
  <c r="G35" i="5" s="1"/>
  <c r="J35" i="5" s="1"/>
  <c r="T38" i="5"/>
  <c r="C39" i="5"/>
  <c r="O26" i="5" l="1"/>
  <c r="P26" i="5" s="1"/>
  <c r="H27" i="5"/>
  <c r="I27" i="5" s="1"/>
  <c r="L35" i="5"/>
  <c r="S36" i="5"/>
  <c r="G36" i="5" s="1"/>
  <c r="J36" i="5" s="1"/>
  <c r="R37" i="5"/>
  <c r="K36" i="5"/>
  <c r="M36" i="5" s="1"/>
  <c r="C40" i="5"/>
  <c r="T39" i="5"/>
  <c r="F37" i="5"/>
  <c r="Q27" i="5" l="1"/>
  <c r="H28" i="5" s="1"/>
  <c r="I28" i="5" s="1"/>
  <c r="L36" i="5"/>
  <c r="C41" i="5"/>
  <c r="T40" i="5"/>
  <c r="F38" i="5"/>
  <c r="S37" i="5"/>
  <c r="G37" i="5" s="1"/>
  <c r="J37" i="5" s="1"/>
  <c r="R38" i="5"/>
  <c r="K37" i="5"/>
  <c r="M37" i="5" s="1"/>
  <c r="Q28" i="5" l="1"/>
  <c r="H29" i="5" s="1"/>
  <c r="I29" i="5" s="1"/>
  <c r="O27" i="5"/>
  <c r="P27" i="5" s="1"/>
  <c r="N27" i="5"/>
  <c r="L37" i="5"/>
  <c r="F39" i="5"/>
  <c r="S38" i="5"/>
  <c r="G38" i="5" s="1"/>
  <c r="J38" i="5" s="1"/>
  <c r="R39" i="5"/>
  <c r="K38" i="5"/>
  <c r="M38" i="5" s="1"/>
  <c r="C42" i="5"/>
  <c r="T41" i="5"/>
  <c r="O28" i="5" l="1"/>
  <c r="P28" i="5" s="1"/>
  <c r="N28" i="5"/>
  <c r="Q29" i="5"/>
  <c r="N29" i="5" s="1"/>
  <c r="L38" i="5"/>
  <c r="T42" i="5"/>
  <c r="C43" i="5"/>
  <c r="F40" i="5"/>
  <c r="R40" i="5"/>
  <c r="S39" i="5"/>
  <c r="G39" i="5" s="1"/>
  <c r="J39" i="5" s="1"/>
  <c r="K39" i="5"/>
  <c r="M39" i="5" s="1"/>
  <c r="O29" i="5" l="1"/>
  <c r="P29" i="5" s="1"/>
  <c r="H30" i="5"/>
  <c r="I30" i="5" s="1"/>
  <c r="C44" i="5"/>
  <c r="T43" i="5"/>
  <c r="L39" i="5"/>
  <c r="R41" i="5"/>
  <c r="S40" i="5"/>
  <c r="V7" i="5" s="1"/>
  <c r="K40" i="5"/>
  <c r="M40" i="5" s="1"/>
  <c r="F41" i="5"/>
  <c r="Q30" i="5" l="1"/>
  <c r="O30" i="5" s="1"/>
  <c r="P30" i="5" s="1"/>
  <c r="G40" i="5"/>
  <c r="J40" i="5" s="1"/>
  <c r="T44" i="5"/>
  <c r="C45" i="5"/>
  <c r="R42" i="5"/>
  <c r="S41" i="5"/>
  <c r="G41" i="5" s="1"/>
  <c r="J41" i="5" s="1"/>
  <c r="K41" i="5"/>
  <c r="M41" i="5" s="1"/>
  <c r="F42" i="5"/>
  <c r="L40" i="5"/>
  <c r="H31" i="5" l="1"/>
  <c r="Q31" i="5" s="1"/>
  <c r="H32" i="5" s="1"/>
  <c r="N30" i="5"/>
  <c r="F43" i="5"/>
  <c r="L41" i="5"/>
  <c r="R43" i="5"/>
  <c r="S42" i="5"/>
  <c r="G42" i="5" s="1"/>
  <c r="J42" i="5" s="1"/>
  <c r="K42" i="5"/>
  <c r="M42" i="5" s="1"/>
  <c r="C46" i="5"/>
  <c r="T45" i="5"/>
  <c r="N31" i="5" l="1"/>
  <c r="I31" i="5"/>
  <c r="I32" i="5" s="1"/>
  <c r="Q32" i="5"/>
  <c r="N32" i="5" s="1"/>
  <c r="O31" i="5"/>
  <c r="P31" i="5" s="1"/>
  <c r="H33" i="5"/>
  <c r="I33" i="5" s="1"/>
  <c r="L42" i="5"/>
  <c r="R44" i="5"/>
  <c r="K43" i="5"/>
  <c r="M43" i="5" s="1"/>
  <c r="S43" i="5"/>
  <c r="G43" i="5" s="1"/>
  <c r="J43" i="5" s="1"/>
  <c r="C47" i="5"/>
  <c r="T46" i="5"/>
  <c r="F44" i="5"/>
  <c r="O32" i="5" l="1"/>
  <c r="P32" i="5" s="1"/>
  <c r="Q33" i="5"/>
  <c r="N33" i="5" s="1"/>
  <c r="L43" i="5"/>
  <c r="C48" i="5"/>
  <c r="T47" i="5"/>
  <c r="S44" i="5"/>
  <c r="G44" i="5" s="1"/>
  <c r="J44" i="5" s="1"/>
  <c r="R45" i="5"/>
  <c r="K44" i="5"/>
  <c r="M44" i="5" s="1"/>
  <c r="F45" i="5"/>
  <c r="H34" i="5" l="1"/>
  <c r="I34" i="5" s="1"/>
  <c r="O33" i="5"/>
  <c r="P33" i="5" s="1"/>
  <c r="L44" i="5"/>
  <c r="S45" i="5"/>
  <c r="G45" i="5" s="1"/>
  <c r="J45" i="5" s="1"/>
  <c r="R46" i="5"/>
  <c r="K45" i="5"/>
  <c r="M45" i="5" s="1"/>
  <c r="T48" i="5"/>
  <c r="C49" i="5"/>
  <c r="F46" i="5"/>
  <c r="Q34" i="5" l="1"/>
  <c r="O34" i="5" s="1"/>
  <c r="P34" i="5" s="1"/>
  <c r="L45" i="5"/>
  <c r="F47" i="5"/>
  <c r="C50" i="5"/>
  <c r="T49" i="5"/>
  <c r="S46" i="5"/>
  <c r="G46" i="5" s="1"/>
  <c r="J46" i="5" s="1"/>
  <c r="R47" i="5"/>
  <c r="K46" i="5"/>
  <c r="M46" i="5" s="1"/>
  <c r="H35" i="5" l="1"/>
  <c r="I35" i="5" s="1"/>
  <c r="N34" i="5"/>
  <c r="R48" i="5"/>
  <c r="K47" i="5"/>
  <c r="M47" i="5" s="1"/>
  <c r="S47" i="5"/>
  <c r="G47" i="5" s="1"/>
  <c r="J47" i="5" s="1"/>
  <c r="T50" i="5"/>
  <c r="C51" i="5"/>
  <c r="L46" i="5"/>
  <c r="F48" i="5"/>
  <c r="Q35" i="5" l="1"/>
  <c r="O35" i="5" s="1"/>
  <c r="P35" i="5" s="1"/>
  <c r="L47" i="5"/>
  <c r="C52" i="5"/>
  <c r="T51" i="5"/>
  <c r="R49" i="5"/>
  <c r="S48" i="5"/>
  <c r="G48" i="5" s="1"/>
  <c r="J48" i="5" s="1"/>
  <c r="K48" i="5"/>
  <c r="M48" i="5" s="1"/>
  <c r="F49" i="5"/>
  <c r="N35" i="5" l="1"/>
  <c r="H36" i="5"/>
  <c r="Q36" i="5" s="1"/>
  <c r="N36" i="5" s="1"/>
  <c r="R50" i="5"/>
  <c r="S49" i="5"/>
  <c r="G49" i="5" s="1"/>
  <c r="J49" i="5" s="1"/>
  <c r="K49" i="5"/>
  <c r="M49" i="5" s="1"/>
  <c r="T52" i="5"/>
  <c r="C53" i="5"/>
  <c r="F50" i="5"/>
  <c r="L48" i="5"/>
  <c r="H37" i="5" l="1"/>
  <c r="Q37" i="5" s="1"/>
  <c r="N37" i="5" s="1"/>
  <c r="I36" i="5"/>
  <c r="O36" i="5"/>
  <c r="P36" i="5" s="1"/>
  <c r="O37" i="5"/>
  <c r="P37" i="5" s="1"/>
  <c r="L49" i="5"/>
  <c r="F51" i="5"/>
  <c r="C54" i="5"/>
  <c r="T53" i="5"/>
  <c r="R51" i="5"/>
  <c r="S50" i="5"/>
  <c r="G50" i="5" s="1"/>
  <c r="J50" i="5" s="1"/>
  <c r="K50" i="5"/>
  <c r="M50" i="5" s="1"/>
  <c r="H38" i="5" l="1"/>
  <c r="Q38" i="5" s="1"/>
  <c r="N38" i="5" s="1"/>
  <c r="I37" i="5"/>
  <c r="T54" i="5"/>
  <c r="C55" i="5"/>
  <c r="F52" i="5"/>
  <c r="R52" i="5"/>
  <c r="K51" i="5"/>
  <c r="M51" i="5" s="1"/>
  <c r="S51" i="5"/>
  <c r="G51" i="5" s="1"/>
  <c r="J51" i="5" s="1"/>
  <c r="L50" i="5"/>
  <c r="I38" i="5" l="1"/>
  <c r="O38" i="5"/>
  <c r="P38" i="5" s="1"/>
  <c r="H39" i="5"/>
  <c r="Q39" i="5" s="1"/>
  <c r="H40" i="5" s="1"/>
  <c r="L51" i="5"/>
  <c r="F53" i="5"/>
  <c r="C56" i="5"/>
  <c r="T55" i="5"/>
  <c r="S52" i="5"/>
  <c r="V8" i="5" s="1"/>
  <c r="R53" i="5"/>
  <c r="K52" i="5"/>
  <c r="M52" i="5" s="1"/>
  <c r="O39" i="5" l="1"/>
  <c r="P39" i="5" s="1"/>
  <c r="N39" i="5"/>
  <c r="I39" i="5"/>
  <c r="I40" i="5"/>
  <c r="Q40" i="5"/>
  <c r="L52" i="5"/>
  <c r="T56" i="5"/>
  <c r="C57" i="5"/>
  <c r="G52" i="5"/>
  <c r="J52" i="5" s="1"/>
  <c r="S53" i="5"/>
  <c r="G53" i="5" s="1"/>
  <c r="J53" i="5" s="1"/>
  <c r="K53" i="5"/>
  <c r="M53" i="5" s="1"/>
  <c r="R54" i="5"/>
  <c r="F54" i="5"/>
  <c r="H41" i="5" l="1"/>
  <c r="I41" i="5" s="1"/>
  <c r="O40" i="5"/>
  <c r="P40" i="5" s="1"/>
  <c r="N40" i="5"/>
  <c r="S54" i="5"/>
  <c r="G54" i="5" s="1"/>
  <c r="J54" i="5" s="1"/>
  <c r="R55" i="5"/>
  <c r="K54" i="5"/>
  <c r="M54" i="5" s="1"/>
  <c r="L53" i="5"/>
  <c r="C58" i="5"/>
  <c r="T57" i="5"/>
  <c r="F55" i="5"/>
  <c r="Q41" i="5" l="1"/>
  <c r="H42" i="5" s="1"/>
  <c r="I42" i="5" s="1"/>
  <c r="T58" i="5"/>
  <c r="C59" i="5"/>
  <c r="F56" i="5"/>
  <c r="L54" i="5"/>
  <c r="R56" i="5"/>
  <c r="S55" i="5"/>
  <c r="G55" i="5" s="1"/>
  <c r="J55" i="5" s="1"/>
  <c r="K55" i="5"/>
  <c r="M55" i="5" s="1"/>
  <c r="N41" i="5" l="1"/>
  <c r="Q42" i="5"/>
  <c r="O41" i="5"/>
  <c r="P41" i="5" s="1"/>
  <c r="N42" i="5"/>
  <c r="H43" i="5"/>
  <c r="I43" i="5" s="1"/>
  <c r="O42" i="5"/>
  <c r="P42" i="5" s="1"/>
  <c r="L55" i="5"/>
  <c r="C60" i="5"/>
  <c r="T59" i="5"/>
  <c r="F57" i="5"/>
  <c r="R57" i="5"/>
  <c r="S56" i="5"/>
  <c r="G56" i="5" s="1"/>
  <c r="J56" i="5" s="1"/>
  <c r="K56" i="5"/>
  <c r="M56" i="5" s="1"/>
  <c r="Q43" i="5" l="1"/>
  <c r="R58" i="5"/>
  <c r="S57" i="5"/>
  <c r="G57" i="5" s="1"/>
  <c r="J57" i="5" s="1"/>
  <c r="K57" i="5"/>
  <c r="M57" i="5" s="1"/>
  <c r="F58" i="5"/>
  <c r="L56" i="5"/>
  <c r="T60" i="5"/>
  <c r="C61" i="5"/>
  <c r="H44" i="5" l="1"/>
  <c r="I44" i="5" s="1"/>
  <c r="O43" i="5"/>
  <c r="P43" i="5" s="1"/>
  <c r="N43" i="5"/>
  <c r="L57" i="5"/>
  <c r="C62" i="5"/>
  <c r="T61" i="5"/>
  <c r="F59" i="5"/>
  <c r="R59" i="5"/>
  <c r="S58" i="5"/>
  <c r="G58" i="5" s="1"/>
  <c r="J58" i="5" s="1"/>
  <c r="K58" i="5"/>
  <c r="M58" i="5" s="1"/>
  <c r="Q44" i="5" l="1"/>
  <c r="O44" i="5" s="1"/>
  <c r="P44" i="5" s="1"/>
  <c r="L58" i="5"/>
  <c r="R60" i="5"/>
  <c r="K59" i="5"/>
  <c r="M59" i="5" s="1"/>
  <c r="S59" i="5"/>
  <c r="G59" i="5" s="1"/>
  <c r="J59" i="5" s="1"/>
  <c r="F60" i="5"/>
  <c r="T62" i="5"/>
  <c r="C63" i="5"/>
  <c r="H45" i="5" l="1"/>
  <c r="I45" i="5" s="1"/>
  <c r="N44" i="5"/>
  <c r="S60" i="5"/>
  <c r="G60" i="5" s="1"/>
  <c r="J60" i="5" s="1"/>
  <c r="R61" i="5"/>
  <c r="K60" i="5"/>
  <c r="M60" i="5" s="1"/>
  <c r="C64" i="5"/>
  <c r="T63" i="5"/>
  <c r="L59" i="5"/>
  <c r="F61" i="5"/>
  <c r="Q45" i="5" l="1"/>
  <c r="O45" i="5" s="1"/>
  <c r="P45" i="5" s="1"/>
  <c r="L60" i="5"/>
  <c r="F62" i="5"/>
  <c r="S61" i="5"/>
  <c r="G61" i="5" s="1"/>
  <c r="J61" i="5" s="1"/>
  <c r="K61" i="5"/>
  <c r="M61" i="5" s="1"/>
  <c r="R62" i="5"/>
  <c r="T64" i="5"/>
  <c r="C65" i="5"/>
  <c r="H46" i="5" l="1"/>
  <c r="I46" i="5" s="1"/>
  <c r="N45" i="5"/>
  <c r="S62" i="5"/>
  <c r="G62" i="5" s="1"/>
  <c r="J62" i="5" s="1"/>
  <c r="R63" i="5"/>
  <c r="K62" i="5"/>
  <c r="M62" i="5" s="1"/>
  <c r="C66" i="5"/>
  <c r="T65" i="5"/>
  <c r="F63" i="5"/>
  <c r="L61" i="5"/>
  <c r="Q46" i="5" l="1"/>
  <c r="H47" i="5" s="1"/>
  <c r="I47" i="5" s="1"/>
  <c r="L62" i="5"/>
  <c r="R64" i="5"/>
  <c r="K63" i="5"/>
  <c r="M63" i="5" s="1"/>
  <c r="S63" i="5"/>
  <c r="G63" i="5" s="1"/>
  <c r="J63" i="5" s="1"/>
  <c r="T66" i="5"/>
  <c r="C67" i="5"/>
  <c r="F64" i="5"/>
  <c r="Q47" i="5" l="1"/>
  <c r="N47" i="5" s="1"/>
  <c r="O46" i="5"/>
  <c r="P46" i="5" s="1"/>
  <c r="N46" i="5"/>
  <c r="H48" i="5"/>
  <c r="Q48" i="5" s="1"/>
  <c r="H49" i="5" s="1"/>
  <c r="O47" i="5"/>
  <c r="P47" i="5" s="1"/>
  <c r="I48" i="5"/>
  <c r="L63" i="5"/>
  <c r="R65" i="5"/>
  <c r="S64" i="5"/>
  <c r="G64" i="5" s="1"/>
  <c r="K64" i="5"/>
  <c r="M64" i="5" s="1"/>
  <c r="F65" i="5"/>
  <c r="C68" i="5"/>
  <c r="T67" i="5"/>
  <c r="O48" i="5" l="1"/>
  <c r="P48" i="5" s="1"/>
  <c r="N48" i="5"/>
  <c r="I49" i="5"/>
  <c r="Q49" i="5"/>
  <c r="H50" i="5" s="1"/>
  <c r="I50" i="5" s="1"/>
  <c r="AE40" i="5"/>
  <c r="M5" i="3" s="1"/>
  <c r="J64" i="5"/>
  <c r="AF40" i="5" s="1"/>
  <c r="O5" i="3" s="1"/>
  <c r="F66" i="5"/>
  <c r="V9" i="5"/>
  <c r="AD40" i="5"/>
  <c r="M20" i="3" s="1"/>
  <c r="L64" i="5"/>
  <c r="C69" i="5"/>
  <c r="T68" i="5"/>
  <c r="R66" i="5"/>
  <c r="S65" i="5"/>
  <c r="G65" i="5" s="1"/>
  <c r="J65" i="5" s="1"/>
  <c r="K65" i="5"/>
  <c r="M65" i="5" s="1"/>
  <c r="Q50" i="5" l="1"/>
  <c r="O49" i="5"/>
  <c r="P49" i="5" s="1"/>
  <c r="N49" i="5"/>
  <c r="C70" i="5"/>
  <c r="T69" i="5"/>
  <c r="R67" i="5"/>
  <c r="S66" i="5"/>
  <c r="G66" i="5" s="1"/>
  <c r="J66" i="5" s="1"/>
  <c r="K66" i="5"/>
  <c r="M66" i="5" s="1"/>
  <c r="L65" i="5"/>
  <c r="F67" i="5"/>
  <c r="H51" i="5" l="1"/>
  <c r="I51" i="5" s="1"/>
  <c r="N50" i="5"/>
  <c r="O50" i="5"/>
  <c r="P50" i="5" s="1"/>
  <c r="L66" i="5"/>
  <c r="R68" i="5"/>
  <c r="K67" i="5"/>
  <c r="M67" i="5" s="1"/>
  <c r="S67" i="5"/>
  <c r="G67" i="5" s="1"/>
  <c r="J67" i="5" s="1"/>
  <c r="F68" i="5"/>
  <c r="T70" i="5"/>
  <c r="C71" i="5"/>
  <c r="Q51" i="5" l="1"/>
  <c r="S68" i="5"/>
  <c r="G68" i="5" s="1"/>
  <c r="J68" i="5" s="1"/>
  <c r="R69" i="5"/>
  <c r="K68" i="5"/>
  <c r="M68" i="5" s="1"/>
  <c r="C72" i="5"/>
  <c r="T71" i="5"/>
  <c r="F69" i="5"/>
  <c r="L67" i="5"/>
  <c r="N51" i="5" l="1"/>
  <c r="O51" i="5"/>
  <c r="P51" i="5" s="1"/>
  <c r="H52" i="5"/>
  <c r="F70" i="5"/>
  <c r="S69" i="5"/>
  <c r="G69" i="5" s="1"/>
  <c r="J69" i="5" s="1"/>
  <c r="R70" i="5"/>
  <c r="K69" i="5"/>
  <c r="M69" i="5" s="1"/>
  <c r="C73" i="5"/>
  <c r="T72" i="5"/>
  <c r="L68" i="5"/>
  <c r="Q52" i="5" l="1"/>
  <c r="I52" i="5"/>
  <c r="L69" i="5"/>
  <c r="F71" i="5"/>
  <c r="T73" i="5"/>
  <c r="C74" i="5"/>
  <c r="S70" i="5"/>
  <c r="G70" i="5" s="1"/>
  <c r="J70" i="5" s="1"/>
  <c r="R71" i="5"/>
  <c r="K70" i="5"/>
  <c r="M70" i="5" s="1"/>
  <c r="H53" i="5" l="1"/>
  <c r="Q53" i="5" s="1"/>
  <c r="O52" i="5"/>
  <c r="P52" i="5" s="1"/>
  <c r="N52" i="5"/>
  <c r="L70" i="5"/>
  <c r="F72" i="5"/>
  <c r="R72" i="5"/>
  <c r="S71" i="5"/>
  <c r="G71" i="5" s="1"/>
  <c r="J71" i="5" s="1"/>
  <c r="K71" i="5"/>
  <c r="M71" i="5" s="1"/>
  <c r="C75" i="5"/>
  <c r="T74" i="5"/>
  <c r="I53" i="5" l="1"/>
  <c r="H54" i="5"/>
  <c r="Q54" i="5" s="1"/>
  <c r="N53" i="5"/>
  <c r="O53" i="5"/>
  <c r="P53" i="5" s="1"/>
  <c r="F73" i="5"/>
  <c r="R73" i="5"/>
  <c r="S72" i="5"/>
  <c r="G72" i="5" s="1"/>
  <c r="J72" i="5" s="1"/>
  <c r="K72" i="5"/>
  <c r="M72" i="5" s="1"/>
  <c r="T75" i="5"/>
  <c r="C76" i="5"/>
  <c r="L71" i="5"/>
  <c r="I54" i="5" l="1"/>
  <c r="N54" i="5"/>
  <c r="H55" i="5"/>
  <c r="Q55" i="5" s="1"/>
  <c r="O54" i="5"/>
  <c r="P54" i="5" s="1"/>
  <c r="I55" i="5"/>
  <c r="F74" i="5"/>
  <c r="L72" i="5"/>
  <c r="C77" i="5"/>
  <c r="T76" i="5"/>
  <c r="R74" i="5"/>
  <c r="S73" i="5"/>
  <c r="G73" i="5" s="1"/>
  <c r="J73" i="5" s="1"/>
  <c r="K73" i="5"/>
  <c r="M73" i="5" s="1"/>
  <c r="O55" i="5" l="1"/>
  <c r="P55" i="5" s="1"/>
  <c r="N55" i="5"/>
  <c r="H56" i="5"/>
  <c r="I56" i="5" s="1"/>
  <c r="L73" i="5"/>
  <c r="T77" i="5"/>
  <c r="C78" i="5"/>
  <c r="F75" i="5"/>
  <c r="R75" i="5"/>
  <c r="S74" i="5"/>
  <c r="G74" i="5" s="1"/>
  <c r="J74" i="5" s="1"/>
  <c r="K74" i="5"/>
  <c r="M74" i="5" s="1"/>
  <c r="Q56" i="5" l="1"/>
  <c r="H57" i="5" s="1"/>
  <c r="Q57" i="5" s="1"/>
  <c r="O56" i="5"/>
  <c r="P56" i="5" s="1"/>
  <c r="C79" i="5"/>
  <c r="T78" i="5"/>
  <c r="R76" i="5"/>
  <c r="K75" i="5"/>
  <c r="M75" i="5" s="1"/>
  <c r="S75" i="5"/>
  <c r="G75" i="5" s="1"/>
  <c r="J75" i="5" s="1"/>
  <c r="F76" i="5"/>
  <c r="L74" i="5"/>
  <c r="O57" i="5" l="1"/>
  <c r="P57" i="5" s="1"/>
  <c r="N57" i="5"/>
  <c r="H58" i="5"/>
  <c r="Q58" i="5" s="1"/>
  <c r="N56" i="5"/>
  <c r="I57" i="5"/>
  <c r="I58" i="5" s="1"/>
  <c r="L75" i="5"/>
  <c r="T79" i="5"/>
  <c r="C80" i="5"/>
  <c r="F77" i="5"/>
  <c r="S76" i="5"/>
  <c r="V10" i="5" s="1"/>
  <c r="R77" i="5"/>
  <c r="K76" i="5"/>
  <c r="M76" i="5" s="1"/>
  <c r="O58" i="5" l="1"/>
  <c r="P58" i="5" s="1"/>
  <c r="H59" i="5"/>
  <c r="Q59" i="5" s="1"/>
  <c r="O59" i="5" s="1"/>
  <c r="P59" i="5" s="1"/>
  <c r="N58" i="5"/>
  <c r="I59" i="5"/>
  <c r="H60" i="5"/>
  <c r="Q60" i="5" s="1"/>
  <c r="N59" i="5"/>
  <c r="G76" i="5"/>
  <c r="J76" i="5" s="1"/>
  <c r="L76" i="5"/>
  <c r="T80" i="5"/>
  <c r="C81" i="5"/>
  <c r="F78" i="5"/>
  <c r="S77" i="5"/>
  <c r="G77" i="5" s="1"/>
  <c r="J77" i="5" s="1"/>
  <c r="R78" i="5"/>
  <c r="K77" i="5"/>
  <c r="M77" i="5" s="1"/>
  <c r="H61" i="5" l="1"/>
  <c r="Q61" i="5" s="1"/>
  <c r="O60" i="5"/>
  <c r="P60" i="5" s="1"/>
  <c r="N60" i="5"/>
  <c r="I60" i="5"/>
  <c r="S78" i="5"/>
  <c r="G78" i="5" s="1"/>
  <c r="J78" i="5" s="1"/>
  <c r="R79" i="5"/>
  <c r="K78" i="5"/>
  <c r="M78" i="5" s="1"/>
  <c r="T81" i="5"/>
  <c r="C82" i="5"/>
  <c r="L77" i="5"/>
  <c r="F79" i="5"/>
  <c r="I61" i="5" l="1"/>
  <c r="H62" i="5"/>
  <c r="Q62" i="5" s="1"/>
  <c r="O61" i="5"/>
  <c r="P61" i="5" s="1"/>
  <c r="N61" i="5"/>
  <c r="L78" i="5"/>
  <c r="F80" i="5"/>
  <c r="T82" i="5"/>
  <c r="C83" i="5"/>
  <c r="R80" i="5"/>
  <c r="K79" i="5"/>
  <c r="M79" i="5" s="1"/>
  <c r="S79" i="5"/>
  <c r="G79" i="5" s="1"/>
  <c r="J79" i="5" s="1"/>
  <c r="I62" i="5" l="1"/>
  <c r="L79" i="5"/>
  <c r="N62" i="5"/>
  <c r="H63" i="5"/>
  <c r="Q63" i="5" s="1"/>
  <c r="O62" i="5"/>
  <c r="P62" i="5" s="1"/>
  <c r="C84" i="5"/>
  <c r="T83" i="5"/>
  <c r="F81" i="5"/>
  <c r="R81" i="5"/>
  <c r="S80" i="5"/>
  <c r="G80" i="5" s="1"/>
  <c r="J80" i="5" s="1"/>
  <c r="K80" i="5"/>
  <c r="M80" i="5" s="1"/>
  <c r="N63" i="5" l="1"/>
  <c r="H64" i="5"/>
  <c r="Q64" i="5" s="1"/>
  <c r="O63" i="5"/>
  <c r="P63" i="5" s="1"/>
  <c r="I63" i="5"/>
  <c r="F82" i="5"/>
  <c r="T84" i="5"/>
  <c r="C85" i="5"/>
  <c r="R82" i="5"/>
  <c r="S81" i="5"/>
  <c r="G81" i="5" s="1"/>
  <c r="J81" i="5" s="1"/>
  <c r="K81" i="5"/>
  <c r="M81" i="5" s="1"/>
  <c r="L80" i="5"/>
  <c r="I64" i="5" l="1"/>
  <c r="O64" i="5"/>
  <c r="P64" i="5" s="1"/>
  <c r="N64" i="5"/>
  <c r="H65" i="5"/>
  <c r="Q65" i="5" s="1"/>
  <c r="T85" i="5"/>
  <c r="C86" i="5"/>
  <c r="F83" i="5"/>
  <c r="R83" i="5"/>
  <c r="S82" i="5"/>
  <c r="G82" i="5" s="1"/>
  <c r="J82" i="5" s="1"/>
  <c r="K82" i="5"/>
  <c r="M82" i="5" s="1"/>
  <c r="L81" i="5"/>
  <c r="H66" i="5" l="1"/>
  <c r="Q66" i="5" s="1"/>
  <c r="O65" i="5"/>
  <c r="P65" i="5" s="1"/>
  <c r="N65" i="5"/>
  <c r="I65" i="5"/>
  <c r="L82" i="5"/>
  <c r="T86" i="5"/>
  <c r="C87" i="5"/>
  <c r="R84" i="5"/>
  <c r="K83" i="5"/>
  <c r="M83" i="5" s="1"/>
  <c r="S83" i="5"/>
  <c r="G83" i="5" s="1"/>
  <c r="J83" i="5" s="1"/>
  <c r="F84" i="5"/>
  <c r="I66" i="5" l="1"/>
  <c r="H67" i="5"/>
  <c r="N66" i="5"/>
  <c r="O66" i="5"/>
  <c r="P66" i="5" s="1"/>
  <c r="Q67" i="5"/>
  <c r="S84" i="5"/>
  <c r="G84" i="5" s="1"/>
  <c r="J84" i="5" s="1"/>
  <c r="R85" i="5"/>
  <c r="K84" i="5"/>
  <c r="M84" i="5" s="1"/>
  <c r="C88" i="5"/>
  <c r="T87" i="5"/>
  <c r="L83" i="5"/>
  <c r="F85" i="5"/>
  <c r="I67" i="5" l="1"/>
  <c r="H68" i="5"/>
  <c r="Q68" i="5" s="1"/>
  <c r="N67" i="5"/>
  <c r="O67" i="5"/>
  <c r="P67" i="5" s="1"/>
  <c r="L84" i="5"/>
  <c r="S85" i="5"/>
  <c r="G85" i="5" s="1"/>
  <c r="J85" i="5" s="1"/>
  <c r="K85" i="5"/>
  <c r="M85" i="5" s="1"/>
  <c r="R86" i="5"/>
  <c r="F86" i="5"/>
  <c r="T88" i="5"/>
  <c r="C89" i="5"/>
  <c r="I68" i="5" l="1"/>
  <c r="N68" i="5"/>
  <c r="H69" i="5"/>
  <c r="O68" i="5"/>
  <c r="P68" i="5" s="1"/>
  <c r="F87" i="5"/>
  <c r="L85" i="5"/>
  <c r="T89" i="5"/>
  <c r="C90" i="5"/>
  <c r="S86" i="5"/>
  <c r="G86" i="5" s="1"/>
  <c r="J86" i="5" s="1"/>
  <c r="R87" i="5"/>
  <c r="K86" i="5"/>
  <c r="M86" i="5" s="1"/>
  <c r="I69" i="5" l="1"/>
  <c r="Q69" i="5"/>
  <c r="O69" i="5" s="1"/>
  <c r="P69" i="5" s="1"/>
  <c r="H70" i="5"/>
  <c r="L86" i="5"/>
  <c r="F88" i="5"/>
  <c r="T90" i="5"/>
  <c r="C91" i="5"/>
  <c r="R88" i="5"/>
  <c r="S87" i="5"/>
  <c r="G87" i="5" s="1"/>
  <c r="J87" i="5" s="1"/>
  <c r="K87" i="5"/>
  <c r="M87" i="5" s="1"/>
  <c r="I70" i="5" l="1"/>
  <c r="N69" i="5"/>
  <c r="Q70" i="5"/>
  <c r="C92" i="5"/>
  <c r="T91" i="5"/>
  <c r="F89" i="5"/>
  <c r="L87" i="5"/>
  <c r="R89" i="5"/>
  <c r="S88" i="5"/>
  <c r="V11" i="5" s="1"/>
  <c r="K88" i="5"/>
  <c r="M88" i="5" s="1"/>
  <c r="H71" i="5" l="1"/>
  <c r="I71" i="5" s="1"/>
  <c r="N70" i="5"/>
  <c r="O70" i="5"/>
  <c r="P70" i="5" s="1"/>
  <c r="L88" i="5"/>
  <c r="G88" i="5"/>
  <c r="J88" i="5" s="1"/>
  <c r="F90" i="5"/>
  <c r="R90" i="5"/>
  <c r="S89" i="5"/>
  <c r="G89" i="5" s="1"/>
  <c r="J89" i="5" s="1"/>
  <c r="K89" i="5"/>
  <c r="M89" i="5" s="1"/>
  <c r="T92" i="5"/>
  <c r="C93" i="5"/>
  <c r="Q71" i="5" l="1"/>
  <c r="H72" i="5"/>
  <c r="I72" i="5" s="1"/>
  <c r="N71" i="5"/>
  <c r="O71" i="5"/>
  <c r="P71" i="5" s="1"/>
  <c r="Q72" i="5"/>
  <c r="L89" i="5"/>
  <c r="R91" i="5"/>
  <c r="S90" i="5"/>
  <c r="G90" i="5" s="1"/>
  <c r="J90" i="5" s="1"/>
  <c r="K90" i="5"/>
  <c r="M90" i="5" s="1"/>
  <c r="T93" i="5"/>
  <c r="C94" i="5"/>
  <c r="F91" i="5"/>
  <c r="N72" i="5" l="1"/>
  <c r="O72" i="5"/>
  <c r="P72" i="5" s="1"/>
  <c r="H73" i="5"/>
  <c r="I73" i="5" s="1"/>
  <c r="L90" i="5"/>
  <c r="F92" i="5"/>
  <c r="T94" i="5"/>
  <c r="C95" i="5"/>
  <c r="R92" i="5"/>
  <c r="K91" i="5"/>
  <c r="M91" i="5" s="1"/>
  <c r="S91" i="5"/>
  <c r="G91" i="5" s="1"/>
  <c r="J91" i="5" s="1"/>
  <c r="Q73" i="5" l="1"/>
  <c r="O73" i="5" s="1"/>
  <c r="P73" i="5" s="1"/>
  <c r="L91" i="5"/>
  <c r="F93" i="5"/>
  <c r="S92" i="5"/>
  <c r="G92" i="5" s="1"/>
  <c r="J92" i="5" s="1"/>
  <c r="R93" i="5"/>
  <c r="K92" i="5"/>
  <c r="M92" i="5" s="1"/>
  <c r="T95" i="5"/>
  <c r="C96" i="5"/>
  <c r="N73" i="5" l="1"/>
  <c r="H74" i="5"/>
  <c r="I74" i="5" s="1"/>
  <c r="Q74" i="5"/>
  <c r="L92" i="5"/>
  <c r="S93" i="5"/>
  <c r="G93" i="5" s="1"/>
  <c r="J93" i="5" s="1"/>
  <c r="K93" i="5"/>
  <c r="M93" i="5" s="1"/>
  <c r="R94" i="5"/>
  <c r="F94" i="5"/>
  <c r="C97" i="5"/>
  <c r="T96" i="5"/>
  <c r="N74" i="5" l="1"/>
  <c r="O74" i="5"/>
  <c r="P74" i="5" s="1"/>
  <c r="H75" i="5"/>
  <c r="L93" i="5"/>
  <c r="F95" i="5"/>
  <c r="S94" i="5"/>
  <c r="G94" i="5" s="1"/>
  <c r="J94" i="5" s="1"/>
  <c r="R95" i="5"/>
  <c r="K94" i="5"/>
  <c r="M94" i="5" s="1"/>
  <c r="C98" i="5"/>
  <c r="T97" i="5"/>
  <c r="I75" i="5" l="1"/>
  <c r="Q75" i="5"/>
  <c r="F96" i="5"/>
  <c r="L94" i="5"/>
  <c r="T98" i="5"/>
  <c r="C99" i="5"/>
  <c r="R96" i="5"/>
  <c r="K95" i="5"/>
  <c r="M95" i="5" s="1"/>
  <c r="S95" i="5"/>
  <c r="G95" i="5" s="1"/>
  <c r="J95" i="5" s="1"/>
  <c r="H76" i="5" l="1"/>
  <c r="I76" i="5" s="1"/>
  <c r="N75" i="5"/>
  <c r="O75" i="5"/>
  <c r="P75" i="5" s="1"/>
  <c r="L95" i="5"/>
  <c r="F97" i="5"/>
  <c r="R97" i="5"/>
  <c r="S96" i="5"/>
  <c r="G96" i="5" s="1"/>
  <c r="J96" i="5" s="1"/>
  <c r="K96" i="5"/>
  <c r="M96" i="5" s="1"/>
  <c r="T99" i="5"/>
  <c r="C100" i="5"/>
  <c r="Q76" i="5" l="1"/>
  <c r="O76" i="5" s="1"/>
  <c r="P76" i="5" s="1"/>
  <c r="N76" i="5"/>
  <c r="H77" i="5"/>
  <c r="C101" i="5"/>
  <c r="T100" i="5"/>
  <c r="L96" i="5"/>
  <c r="R98" i="5"/>
  <c r="S97" i="5"/>
  <c r="G97" i="5" s="1"/>
  <c r="J97" i="5" s="1"/>
  <c r="K97" i="5"/>
  <c r="M97" i="5" s="1"/>
  <c r="F98" i="5"/>
  <c r="I77" i="5" l="1"/>
  <c r="Q77" i="5"/>
  <c r="C102" i="5"/>
  <c r="T101" i="5"/>
  <c r="R99" i="5"/>
  <c r="S98" i="5"/>
  <c r="G98" i="5" s="1"/>
  <c r="J98" i="5" s="1"/>
  <c r="K98" i="5"/>
  <c r="M98" i="5" s="1"/>
  <c r="F99" i="5"/>
  <c r="L97" i="5"/>
  <c r="N77" i="5" l="1"/>
  <c r="O77" i="5"/>
  <c r="P77" i="5" s="1"/>
  <c r="H78" i="5"/>
  <c r="I78" i="5" s="1"/>
  <c r="L98" i="5"/>
  <c r="R100" i="5"/>
  <c r="K99" i="5"/>
  <c r="M99" i="5" s="1"/>
  <c r="S99" i="5"/>
  <c r="G99" i="5" s="1"/>
  <c r="J99" i="5" s="1"/>
  <c r="F100" i="5"/>
  <c r="T102" i="5"/>
  <c r="C103" i="5"/>
  <c r="Q78" i="5" l="1"/>
  <c r="O78" i="5" s="1"/>
  <c r="P78" i="5" s="1"/>
  <c r="L99" i="5"/>
  <c r="F101" i="5"/>
  <c r="T103" i="5"/>
  <c r="C104" i="5"/>
  <c r="S100" i="5"/>
  <c r="V12" i="5" s="1"/>
  <c r="R101" i="5"/>
  <c r="K100" i="5"/>
  <c r="M100" i="5" s="1"/>
  <c r="H79" i="5" l="1"/>
  <c r="I79" i="5" s="1"/>
  <c r="N78" i="5"/>
  <c r="L100" i="5"/>
  <c r="F102" i="5"/>
  <c r="C105" i="5"/>
  <c r="T104" i="5"/>
  <c r="S101" i="5"/>
  <c r="G101" i="5" s="1"/>
  <c r="J101" i="5" s="1"/>
  <c r="R102" i="5"/>
  <c r="K101" i="5"/>
  <c r="M101" i="5" s="1"/>
  <c r="G100" i="5"/>
  <c r="J100" i="5" s="1"/>
  <c r="Q79" i="5" l="1"/>
  <c r="N79" i="5" s="1"/>
  <c r="H80" i="5"/>
  <c r="I80" i="5" s="1"/>
  <c r="L101" i="5"/>
  <c r="C106" i="5"/>
  <c r="T105" i="5"/>
  <c r="S102" i="5"/>
  <c r="G102" i="5" s="1"/>
  <c r="J102" i="5" s="1"/>
  <c r="R103" i="5"/>
  <c r="K102" i="5"/>
  <c r="M102" i="5" s="1"/>
  <c r="F103" i="5"/>
  <c r="O79" i="5" l="1"/>
  <c r="P79" i="5" s="1"/>
  <c r="Q80" i="5"/>
  <c r="N80" i="5" s="1"/>
  <c r="L102" i="5"/>
  <c r="F104" i="5"/>
  <c r="T106" i="5"/>
  <c r="C107" i="5"/>
  <c r="R104" i="5"/>
  <c r="S103" i="5"/>
  <c r="G103" i="5" s="1"/>
  <c r="J103" i="5" s="1"/>
  <c r="K103" i="5"/>
  <c r="M103" i="5" s="1"/>
  <c r="O80" i="5" l="1"/>
  <c r="P80" i="5" s="1"/>
  <c r="H81" i="5"/>
  <c r="I81" i="5" s="1"/>
  <c r="L103" i="5"/>
  <c r="T107" i="5"/>
  <c r="C108" i="5"/>
  <c r="R105" i="5"/>
  <c r="S104" i="5"/>
  <c r="G104" i="5" s="1"/>
  <c r="J104" i="5" s="1"/>
  <c r="K104" i="5"/>
  <c r="M104" i="5" s="1"/>
  <c r="F105" i="5"/>
  <c r="Q81" i="5" l="1"/>
  <c r="C109" i="5"/>
  <c r="T108" i="5"/>
  <c r="F106" i="5"/>
  <c r="R106" i="5"/>
  <c r="S105" i="5"/>
  <c r="G105" i="5" s="1"/>
  <c r="J105" i="5" s="1"/>
  <c r="K105" i="5"/>
  <c r="M105" i="5" s="1"/>
  <c r="L104" i="5"/>
  <c r="O81" i="5" l="1"/>
  <c r="P81" i="5" s="1"/>
  <c r="H82" i="5"/>
  <c r="N81" i="5"/>
  <c r="L105" i="5"/>
  <c r="C110" i="5"/>
  <c r="T109" i="5"/>
  <c r="R107" i="5"/>
  <c r="S106" i="5"/>
  <c r="G106" i="5" s="1"/>
  <c r="J106" i="5" s="1"/>
  <c r="K106" i="5"/>
  <c r="M106" i="5" s="1"/>
  <c r="F107" i="5"/>
  <c r="I82" i="5" l="1"/>
  <c r="Q82" i="5"/>
  <c r="L106" i="5"/>
  <c r="C111" i="5"/>
  <c r="T110" i="5"/>
  <c r="R108" i="5"/>
  <c r="K107" i="5"/>
  <c r="M107" i="5" s="1"/>
  <c r="S107" i="5"/>
  <c r="G107" i="5" s="1"/>
  <c r="J107" i="5" s="1"/>
  <c r="F108" i="5"/>
  <c r="N82" i="5" l="1"/>
  <c r="H83" i="5"/>
  <c r="I83" i="5" s="1"/>
  <c r="O82" i="5"/>
  <c r="P82" i="5" s="1"/>
  <c r="L107" i="5"/>
  <c r="S108" i="5"/>
  <c r="G108" i="5" s="1"/>
  <c r="J108" i="5" s="1"/>
  <c r="R109" i="5"/>
  <c r="K108" i="5"/>
  <c r="M108" i="5" s="1"/>
  <c r="F109" i="5"/>
  <c r="T111" i="5"/>
  <c r="C112" i="5"/>
  <c r="Q83" i="5" l="1"/>
  <c r="O83" i="5"/>
  <c r="P83" i="5" s="1"/>
  <c r="N83" i="5"/>
  <c r="H84" i="5"/>
  <c r="Q84" i="5" s="1"/>
  <c r="L108" i="5"/>
  <c r="S109" i="5"/>
  <c r="G109" i="5" s="1"/>
  <c r="J109" i="5" s="1"/>
  <c r="R110" i="5"/>
  <c r="K109" i="5"/>
  <c r="M109" i="5" s="1"/>
  <c r="C113" i="5"/>
  <c r="T112" i="5"/>
  <c r="F110" i="5"/>
  <c r="I84" i="5" l="1"/>
  <c r="N84" i="5"/>
  <c r="H85" i="5"/>
  <c r="Q85" i="5" s="1"/>
  <c r="O84" i="5"/>
  <c r="P84" i="5" s="1"/>
  <c r="S110" i="5"/>
  <c r="G110" i="5" s="1"/>
  <c r="J110" i="5" s="1"/>
  <c r="R111" i="5"/>
  <c r="K110" i="5"/>
  <c r="M110" i="5" s="1"/>
  <c r="F111" i="5"/>
  <c r="L109" i="5"/>
  <c r="T113" i="5"/>
  <c r="C114" i="5"/>
  <c r="O85" i="5" l="1"/>
  <c r="P85" i="5" s="1"/>
  <c r="H86" i="5"/>
  <c r="Q86" i="5" s="1"/>
  <c r="N85" i="5"/>
  <c r="I85" i="5"/>
  <c r="I86" i="5" s="1"/>
  <c r="F112" i="5"/>
  <c r="R112" i="5"/>
  <c r="K111" i="5"/>
  <c r="M111" i="5" s="1"/>
  <c r="S111" i="5"/>
  <c r="G111" i="5" s="1"/>
  <c r="J111" i="5" s="1"/>
  <c r="T114" i="5"/>
  <c r="C115" i="5"/>
  <c r="L110" i="5"/>
  <c r="H87" i="5" l="1"/>
  <c r="Q87" i="5" s="1"/>
  <c r="O86" i="5"/>
  <c r="P86" i="5" s="1"/>
  <c r="N86" i="5"/>
  <c r="L111" i="5"/>
  <c r="T115" i="5"/>
  <c r="C116" i="5"/>
  <c r="F113" i="5"/>
  <c r="R113" i="5"/>
  <c r="S112" i="5"/>
  <c r="V13" i="5" s="1"/>
  <c r="K112" i="5"/>
  <c r="M112" i="5" s="1"/>
  <c r="I87" i="5" l="1"/>
  <c r="H88" i="5"/>
  <c r="Q88" i="5" s="1"/>
  <c r="O87" i="5"/>
  <c r="P87" i="5" s="1"/>
  <c r="N87" i="5"/>
  <c r="I88" i="5"/>
  <c r="R114" i="5"/>
  <c r="S113" i="5"/>
  <c r="G113" i="5" s="1"/>
  <c r="J113" i="5" s="1"/>
  <c r="K113" i="5"/>
  <c r="M113" i="5" s="1"/>
  <c r="G112" i="5"/>
  <c r="J112" i="5" s="1"/>
  <c r="F114" i="5"/>
  <c r="L112" i="5"/>
  <c r="C117" i="5"/>
  <c r="T116" i="5"/>
  <c r="O88" i="5" l="1"/>
  <c r="P88" i="5" s="1"/>
  <c r="N88" i="5"/>
  <c r="H89" i="5"/>
  <c r="Q89" i="5" s="1"/>
  <c r="R115" i="5"/>
  <c r="S114" i="5"/>
  <c r="G114" i="5" s="1"/>
  <c r="J114" i="5" s="1"/>
  <c r="K114" i="5"/>
  <c r="M114" i="5" s="1"/>
  <c r="F115" i="5"/>
  <c r="T117" i="5"/>
  <c r="C118" i="5"/>
  <c r="L113" i="5"/>
  <c r="O89" i="5" l="1"/>
  <c r="P89" i="5" s="1"/>
  <c r="H90" i="5"/>
  <c r="Q90" i="5" s="1"/>
  <c r="N89" i="5"/>
  <c r="I89" i="5"/>
  <c r="I90" i="5" s="1"/>
  <c r="R116" i="5"/>
  <c r="K115" i="5"/>
  <c r="M115" i="5" s="1"/>
  <c r="S115" i="5"/>
  <c r="G115" i="5" s="1"/>
  <c r="J115" i="5" s="1"/>
  <c r="L114" i="5"/>
  <c r="F116" i="5"/>
  <c r="T118" i="5"/>
  <c r="C119" i="5"/>
  <c r="N90" i="5" l="1"/>
  <c r="H91" i="5"/>
  <c r="O90" i="5"/>
  <c r="P90" i="5" s="1"/>
  <c r="L115" i="5"/>
  <c r="F117" i="5"/>
  <c r="T119" i="5"/>
  <c r="C120" i="5"/>
  <c r="S116" i="5"/>
  <c r="G116" i="5" s="1"/>
  <c r="J116" i="5" s="1"/>
  <c r="R117" i="5"/>
  <c r="K116" i="5"/>
  <c r="M116" i="5" s="1"/>
  <c r="Q91" i="5" l="1"/>
  <c r="I91" i="5"/>
  <c r="L116" i="5"/>
  <c r="C121" i="5"/>
  <c r="T120" i="5"/>
  <c r="S117" i="5"/>
  <c r="G117" i="5" s="1"/>
  <c r="J117" i="5" s="1"/>
  <c r="K117" i="5"/>
  <c r="M117" i="5" s="1"/>
  <c r="R118" i="5"/>
  <c r="F118" i="5"/>
  <c r="O91" i="5" l="1"/>
  <c r="P91" i="5" s="1"/>
  <c r="H92" i="5"/>
  <c r="Q92" i="5" s="1"/>
  <c r="N91" i="5"/>
  <c r="F119" i="5"/>
  <c r="C122" i="5"/>
  <c r="T121" i="5"/>
  <c r="L117" i="5"/>
  <c r="S118" i="5"/>
  <c r="G118" i="5" s="1"/>
  <c r="J118" i="5" s="1"/>
  <c r="R119" i="5"/>
  <c r="K118" i="5"/>
  <c r="M118" i="5" s="1"/>
  <c r="O92" i="5" l="1"/>
  <c r="P92" i="5" s="1"/>
  <c r="N92" i="5"/>
  <c r="H93" i="5"/>
  <c r="Q93" i="5" s="1"/>
  <c r="I92" i="5"/>
  <c r="T122" i="5"/>
  <c r="C123" i="5"/>
  <c r="R120" i="5"/>
  <c r="S119" i="5"/>
  <c r="G119" i="5" s="1"/>
  <c r="J119" i="5" s="1"/>
  <c r="K119" i="5"/>
  <c r="M119" i="5" s="1"/>
  <c r="F120" i="5"/>
  <c r="L118" i="5"/>
  <c r="I93" i="5" l="1"/>
  <c r="H94" i="5"/>
  <c r="I94" i="5" s="1"/>
  <c r="O93" i="5"/>
  <c r="P93" i="5" s="1"/>
  <c r="N93" i="5"/>
  <c r="Q94" i="5"/>
  <c r="L119" i="5"/>
  <c r="T123" i="5"/>
  <c r="C124" i="5"/>
  <c r="R121" i="5"/>
  <c r="S120" i="5"/>
  <c r="G120" i="5" s="1"/>
  <c r="J120" i="5" s="1"/>
  <c r="K120" i="5"/>
  <c r="M120" i="5" s="1"/>
  <c r="F121" i="5"/>
  <c r="H95" i="5" l="1"/>
  <c r="I95" i="5" s="1"/>
  <c r="N94" i="5"/>
  <c r="O94" i="5"/>
  <c r="P94" i="5" s="1"/>
  <c r="C125" i="5"/>
  <c r="T124" i="5"/>
  <c r="F122" i="5"/>
  <c r="L120" i="5"/>
  <c r="R122" i="5"/>
  <c r="S121" i="5"/>
  <c r="G121" i="5" s="1"/>
  <c r="J121" i="5" s="1"/>
  <c r="K121" i="5"/>
  <c r="M121" i="5" s="1"/>
  <c r="Q95" i="5" l="1"/>
  <c r="O95" i="5"/>
  <c r="P95" i="5" s="1"/>
  <c r="H96" i="5"/>
  <c r="I96" i="5" s="1"/>
  <c r="N95" i="5"/>
  <c r="L121" i="5"/>
  <c r="C126" i="5"/>
  <c r="T125" i="5"/>
  <c r="R123" i="5"/>
  <c r="S122" i="5"/>
  <c r="G122" i="5" s="1"/>
  <c r="J122" i="5" s="1"/>
  <c r="K122" i="5"/>
  <c r="M122" i="5" s="1"/>
  <c r="F123" i="5"/>
  <c r="Q96" i="5" l="1"/>
  <c r="H97" i="5" s="1"/>
  <c r="I97" i="5" s="1"/>
  <c r="N96" i="5"/>
  <c r="O96" i="5"/>
  <c r="P96" i="5" s="1"/>
  <c r="T126" i="5"/>
  <c r="C127" i="5"/>
  <c r="R124" i="5"/>
  <c r="K123" i="5"/>
  <c r="M123" i="5" s="1"/>
  <c r="S123" i="5"/>
  <c r="G123" i="5" s="1"/>
  <c r="J123" i="5" s="1"/>
  <c r="L122" i="5"/>
  <c r="F124" i="5"/>
  <c r="Q97" i="5" l="1"/>
  <c r="L123" i="5"/>
  <c r="T127" i="5"/>
  <c r="C128" i="5"/>
  <c r="F125" i="5"/>
  <c r="S124" i="5"/>
  <c r="R125" i="5"/>
  <c r="K124" i="5"/>
  <c r="M124" i="5" s="1"/>
  <c r="N97" i="5" l="1"/>
  <c r="H98" i="5"/>
  <c r="I98" i="5" s="1"/>
  <c r="O97" i="5"/>
  <c r="P97" i="5" s="1"/>
  <c r="L124" i="5"/>
  <c r="F126" i="5"/>
  <c r="T128" i="5"/>
  <c r="C129" i="5"/>
  <c r="S125" i="5"/>
  <c r="G125" i="5" s="1"/>
  <c r="J125" i="5" s="1"/>
  <c r="K125" i="5"/>
  <c r="M125" i="5" s="1"/>
  <c r="R126" i="5"/>
  <c r="V14" i="5"/>
  <c r="AD41" i="5"/>
  <c r="M21" i="3" s="1"/>
  <c r="G124" i="5"/>
  <c r="Q98" i="5" l="1"/>
  <c r="H99" i="5"/>
  <c r="I99" i="5" s="1"/>
  <c r="O98" i="5"/>
  <c r="P98" i="5" s="1"/>
  <c r="N98" i="5"/>
  <c r="L125" i="5"/>
  <c r="F127" i="5"/>
  <c r="S126" i="5"/>
  <c r="G126" i="5" s="1"/>
  <c r="J126" i="5" s="1"/>
  <c r="R127" i="5"/>
  <c r="K126" i="5"/>
  <c r="M126" i="5" s="1"/>
  <c r="J124" i="5"/>
  <c r="AF41" i="5" s="1"/>
  <c r="O6" i="3" s="1"/>
  <c r="AE41" i="5"/>
  <c r="M6" i="3" s="1"/>
  <c r="C130" i="5"/>
  <c r="T129" i="5"/>
  <c r="Q99" i="5" l="1"/>
  <c r="H100" i="5" s="1"/>
  <c r="N99" i="5"/>
  <c r="O99" i="5"/>
  <c r="P99" i="5" s="1"/>
  <c r="R128" i="5"/>
  <c r="K127" i="5"/>
  <c r="M127" i="5" s="1"/>
  <c r="S127" i="5"/>
  <c r="G127" i="5" s="1"/>
  <c r="J127" i="5" s="1"/>
  <c r="L126" i="5"/>
  <c r="F128" i="5"/>
  <c r="T130" i="5"/>
  <c r="C131" i="5"/>
  <c r="I100" i="5" l="1"/>
  <c r="Q100" i="5"/>
  <c r="H101" i="5" s="1"/>
  <c r="O100" i="5"/>
  <c r="P100" i="5" s="1"/>
  <c r="L127" i="5"/>
  <c r="F129" i="5"/>
  <c r="R129" i="5"/>
  <c r="S128" i="5"/>
  <c r="G128" i="5" s="1"/>
  <c r="J128" i="5" s="1"/>
  <c r="K128" i="5"/>
  <c r="M128" i="5" s="1"/>
  <c r="T131" i="5"/>
  <c r="C132" i="5"/>
  <c r="N100" i="5" l="1"/>
  <c r="I101" i="5"/>
  <c r="Q101" i="5"/>
  <c r="N101" i="5" s="1"/>
  <c r="H102" i="5"/>
  <c r="O101" i="5"/>
  <c r="P101" i="5" s="1"/>
  <c r="F130" i="5"/>
  <c r="R130" i="5"/>
  <c r="S129" i="5"/>
  <c r="G129" i="5" s="1"/>
  <c r="J129" i="5" s="1"/>
  <c r="K129" i="5"/>
  <c r="M129" i="5" s="1"/>
  <c r="L128" i="5"/>
  <c r="T132" i="5"/>
  <c r="C133" i="5"/>
  <c r="I102" i="5" l="1"/>
  <c r="Q102" i="5"/>
  <c r="L129" i="5"/>
  <c r="R131" i="5"/>
  <c r="S130" i="5"/>
  <c r="G130" i="5" s="1"/>
  <c r="J130" i="5" s="1"/>
  <c r="K130" i="5"/>
  <c r="M130" i="5" s="1"/>
  <c r="F131" i="5"/>
  <c r="T133" i="5"/>
  <c r="C134" i="5"/>
  <c r="H103" i="5" l="1"/>
  <c r="Q103" i="5" s="1"/>
  <c r="O102" i="5"/>
  <c r="P102" i="5" s="1"/>
  <c r="N102" i="5"/>
  <c r="I103" i="5"/>
  <c r="F132" i="5"/>
  <c r="T134" i="5"/>
  <c r="C135" i="5"/>
  <c r="R132" i="5"/>
  <c r="K131" i="5"/>
  <c r="M131" i="5" s="1"/>
  <c r="S131" i="5"/>
  <c r="G131" i="5" s="1"/>
  <c r="J131" i="5" s="1"/>
  <c r="L130" i="5"/>
  <c r="N103" i="5" l="1"/>
  <c r="H104" i="5"/>
  <c r="Q104" i="5" s="1"/>
  <c r="O103" i="5"/>
  <c r="P103" i="5" s="1"/>
  <c r="L131" i="5"/>
  <c r="F133" i="5"/>
  <c r="T135" i="5"/>
  <c r="C136" i="5"/>
  <c r="S132" i="5"/>
  <c r="G132" i="5" s="1"/>
  <c r="J132" i="5" s="1"/>
  <c r="R133" i="5"/>
  <c r="K132" i="5"/>
  <c r="M132" i="5" s="1"/>
  <c r="N104" i="5" l="1"/>
  <c r="H105" i="5"/>
  <c r="Q105" i="5" s="1"/>
  <c r="O104" i="5"/>
  <c r="P104" i="5" s="1"/>
  <c r="I104" i="5"/>
  <c r="L132" i="5"/>
  <c r="F134" i="5"/>
  <c r="T136" i="5"/>
  <c r="C137" i="5"/>
  <c r="S133" i="5"/>
  <c r="G133" i="5" s="1"/>
  <c r="J133" i="5" s="1"/>
  <c r="R134" i="5"/>
  <c r="K133" i="5"/>
  <c r="M133" i="5" s="1"/>
  <c r="I105" i="5" l="1"/>
  <c r="H106" i="5"/>
  <c r="Q106" i="5" s="1"/>
  <c r="N105" i="5"/>
  <c r="O105" i="5"/>
  <c r="P105" i="5" s="1"/>
  <c r="F135" i="5"/>
  <c r="S134" i="5"/>
  <c r="G134" i="5" s="1"/>
  <c r="J134" i="5" s="1"/>
  <c r="R135" i="5"/>
  <c r="K134" i="5"/>
  <c r="M134" i="5" s="1"/>
  <c r="C138" i="5"/>
  <c r="T137" i="5"/>
  <c r="L133" i="5"/>
  <c r="N106" i="5" l="1"/>
  <c r="H107" i="5"/>
  <c r="Q107" i="5" s="1"/>
  <c r="O106" i="5"/>
  <c r="P106" i="5" s="1"/>
  <c r="I106" i="5"/>
  <c r="I107" i="5" s="1"/>
  <c r="L134" i="5"/>
  <c r="F136" i="5"/>
  <c r="T138" i="5"/>
  <c r="C139" i="5"/>
  <c r="R136" i="5"/>
  <c r="S135" i="5"/>
  <c r="G135" i="5" s="1"/>
  <c r="J135" i="5" s="1"/>
  <c r="K135" i="5"/>
  <c r="M135" i="5" s="1"/>
  <c r="O107" i="5" l="1"/>
  <c r="P107" i="5" s="1"/>
  <c r="N107" i="5"/>
  <c r="H108" i="5"/>
  <c r="I108" i="5" s="1"/>
  <c r="F137" i="5"/>
  <c r="L135" i="5"/>
  <c r="T139" i="5"/>
  <c r="C140" i="5"/>
  <c r="R137" i="5"/>
  <c r="S136" i="5"/>
  <c r="V15" i="5" s="1"/>
  <c r="K136" i="5"/>
  <c r="M136" i="5" s="1"/>
  <c r="Q108" i="5" l="1"/>
  <c r="L136" i="5"/>
  <c r="R138" i="5"/>
  <c r="S137" i="5"/>
  <c r="G137" i="5" s="1"/>
  <c r="J137" i="5" s="1"/>
  <c r="K137" i="5"/>
  <c r="M137" i="5" s="1"/>
  <c r="G136" i="5"/>
  <c r="J136" i="5" s="1"/>
  <c r="T140" i="5"/>
  <c r="C141" i="5"/>
  <c r="F138" i="5"/>
  <c r="O108" i="5" l="1"/>
  <c r="P108" i="5" s="1"/>
  <c r="H109" i="5"/>
  <c r="I109" i="5" s="1"/>
  <c r="N108" i="5"/>
  <c r="L137" i="5"/>
  <c r="C142" i="5"/>
  <c r="T141" i="5"/>
  <c r="F139" i="5"/>
  <c r="R139" i="5"/>
  <c r="S138" i="5"/>
  <c r="G138" i="5" s="1"/>
  <c r="J138" i="5" s="1"/>
  <c r="K138" i="5"/>
  <c r="M138" i="5" s="1"/>
  <c r="Q109" i="5" l="1"/>
  <c r="H110" i="5"/>
  <c r="I110" i="5" s="1"/>
  <c r="O109" i="5"/>
  <c r="P109" i="5" s="1"/>
  <c r="N109" i="5"/>
  <c r="Q110" i="5"/>
  <c r="F140" i="5"/>
  <c r="L138" i="5"/>
  <c r="R140" i="5"/>
  <c r="K139" i="5"/>
  <c r="M139" i="5" s="1"/>
  <c r="S139" i="5"/>
  <c r="G139" i="5" s="1"/>
  <c r="J139" i="5" s="1"/>
  <c r="T142" i="5"/>
  <c r="C143" i="5"/>
  <c r="N110" i="5" l="1"/>
  <c r="O110" i="5"/>
  <c r="P110" i="5" s="1"/>
  <c r="H111" i="5"/>
  <c r="I111" i="5" s="1"/>
  <c r="F141" i="5"/>
  <c r="T143" i="5"/>
  <c r="C144" i="5"/>
  <c r="S140" i="5"/>
  <c r="G140" i="5" s="1"/>
  <c r="J140" i="5" s="1"/>
  <c r="R141" i="5"/>
  <c r="K140" i="5"/>
  <c r="M140" i="5" s="1"/>
  <c r="L139" i="5"/>
  <c r="Q111" i="5" l="1"/>
  <c r="L140" i="5"/>
  <c r="S141" i="5"/>
  <c r="G141" i="5" s="1"/>
  <c r="J141" i="5" s="1"/>
  <c r="R142" i="5"/>
  <c r="K141" i="5"/>
  <c r="M141" i="5" s="1"/>
  <c r="C145" i="5"/>
  <c r="T144" i="5"/>
  <c r="F142" i="5"/>
  <c r="N111" i="5" l="1"/>
  <c r="O111" i="5"/>
  <c r="P111" i="5" s="1"/>
  <c r="H112" i="5"/>
  <c r="I112" i="5" s="1"/>
  <c r="F143" i="5"/>
  <c r="S142" i="5"/>
  <c r="G142" i="5" s="1"/>
  <c r="J142" i="5" s="1"/>
  <c r="R143" i="5"/>
  <c r="K142" i="5"/>
  <c r="M142" i="5" s="1"/>
  <c r="C146" i="5"/>
  <c r="T145" i="5"/>
  <c r="L141" i="5"/>
  <c r="Q112" i="5" l="1"/>
  <c r="T146" i="5"/>
  <c r="C147" i="5"/>
  <c r="L142" i="5"/>
  <c r="F144" i="5"/>
  <c r="R144" i="5"/>
  <c r="K143" i="5"/>
  <c r="M143" i="5" s="1"/>
  <c r="S143" i="5"/>
  <c r="G143" i="5" s="1"/>
  <c r="J143" i="5" s="1"/>
  <c r="H113" i="5" l="1"/>
  <c r="I113" i="5" s="1"/>
  <c r="O112" i="5"/>
  <c r="P112" i="5" s="1"/>
  <c r="N112" i="5"/>
  <c r="L143" i="5"/>
  <c r="F145" i="5"/>
  <c r="R145" i="5"/>
  <c r="S144" i="5"/>
  <c r="G144" i="5" s="1"/>
  <c r="J144" i="5" s="1"/>
  <c r="K144" i="5"/>
  <c r="M144" i="5" s="1"/>
  <c r="C148" i="5"/>
  <c r="T147" i="5"/>
  <c r="Q113" i="5" l="1"/>
  <c r="N113" i="5"/>
  <c r="O113" i="5"/>
  <c r="P113" i="5" s="1"/>
  <c r="H114" i="5"/>
  <c r="I114" i="5" s="1"/>
  <c r="L144" i="5"/>
  <c r="F146" i="5"/>
  <c r="R146" i="5"/>
  <c r="S145" i="5"/>
  <c r="G145" i="5" s="1"/>
  <c r="J145" i="5" s="1"/>
  <c r="K145" i="5"/>
  <c r="M145" i="5" s="1"/>
  <c r="C149" i="5"/>
  <c r="T148" i="5"/>
  <c r="Q114" i="5" l="1"/>
  <c r="L145" i="5"/>
  <c r="C150" i="5"/>
  <c r="T149" i="5"/>
  <c r="F147" i="5"/>
  <c r="R147" i="5"/>
  <c r="S146" i="5"/>
  <c r="G146" i="5" s="1"/>
  <c r="J146" i="5" s="1"/>
  <c r="K146" i="5"/>
  <c r="M146" i="5" s="1"/>
  <c r="N114" i="5" l="1"/>
  <c r="H115" i="5"/>
  <c r="I115" i="5" s="1"/>
  <c r="O114" i="5"/>
  <c r="P114" i="5" s="1"/>
  <c r="R148" i="5"/>
  <c r="K147" i="5"/>
  <c r="M147" i="5" s="1"/>
  <c r="S147" i="5"/>
  <c r="G147" i="5" s="1"/>
  <c r="J147" i="5" s="1"/>
  <c r="L146" i="5"/>
  <c r="F148" i="5"/>
  <c r="T150" i="5"/>
  <c r="C151" i="5"/>
  <c r="Q115" i="5" l="1"/>
  <c r="H116" i="5" s="1"/>
  <c r="O115" i="5"/>
  <c r="P115" i="5" s="1"/>
  <c r="N115" i="5"/>
  <c r="L147" i="5"/>
  <c r="T151" i="5"/>
  <c r="C152" i="5"/>
  <c r="S148" i="5"/>
  <c r="V16" i="5" s="1"/>
  <c r="R149" i="5"/>
  <c r="K148" i="5"/>
  <c r="M148" i="5" s="1"/>
  <c r="F149" i="5"/>
  <c r="I116" i="5" l="1"/>
  <c r="Q116" i="5"/>
  <c r="N116" i="5" s="1"/>
  <c r="H117" i="5"/>
  <c r="I117" i="5" s="1"/>
  <c r="O116" i="5"/>
  <c r="P116" i="5" s="1"/>
  <c r="G148" i="5"/>
  <c r="J148" i="5" s="1"/>
  <c r="S149" i="5"/>
  <c r="G149" i="5" s="1"/>
  <c r="J149" i="5" s="1"/>
  <c r="K149" i="5"/>
  <c r="M149" i="5" s="1"/>
  <c r="R150" i="5"/>
  <c r="F150" i="5"/>
  <c r="T152" i="5"/>
  <c r="C153" i="5"/>
  <c r="L148" i="5"/>
  <c r="Q117" i="5" l="1"/>
  <c r="N117" i="5" s="1"/>
  <c r="H118" i="5"/>
  <c r="I118" i="5" s="1"/>
  <c r="L149" i="5"/>
  <c r="C154" i="5"/>
  <c r="T153" i="5"/>
  <c r="S150" i="5"/>
  <c r="G150" i="5" s="1"/>
  <c r="J150" i="5" s="1"/>
  <c r="R151" i="5"/>
  <c r="K150" i="5"/>
  <c r="M150" i="5" s="1"/>
  <c r="F151" i="5"/>
  <c r="O117" i="5" l="1"/>
  <c r="P117" i="5" s="1"/>
  <c r="Q118" i="5"/>
  <c r="R152" i="5"/>
  <c r="S151" i="5"/>
  <c r="G151" i="5" s="1"/>
  <c r="J151" i="5" s="1"/>
  <c r="K151" i="5"/>
  <c r="M151" i="5" s="1"/>
  <c r="F152" i="5"/>
  <c r="T154" i="5"/>
  <c r="C155" i="5"/>
  <c r="L150" i="5"/>
  <c r="H119" i="5" l="1"/>
  <c r="O118" i="5"/>
  <c r="P118" i="5" s="1"/>
  <c r="N118" i="5"/>
  <c r="L151" i="5"/>
  <c r="F153" i="5"/>
  <c r="T155" i="5"/>
  <c r="C156" i="5"/>
  <c r="R153" i="5"/>
  <c r="S152" i="5"/>
  <c r="G152" i="5" s="1"/>
  <c r="J152" i="5" s="1"/>
  <c r="K152" i="5"/>
  <c r="M152" i="5" s="1"/>
  <c r="Q119" i="5" l="1"/>
  <c r="I119" i="5"/>
  <c r="L152" i="5"/>
  <c r="R154" i="5"/>
  <c r="S153" i="5"/>
  <c r="G153" i="5" s="1"/>
  <c r="J153" i="5" s="1"/>
  <c r="K153" i="5"/>
  <c r="M153" i="5" s="1"/>
  <c r="T156" i="5"/>
  <c r="C157" i="5"/>
  <c r="F154" i="5"/>
  <c r="H120" i="5" l="1"/>
  <c r="Q120" i="5" s="1"/>
  <c r="N119" i="5"/>
  <c r="O119" i="5"/>
  <c r="P119" i="5" s="1"/>
  <c r="L153" i="5"/>
  <c r="C158" i="5"/>
  <c r="T157" i="5"/>
  <c r="R155" i="5"/>
  <c r="S154" i="5"/>
  <c r="G154" i="5" s="1"/>
  <c r="J154" i="5" s="1"/>
  <c r="K154" i="5"/>
  <c r="M154" i="5" s="1"/>
  <c r="F155" i="5"/>
  <c r="O120" i="5" l="1"/>
  <c r="P120" i="5" s="1"/>
  <c r="N120" i="5"/>
  <c r="H121" i="5"/>
  <c r="Q121" i="5" s="1"/>
  <c r="I120" i="5"/>
  <c r="L154" i="5"/>
  <c r="T158" i="5"/>
  <c r="C159" i="5"/>
  <c r="R156" i="5"/>
  <c r="K155" i="5"/>
  <c r="M155" i="5" s="1"/>
  <c r="S155" i="5"/>
  <c r="G155" i="5" s="1"/>
  <c r="J155" i="5" s="1"/>
  <c r="F156" i="5"/>
  <c r="I121" i="5" l="1"/>
  <c r="O121" i="5"/>
  <c r="P121" i="5" s="1"/>
  <c r="H122" i="5"/>
  <c r="I122" i="5" s="1"/>
  <c r="N121" i="5"/>
  <c r="Q122" i="5"/>
  <c r="L155" i="5"/>
  <c r="S156" i="5"/>
  <c r="G156" i="5" s="1"/>
  <c r="J156" i="5" s="1"/>
  <c r="R157" i="5"/>
  <c r="K156" i="5"/>
  <c r="M156" i="5" s="1"/>
  <c r="F157" i="5"/>
  <c r="T159" i="5"/>
  <c r="C160" i="5"/>
  <c r="N122" i="5" l="1"/>
  <c r="H123" i="5"/>
  <c r="I123" i="5" s="1"/>
  <c r="O122" i="5"/>
  <c r="P122" i="5" s="1"/>
  <c r="L156" i="5"/>
  <c r="T160" i="5"/>
  <c r="C161" i="5"/>
  <c r="S157" i="5"/>
  <c r="G157" i="5" s="1"/>
  <c r="J157" i="5" s="1"/>
  <c r="K157" i="5"/>
  <c r="M157" i="5" s="1"/>
  <c r="R158" i="5"/>
  <c r="F158" i="5"/>
  <c r="L157" i="5" l="1"/>
  <c r="Q123" i="5"/>
  <c r="H124" i="5" s="1"/>
  <c r="S158" i="5"/>
  <c r="G158" i="5" s="1"/>
  <c r="J158" i="5" s="1"/>
  <c r="R159" i="5"/>
  <c r="K158" i="5"/>
  <c r="M158" i="5" s="1"/>
  <c r="F159" i="5"/>
  <c r="C162" i="5"/>
  <c r="T161" i="5"/>
  <c r="N123" i="5" l="1"/>
  <c r="O123" i="5"/>
  <c r="P123" i="5" s="1"/>
  <c r="I124" i="5"/>
  <c r="Q124" i="5"/>
  <c r="H125" i="5" s="1"/>
  <c r="R160" i="5"/>
  <c r="K159" i="5"/>
  <c r="M159" i="5" s="1"/>
  <c r="S159" i="5"/>
  <c r="G159" i="5" s="1"/>
  <c r="J159" i="5" s="1"/>
  <c r="T162" i="5"/>
  <c r="C163" i="5"/>
  <c r="F160" i="5"/>
  <c r="L158" i="5"/>
  <c r="N124" i="5" l="1"/>
  <c r="I125" i="5"/>
  <c r="Q125" i="5"/>
  <c r="O125" i="5" s="1"/>
  <c r="P125" i="5" s="1"/>
  <c r="O124" i="5"/>
  <c r="P124" i="5" s="1"/>
  <c r="H126" i="5"/>
  <c r="N125" i="5"/>
  <c r="Q126" i="5"/>
  <c r="L159" i="5"/>
  <c r="T163" i="5"/>
  <c r="C164" i="5"/>
  <c r="F161" i="5"/>
  <c r="R161" i="5"/>
  <c r="S160" i="5"/>
  <c r="V17" i="5" s="1"/>
  <c r="K160" i="5"/>
  <c r="M160" i="5" s="1"/>
  <c r="I126" i="5" l="1"/>
  <c r="N126" i="5"/>
  <c r="O126" i="5"/>
  <c r="P126" i="5" s="1"/>
  <c r="H127" i="5"/>
  <c r="Q127" i="5" s="1"/>
  <c r="G160" i="5"/>
  <c r="J160" i="5" s="1"/>
  <c r="L160" i="5"/>
  <c r="F162" i="5"/>
  <c r="R162" i="5"/>
  <c r="S161" i="5"/>
  <c r="G161" i="5" s="1"/>
  <c r="J161" i="5" s="1"/>
  <c r="K161" i="5"/>
  <c r="M161" i="5" s="1"/>
  <c r="T164" i="5"/>
  <c r="C165" i="5"/>
  <c r="I127" i="5" l="1"/>
  <c r="H128" i="5"/>
  <c r="I128" i="5" s="1"/>
  <c r="O127" i="5"/>
  <c r="P127" i="5" s="1"/>
  <c r="N127" i="5"/>
  <c r="R163" i="5"/>
  <c r="S162" i="5"/>
  <c r="G162" i="5" s="1"/>
  <c r="J162" i="5" s="1"/>
  <c r="K162" i="5"/>
  <c r="M162" i="5" s="1"/>
  <c r="L161" i="5"/>
  <c r="F163" i="5"/>
  <c r="C166" i="5"/>
  <c r="T165" i="5"/>
  <c r="Q128" i="5" l="1"/>
  <c r="H129" i="5" s="1"/>
  <c r="L162" i="5"/>
  <c r="T166" i="5"/>
  <c r="C167" i="5"/>
  <c r="F164" i="5"/>
  <c r="R164" i="5"/>
  <c r="K163" i="5"/>
  <c r="M163" i="5" s="1"/>
  <c r="S163" i="5"/>
  <c r="G163" i="5" s="1"/>
  <c r="J163" i="5" s="1"/>
  <c r="Q129" i="5" l="1"/>
  <c r="N129" i="5" s="1"/>
  <c r="I129" i="5"/>
  <c r="O128" i="5"/>
  <c r="P128" i="5" s="1"/>
  <c r="N128" i="5"/>
  <c r="C168" i="5"/>
  <c r="T167" i="5"/>
  <c r="S164" i="5"/>
  <c r="G164" i="5" s="1"/>
  <c r="J164" i="5" s="1"/>
  <c r="R165" i="5"/>
  <c r="K164" i="5"/>
  <c r="M164" i="5" s="1"/>
  <c r="L163" i="5"/>
  <c r="F165" i="5"/>
  <c r="H130" i="5" l="1"/>
  <c r="Q130" i="5" s="1"/>
  <c r="H131" i="5" s="1"/>
  <c r="Q131" i="5" s="1"/>
  <c r="O129" i="5"/>
  <c r="P129" i="5" s="1"/>
  <c r="L164" i="5"/>
  <c r="T168" i="5"/>
  <c r="C169" i="5"/>
  <c r="F166" i="5"/>
  <c r="S165" i="5"/>
  <c r="G165" i="5" s="1"/>
  <c r="J165" i="5" s="1"/>
  <c r="R166" i="5"/>
  <c r="K165" i="5"/>
  <c r="M165" i="5" s="1"/>
  <c r="I130" i="5" l="1"/>
  <c r="I131" i="5" s="1"/>
  <c r="O130" i="5"/>
  <c r="P130" i="5" s="1"/>
  <c r="N130" i="5"/>
  <c r="O131" i="5"/>
  <c r="P131" i="5" s="1"/>
  <c r="H132" i="5"/>
  <c r="Q132" i="5" s="1"/>
  <c r="N131" i="5"/>
  <c r="L165" i="5"/>
  <c r="F167" i="5"/>
  <c r="S166" i="5"/>
  <c r="G166" i="5" s="1"/>
  <c r="J166" i="5" s="1"/>
  <c r="R167" i="5"/>
  <c r="K166" i="5"/>
  <c r="M166" i="5" s="1"/>
  <c r="T169" i="5"/>
  <c r="C170" i="5"/>
  <c r="O132" i="5" l="1"/>
  <c r="P132" i="5" s="1"/>
  <c r="H133" i="5"/>
  <c r="Q133" i="5" s="1"/>
  <c r="N132" i="5"/>
  <c r="I132" i="5"/>
  <c r="L166" i="5"/>
  <c r="R168" i="5"/>
  <c r="S167" i="5"/>
  <c r="G167" i="5" s="1"/>
  <c r="J167" i="5" s="1"/>
  <c r="K167" i="5"/>
  <c r="M167" i="5" s="1"/>
  <c r="C171" i="5"/>
  <c r="T170" i="5"/>
  <c r="F168" i="5"/>
  <c r="O133" i="5" l="1"/>
  <c r="P133" i="5" s="1"/>
  <c r="H134" i="5"/>
  <c r="Q134" i="5" s="1"/>
  <c r="N133" i="5"/>
  <c r="I133" i="5"/>
  <c r="L167" i="5"/>
  <c r="R169" i="5"/>
  <c r="S168" i="5"/>
  <c r="G168" i="5" s="1"/>
  <c r="J168" i="5" s="1"/>
  <c r="K168" i="5"/>
  <c r="M168" i="5" s="1"/>
  <c r="C172" i="5"/>
  <c r="T171" i="5"/>
  <c r="F169" i="5"/>
  <c r="O134" i="5" l="1"/>
  <c r="P134" i="5" s="1"/>
  <c r="H135" i="5"/>
  <c r="Q135" i="5" s="1"/>
  <c r="N134" i="5"/>
  <c r="I134" i="5"/>
  <c r="T172" i="5"/>
  <c r="C173" i="5"/>
  <c r="R170" i="5"/>
  <c r="S169" i="5"/>
  <c r="G169" i="5" s="1"/>
  <c r="J169" i="5" s="1"/>
  <c r="K169" i="5"/>
  <c r="M169" i="5" s="1"/>
  <c r="L168" i="5"/>
  <c r="F170" i="5"/>
  <c r="I135" i="5" l="1"/>
  <c r="O135" i="5"/>
  <c r="P135" i="5" s="1"/>
  <c r="N135" i="5"/>
  <c r="H136" i="5"/>
  <c r="I136" i="5" s="1"/>
  <c r="L169" i="5"/>
  <c r="R171" i="5"/>
  <c r="S170" i="5"/>
  <c r="G170" i="5" s="1"/>
  <c r="J170" i="5" s="1"/>
  <c r="K170" i="5"/>
  <c r="M170" i="5" s="1"/>
  <c r="T173" i="5"/>
  <c r="C174" i="5"/>
  <c r="F171" i="5"/>
  <c r="Q136" i="5" l="1"/>
  <c r="N136" i="5" s="1"/>
  <c r="L170" i="5"/>
  <c r="C175" i="5"/>
  <c r="T174" i="5"/>
  <c r="F172" i="5"/>
  <c r="R172" i="5"/>
  <c r="K171" i="5"/>
  <c r="M171" i="5" s="1"/>
  <c r="S171" i="5"/>
  <c r="G171" i="5" s="1"/>
  <c r="J171" i="5" s="1"/>
  <c r="O136" i="5" l="1"/>
  <c r="P136" i="5" s="1"/>
  <c r="H137" i="5"/>
  <c r="Q137" i="5" s="1"/>
  <c r="N137" i="5" s="1"/>
  <c r="C176" i="5"/>
  <c r="T175" i="5"/>
  <c r="L171" i="5"/>
  <c r="F173" i="5"/>
  <c r="S172" i="5"/>
  <c r="V18" i="5" s="1"/>
  <c r="R173" i="5"/>
  <c r="K172" i="5"/>
  <c r="M172" i="5" s="1"/>
  <c r="O137" i="5" l="1"/>
  <c r="P137" i="5" s="1"/>
  <c r="H138" i="5"/>
  <c r="Q138" i="5" s="1"/>
  <c r="H139" i="5" s="1"/>
  <c r="Q139" i="5" s="1"/>
  <c r="I137" i="5"/>
  <c r="O138" i="5"/>
  <c r="P138" i="5" s="1"/>
  <c r="L172" i="5"/>
  <c r="T176" i="5"/>
  <c r="C177" i="5"/>
  <c r="G172" i="5"/>
  <c r="J172" i="5" s="1"/>
  <c r="F174" i="5"/>
  <c r="S173" i="5"/>
  <c r="G173" i="5" s="1"/>
  <c r="J173" i="5" s="1"/>
  <c r="R174" i="5"/>
  <c r="K173" i="5"/>
  <c r="M173" i="5" s="1"/>
  <c r="N138" i="5" l="1"/>
  <c r="I138" i="5"/>
  <c r="H140" i="5"/>
  <c r="Q140" i="5" s="1"/>
  <c r="N139" i="5"/>
  <c r="O139" i="5"/>
  <c r="P139" i="5" s="1"/>
  <c r="I139" i="5"/>
  <c r="S174" i="5"/>
  <c r="G174" i="5" s="1"/>
  <c r="J174" i="5" s="1"/>
  <c r="R175" i="5"/>
  <c r="K174" i="5"/>
  <c r="M174" i="5" s="1"/>
  <c r="T177" i="5"/>
  <c r="C178" i="5"/>
  <c r="F175" i="5"/>
  <c r="L173" i="5"/>
  <c r="O140" i="5" l="1"/>
  <c r="P140" i="5" s="1"/>
  <c r="H141" i="5"/>
  <c r="N140" i="5"/>
  <c r="Q141" i="5"/>
  <c r="I140" i="5"/>
  <c r="L174" i="5"/>
  <c r="F176" i="5"/>
  <c r="R176" i="5"/>
  <c r="K175" i="5"/>
  <c r="M175" i="5" s="1"/>
  <c r="S175" i="5"/>
  <c r="G175" i="5" s="1"/>
  <c r="J175" i="5" s="1"/>
  <c r="C179" i="5"/>
  <c r="T178" i="5"/>
  <c r="H142" i="5" l="1"/>
  <c r="Q142" i="5" s="1"/>
  <c r="O141" i="5"/>
  <c r="P141" i="5" s="1"/>
  <c r="N141" i="5"/>
  <c r="I141" i="5"/>
  <c r="F177" i="5"/>
  <c r="R177" i="5"/>
  <c r="S176" i="5"/>
  <c r="G176" i="5" s="1"/>
  <c r="J176" i="5" s="1"/>
  <c r="K176" i="5"/>
  <c r="M176" i="5" s="1"/>
  <c r="L175" i="5"/>
  <c r="C180" i="5"/>
  <c r="T179" i="5"/>
  <c r="H143" i="5" l="1"/>
  <c r="Q143" i="5" s="1"/>
  <c r="O142" i="5"/>
  <c r="P142" i="5" s="1"/>
  <c r="N142" i="5"/>
  <c r="I142" i="5"/>
  <c r="L176" i="5"/>
  <c r="R178" i="5"/>
  <c r="S177" i="5"/>
  <c r="G177" i="5" s="1"/>
  <c r="J177" i="5" s="1"/>
  <c r="K177" i="5"/>
  <c r="M177" i="5" s="1"/>
  <c r="F178" i="5"/>
  <c r="T180" i="5"/>
  <c r="C181" i="5"/>
  <c r="N143" i="5" l="1"/>
  <c r="H144" i="5"/>
  <c r="O143" i="5"/>
  <c r="P143" i="5" s="1"/>
  <c r="I143" i="5"/>
  <c r="T181" i="5"/>
  <c r="C182" i="5"/>
  <c r="L177" i="5"/>
  <c r="R179" i="5"/>
  <c r="S178" i="5"/>
  <c r="G178" i="5" s="1"/>
  <c r="J178" i="5" s="1"/>
  <c r="K178" i="5"/>
  <c r="M178" i="5" s="1"/>
  <c r="F179" i="5"/>
  <c r="I144" i="5" l="1"/>
  <c r="Q144" i="5"/>
  <c r="F180" i="5"/>
  <c r="L178" i="5"/>
  <c r="C183" i="5"/>
  <c r="T182" i="5"/>
  <c r="R180" i="5"/>
  <c r="K179" i="5"/>
  <c r="M179" i="5" s="1"/>
  <c r="S179" i="5"/>
  <c r="G179" i="5" s="1"/>
  <c r="J179" i="5" s="1"/>
  <c r="O144" i="5" l="1"/>
  <c r="P144" i="5" s="1"/>
  <c r="N144" i="5"/>
  <c r="H145" i="5"/>
  <c r="L179" i="5"/>
  <c r="F181" i="5"/>
  <c r="S180" i="5"/>
  <c r="G180" i="5" s="1"/>
  <c r="J180" i="5" s="1"/>
  <c r="R181" i="5"/>
  <c r="K180" i="5"/>
  <c r="M180" i="5" s="1"/>
  <c r="C184" i="5"/>
  <c r="T183" i="5"/>
  <c r="I145" i="5" l="1"/>
  <c r="Q145" i="5"/>
  <c r="L180" i="5"/>
  <c r="F182" i="5"/>
  <c r="C185" i="5"/>
  <c r="T184" i="5"/>
  <c r="S181" i="5"/>
  <c r="G181" i="5" s="1"/>
  <c r="J181" i="5" s="1"/>
  <c r="K181" i="5"/>
  <c r="M181" i="5" s="1"/>
  <c r="R182" i="5"/>
  <c r="N145" i="5" l="1"/>
  <c r="O145" i="5"/>
  <c r="P145" i="5" s="1"/>
  <c r="H146" i="5"/>
  <c r="I146" i="5" s="1"/>
  <c r="L181" i="5"/>
  <c r="S182" i="5"/>
  <c r="G182" i="5" s="1"/>
  <c r="J182" i="5" s="1"/>
  <c r="R183" i="5"/>
  <c r="K182" i="5"/>
  <c r="M182" i="5" s="1"/>
  <c r="T185" i="5"/>
  <c r="C186" i="5"/>
  <c r="F183" i="5"/>
  <c r="Q146" i="5" l="1"/>
  <c r="R184" i="5"/>
  <c r="S183" i="5"/>
  <c r="G183" i="5" s="1"/>
  <c r="J183" i="5" s="1"/>
  <c r="K183" i="5"/>
  <c r="M183" i="5" s="1"/>
  <c r="C187" i="5"/>
  <c r="T186" i="5"/>
  <c r="F184" i="5"/>
  <c r="L182" i="5"/>
  <c r="H147" i="5" l="1"/>
  <c r="I147" i="5" s="1"/>
  <c r="N146" i="5"/>
  <c r="O146" i="5"/>
  <c r="P146" i="5" s="1"/>
  <c r="L183" i="5"/>
  <c r="R185" i="5"/>
  <c r="S184" i="5"/>
  <c r="K184" i="5"/>
  <c r="M184" i="5" s="1"/>
  <c r="T187" i="5"/>
  <c r="C188" i="5"/>
  <c r="F185" i="5"/>
  <c r="Q147" i="5" l="1"/>
  <c r="V19" i="5"/>
  <c r="AD42" i="5"/>
  <c r="M22" i="3" s="1"/>
  <c r="R186" i="5"/>
  <c r="S185" i="5"/>
  <c r="G185" i="5" s="1"/>
  <c r="J185" i="5" s="1"/>
  <c r="K185" i="5"/>
  <c r="M185" i="5" s="1"/>
  <c r="L184" i="5"/>
  <c r="G184" i="5"/>
  <c r="C189" i="5"/>
  <c r="T188" i="5"/>
  <c r="F186" i="5"/>
  <c r="N147" i="5" l="1"/>
  <c r="H148" i="5"/>
  <c r="O147" i="5"/>
  <c r="P147" i="5" s="1"/>
  <c r="L185" i="5"/>
  <c r="R187" i="5"/>
  <c r="S186" i="5"/>
  <c r="G186" i="5" s="1"/>
  <c r="J186" i="5" s="1"/>
  <c r="K186" i="5"/>
  <c r="M186" i="5" s="1"/>
  <c r="F187" i="5"/>
  <c r="T189" i="5"/>
  <c r="C190" i="5"/>
  <c r="J184" i="5"/>
  <c r="AF42" i="5" s="1"/>
  <c r="O7" i="3" s="1"/>
  <c r="AE42" i="5"/>
  <c r="M7" i="3" s="1"/>
  <c r="Q148" i="5" l="1"/>
  <c r="I148" i="5"/>
  <c r="L186" i="5"/>
  <c r="F188" i="5"/>
  <c r="T190" i="5"/>
  <c r="C191" i="5"/>
  <c r="R188" i="5"/>
  <c r="K187" i="5"/>
  <c r="M187" i="5" s="1"/>
  <c r="S187" i="5"/>
  <c r="G187" i="5" s="1"/>
  <c r="J187" i="5" s="1"/>
  <c r="H149" i="5" l="1"/>
  <c r="I149" i="5" s="1"/>
  <c r="N148" i="5"/>
  <c r="O148" i="5"/>
  <c r="P148" i="5" s="1"/>
  <c r="L187" i="5"/>
  <c r="S188" i="5"/>
  <c r="G188" i="5" s="1"/>
  <c r="J188" i="5" s="1"/>
  <c r="R189" i="5"/>
  <c r="K188" i="5"/>
  <c r="M188" i="5" s="1"/>
  <c r="F189" i="5"/>
  <c r="T191" i="5"/>
  <c r="C192" i="5"/>
  <c r="Q149" i="5" l="1"/>
  <c r="H150" i="5" s="1"/>
  <c r="I150" i="5" s="1"/>
  <c r="L188" i="5"/>
  <c r="C193" i="5"/>
  <c r="T192" i="5"/>
  <c r="S189" i="5"/>
  <c r="G189" i="5" s="1"/>
  <c r="J189" i="5" s="1"/>
  <c r="K189" i="5"/>
  <c r="M189" i="5" s="1"/>
  <c r="R190" i="5"/>
  <c r="F190" i="5"/>
  <c r="Q150" i="5" l="1"/>
  <c r="H151" i="5" s="1"/>
  <c r="N149" i="5"/>
  <c r="O149" i="5"/>
  <c r="P149" i="5" s="1"/>
  <c r="F191" i="5"/>
  <c r="S190" i="5"/>
  <c r="G190" i="5" s="1"/>
  <c r="J190" i="5" s="1"/>
  <c r="R191" i="5"/>
  <c r="K190" i="5"/>
  <c r="M190" i="5" s="1"/>
  <c r="T193" i="5"/>
  <c r="C194" i="5"/>
  <c r="L189" i="5"/>
  <c r="O150" i="5" l="1"/>
  <c r="P150" i="5" s="1"/>
  <c r="N150" i="5"/>
  <c r="I151" i="5"/>
  <c r="Q151" i="5"/>
  <c r="O151" i="5"/>
  <c r="P151" i="5" s="1"/>
  <c r="H152" i="5"/>
  <c r="N151" i="5"/>
  <c r="L190" i="5"/>
  <c r="F192" i="5"/>
  <c r="T194" i="5"/>
  <c r="C195" i="5"/>
  <c r="R192" i="5"/>
  <c r="K191" i="5"/>
  <c r="M191" i="5" s="1"/>
  <c r="S191" i="5"/>
  <c r="G191" i="5" s="1"/>
  <c r="J191" i="5" s="1"/>
  <c r="I152" i="5" l="1"/>
  <c r="Q152" i="5"/>
  <c r="N152" i="5" s="1"/>
  <c r="R193" i="5"/>
  <c r="S192" i="5"/>
  <c r="G192" i="5" s="1"/>
  <c r="J192" i="5" s="1"/>
  <c r="K192" i="5"/>
  <c r="M192" i="5" s="1"/>
  <c r="F193" i="5"/>
  <c r="C196" i="5"/>
  <c r="T195" i="5"/>
  <c r="L191" i="5"/>
  <c r="O152" i="5" l="1"/>
  <c r="P152" i="5" s="1"/>
  <c r="H153" i="5"/>
  <c r="Q153" i="5" s="1"/>
  <c r="O153" i="5" s="1"/>
  <c r="P153" i="5" s="1"/>
  <c r="F194" i="5"/>
  <c r="R194" i="5"/>
  <c r="S193" i="5"/>
  <c r="G193" i="5" s="1"/>
  <c r="J193" i="5" s="1"/>
  <c r="K193" i="5"/>
  <c r="M193" i="5" s="1"/>
  <c r="L192" i="5"/>
  <c r="C197" i="5"/>
  <c r="T196" i="5"/>
  <c r="H154" i="5" l="1"/>
  <c r="N153" i="5"/>
  <c r="I153" i="5"/>
  <c r="L193" i="5"/>
  <c r="T197" i="5"/>
  <c r="C198" i="5"/>
  <c r="F195" i="5"/>
  <c r="R195" i="5"/>
  <c r="S194" i="5"/>
  <c r="G194" i="5" s="1"/>
  <c r="J194" i="5" s="1"/>
  <c r="K194" i="5"/>
  <c r="M194" i="5" s="1"/>
  <c r="I154" i="5" l="1"/>
  <c r="Q154" i="5"/>
  <c r="O154" i="5" s="1"/>
  <c r="P154" i="5" s="1"/>
  <c r="L194" i="5"/>
  <c r="T198" i="5"/>
  <c r="C199" i="5"/>
  <c r="F196" i="5"/>
  <c r="R196" i="5"/>
  <c r="K195" i="5"/>
  <c r="M195" i="5" s="1"/>
  <c r="S195" i="5"/>
  <c r="G195" i="5" s="1"/>
  <c r="J195" i="5" s="1"/>
  <c r="H155" i="5" l="1"/>
  <c r="I155" i="5" s="1"/>
  <c r="N154" i="5"/>
  <c r="S196" i="5"/>
  <c r="V20" i="5" s="1"/>
  <c r="R197" i="5"/>
  <c r="K196" i="5"/>
  <c r="M196" i="5" s="1"/>
  <c r="F197" i="5"/>
  <c r="L195" i="5"/>
  <c r="C200" i="5"/>
  <c r="T199" i="5"/>
  <c r="Q155" i="5" l="1"/>
  <c r="H156" i="5" s="1"/>
  <c r="I156" i="5" s="1"/>
  <c r="L196" i="5"/>
  <c r="G196" i="5"/>
  <c r="J196" i="5" s="1"/>
  <c r="C201" i="5"/>
  <c r="T200" i="5"/>
  <c r="F198" i="5"/>
  <c r="S197" i="5"/>
  <c r="G197" i="5" s="1"/>
  <c r="J197" i="5" s="1"/>
  <c r="R198" i="5"/>
  <c r="K197" i="5"/>
  <c r="M197" i="5" s="1"/>
  <c r="Q156" i="5" l="1"/>
  <c r="O156" i="5" s="1"/>
  <c r="P156" i="5" s="1"/>
  <c r="N155" i="5"/>
  <c r="O155" i="5"/>
  <c r="P155" i="5" s="1"/>
  <c r="L197" i="5"/>
  <c r="F199" i="5"/>
  <c r="S198" i="5"/>
  <c r="G198" i="5" s="1"/>
  <c r="J198" i="5" s="1"/>
  <c r="R199" i="5"/>
  <c r="K198" i="5"/>
  <c r="M198" i="5" s="1"/>
  <c r="T201" i="5"/>
  <c r="C202" i="5"/>
  <c r="N156" i="5" l="1"/>
  <c r="H157" i="5"/>
  <c r="I157" i="5" s="1"/>
  <c r="L198" i="5"/>
  <c r="F200" i="5"/>
  <c r="R200" i="5"/>
  <c r="S199" i="5"/>
  <c r="G199" i="5" s="1"/>
  <c r="J199" i="5" s="1"/>
  <c r="K199" i="5"/>
  <c r="M199" i="5" s="1"/>
  <c r="T202" i="5"/>
  <c r="C203" i="5"/>
  <c r="Q157" i="5" l="1"/>
  <c r="N157" i="5" s="1"/>
  <c r="F201" i="5"/>
  <c r="C204" i="5"/>
  <c r="T203" i="5"/>
  <c r="L199" i="5"/>
  <c r="R201" i="5"/>
  <c r="S200" i="5"/>
  <c r="G200" i="5" s="1"/>
  <c r="J200" i="5" s="1"/>
  <c r="K200" i="5"/>
  <c r="M200" i="5" s="1"/>
  <c r="O157" i="5" l="1"/>
  <c r="P157" i="5" s="1"/>
  <c r="H158" i="5"/>
  <c r="I158" i="5" s="1"/>
  <c r="L200" i="5"/>
  <c r="C205" i="5"/>
  <c r="T204" i="5"/>
  <c r="F202" i="5"/>
  <c r="R202" i="5"/>
  <c r="S201" i="5"/>
  <c r="G201" i="5" s="1"/>
  <c r="J201" i="5" s="1"/>
  <c r="K201" i="5"/>
  <c r="M201" i="5" s="1"/>
  <c r="Q158" i="5" l="1"/>
  <c r="L201" i="5"/>
  <c r="T205" i="5"/>
  <c r="C206" i="5"/>
  <c r="R203" i="5"/>
  <c r="S202" i="5"/>
  <c r="G202" i="5" s="1"/>
  <c r="J202" i="5" s="1"/>
  <c r="K202" i="5"/>
  <c r="M202" i="5" s="1"/>
  <c r="F203" i="5"/>
  <c r="H159" i="5" l="1"/>
  <c r="I159" i="5" s="1"/>
  <c r="N158" i="5"/>
  <c r="O158" i="5"/>
  <c r="P158" i="5" s="1"/>
  <c r="L202" i="5"/>
  <c r="T206" i="5"/>
  <c r="C207" i="5"/>
  <c r="R204" i="5"/>
  <c r="K203" i="5"/>
  <c r="M203" i="5" s="1"/>
  <c r="S203" i="5"/>
  <c r="G203" i="5" s="1"/>
  <c r="J203" i="5" s="1"/>
  <c r="F204" i="5"/>
  <c r="Q159" i="5" l="1"/>
  <c r="L203" i="5"/>
  <c r="S204" i="5"/>
  <c r="G204" i="5" s="1"/>
  <c r="J204" i="5" s="1"/>
  <c r="R205" i="5"/>
  <c r="K204" i="5"/>
  <c r="M204" i="5" s="1"/>
  <c r="C208" i="5"/>
  <c r="T207" i="5"/>
  <c r="F205" i="5"/>
  <c r="N159" i="5" l="1"/>
  <c r="H160" i="5"/>
  <c r="I160" i="5" s="1"/>
  <c r="O159" i="5"/>
  <c r="P159" i="5" s="1"/>
  <c r="F206" i="5"/>
  <c r="C209" i="5"/>
  <c r="T208" i="5"/>
  <c r="L204" i="5"/>
  <c r="S205" i="5"/>
  <c r="G205" i="5" s="1"/>
  <c r="J205" i="5" s="1"/>
  <c r="R206" i="5"/>
  <c r="K205" i="5"/>
  <c r="M205" i="5" s="1"/>
  <c r="Q160" i="5" l="1"/>
  <c r="F207" i="5"/>
  <c r="T209" i="5"/>
  <c r="C210" i="5"/>
  <c r="S206" i="5"/>
  <c r="G206" i="5" s="1"/>
  <c r="J206" i="5" s="1"/>
  <c r="R207" i="5"/>
  <c r="K206" i="5"/>
  <c r="M206" i="5" s="1"/>
  <c r="L205" i="5"/>
  <c r="O160" i="5" l="1"/>
  <c r="P160" i="5" s="1"/>
  <c r="N160" i="5"/>
  <c r="H161" i="5"/>
  <c r="I161" i="5" s="1"/>
  <c r="L206" i="5"/>
  <c r="F208" i="5"/>
  <c r="R208" i="5"/>
  <c r="K207" i="5"/>
  <c r="M207" i="5" s="1"/>
  <c r="S207" i="5"/>
  <c r="G207" i="5" s="1"/>
  <c r="J207" i="5" s="1"/>
  <c r="T210" i="5"/>
  <c r="C211" i="5"/>
  <c r="Q161" i="5" l="1"/>
  <c r="L207" i="5"/>
  <c r="R209" i="5"/>
  <c r="S208" i="5"/>
  <c r="V21" i="5" s="1"/>
  <c r="K208" i="5"/>
  <c r="M208" i="5" s="1"/>
  <c r="C212" i="5"/>
  <c r="T211" i="5"/>
  <c r="F209" i="5"/>
  <c r="H162" i="5" l="1"/>
  <c r="I162" i="5" s="1"/>
  <c r="O161" i="5"/>
  <c r="P161" i="5" s="1"/>
  <c r="N161" i="5"/>
  <c r="Q162" i="5"/>
  <c r="G208" i="5"/>
  <c r="J208" i="5" s="1"/>
  <c r="F210" i="5"/>
  <c r="C213" i="5"/>
  <c r="T212" i="5"/>
  <c r="R210" i="5"/>
  <c r="S209" i="5"/>
  <c r="G209" i="5" s="1"/>
  <c r="J209" i="5" s="1"/>
  <c r="K209" i="5"/>
  <c r="M209" i="5" s="1"/>
  <c r="L208" i="5"/>
  <c r="H163" i="5" l="1"/>
  <c r="I163" i="5" s="1"/>
  <c r="Q163" i="5"/>
  <c r="O162" i="5"/>
  <c r="P162" i="5" s="1"/>
  <c r="N162" i="5"/>
  <c r="T213" i="5"/>
  <c r="C214" i="5"/>
  <c r="L209" i="5"/>
  <c r="F211" i="5"/>
  <c r="R211" i="5"/>
  <c r="S210" i="5"/>
  <c r="G210" i="5" s="1"/>
  <c r="J210" i="5" s="1"/>
  <c r="K210" i="5"/>
  <c r="M210" i="5" s="1"/>
  <c r="N163" i="5" l="1"/>
  <c r="H164" i="5"/>
  <c r="I164" i="5" s="1"/>
  <c r="O163" i="5"/>
  <c r="P163" i="5" s="1"/>
  <c r="Q164" i="5"/>
  <c r="L210" i="5"/>
  <c r="F212" i="5"/>
  <c r="T214" i="5"/>
  <c r="C215" i="5"/>
  <c r="R212" i="5"/>
  <c r="K211" i="5"/>
  <c r="M211" i="5" s="1"/>
  <c r="S211" i="5"/>
  <c r="G211" i="5" s="1"/>
  <c r="J211" i="5" s="1"/>
  <c r="N164" i="5" l="1"/>
  <c r="H165" i="5"/>
  <c r="I165" i="5" s="1"/>
  <c r="O164" i="5"/>
  <c r="P164" i="5" s="1"/>
  <c r="L211" i="5"/>
  <c r="S212" i="5"/>
  <c r="G212" i="5" s="1"/>
  <c r="J212" i="5" s="1"/>
  <c r="R213" i="5"/>
  <c r="K212" i="5"/>
  <c r="M212" i="5" s="1"/>
  <c r="F213" i="5"/>
  <c r="T215" i="5"/>
  <c r="C216" i="5"/>
  <c r="Q165" i="5" l="1"/>
  <c r="S213" i="5"/>
  <c r="G213" i="5" s="1"/>
  <c r="J213" i="5" s="1"/>
  <c r="K213" i="5"/>
  <c r="M213" i="5" s="1"/>
  <c r="R214" i="5"/>
  <c r="L212" i="5"/>
  <c r="T216" i="5"/>
  <c r="C217" i="5"/>
  <c r="F214" i="5"/>
  <c r="N165" i="5" l="1"/>
  <c r="O165" i="5"/>
  <c r="P165" i="5" s="1"/>
  <c r="H166" i="5"/>
  <c r="I166" i="5" s="1"/>
  <c r="L213" i="5"/>
  <c r="T217" i="5"/>
  <c r="C218" i="5"/>
  <c r="S214" i="5"/>
  <c r="G214" i="5" s="1"/>
  <c r="J214" i="5" s="1"/>
  <c r="R215" i="5"/>
  <c r="K214" i="5"/>
  <c r="M214" i="5" s="1"/>
  <c r="F215" i="5"/>
  <c r="Q166" i="5" l="1"/>
  <c r="O166" i="5" s="1"/>
  <c r="P166" i="5" s="1"/>
  <c r="N166" i="5"/>
  <c r="H167" i="5"/>
  <c r="I167" i="5" s="1"/>
  <c r="F216" i="5"/>
  <c r="C219" i="5"/>
  <c r="T218" i="5"/>
  <c r="R216" i="5"/>
  <c r="S215" i="5"/>
  <c r="G215" i="5" s="1"/>
  <c r="J215" i="5" s="1"/>
  <c r="K215" i="5"/>
  <c r="M215" i="5" s="1"/>
  <c r="L214" i="5"/>
  <c r="Q167" i="5" l="1"/>
  <c r="O167" i="5"/>
  <c r="P167" i="5" s="1"/>
  <c r="N167" i="5"/>
  <c r="H168" i="5"/>
  <c r="I168" i="5" s="1"/>
  <c r="R217" i="5"/>
  <c r="S216" i="5"/>
  <c r="G216" i="5" s="1"/>
  <c r="J216" i="5" s="1"/>
  <c r="K216" i="5"/>
  <c r="M216" i="5" s="1"/>
  <c r="T219" i="5"/>
  <c r="C220" i="5"/>
  <c r="F217" i="5"/>
  <c r="L215" i="5"/>
  <c r="Q168" i="5" l="1"/>
  <c r="H169" i="5" s="1"/>
  <c r="I169" i="5" s="1"/>
  <c r="F218" i="5"/>
  <c r="R218" i="5"/>
  <c r="S217" i="5"/>
  <c r="G217" i="5" s="1"/>
  <c r="J217" i="5" s="1"/>
  <c r="K217" i="5"/>
  <c r="M217" i="5" s="1"/>
  <c r="T220" i="5"/>
  <c r="C221" i="5"/>
  <c r="L216" i="5"/>
  <c r="O168" i="5" l="1"/>
  <c r="P168" i="5" s="1"/>
  <c r="N168" i="5"/>
  <c r="Q169" i="5"/>
  <c r="L217" i="5"/>
  <c r="T221" i="5"/>
  <c r="C222" i="5"/>
  <c r="F219" i="5"/>
  <c r="R219" i="5"/>
  <c r="S218" i="5"/>
  <c r="G218" i="5" s="1"/>
  <c r="J218" i="5" s="1"/>
  <c r="K218" i="5"/>
  <c r="M218" i="5" s="1"/>
  <c r="H170" i="5" l="1"/>
  <c r="I170" i="5" s="1"/>
  <c r="O169" i="5"/>
  <c r="P169" i="5" s="1"/>
  <c r="N169" i="5"/>
  <c r="L218" i="5"/>
  <c r="F220" i="5"/>
  <c r="R220" i="5"/>
  <c r="K219" i="5"/>
  <c r="M219" i="5" s="1"/>
  <c r="S219" i="5"/>
  <c r="G219" i="5" s="1"/>
  <c r="J219" i="5" s="1"/>
  <c r="C223" i="5"/>
  <c r="T222" i="5"/>
  <c r="Q170" i="5" l="1"/>
  <c r="T223" i="5"/>
  <c r="C224" i="5"/>
  <c r="S220" i="5"/>
  <c r="V22" i="5" s="1"/>
  <c r="R221" i="5"/>
  <c r="K220" i="5"/>
  <c r="M220" i="5" s="1"/>
  <c r="L219" i="5"/>
  <c r="F221" i="5"/>
  <c r="O170" i="5" l="1"/>
  <c r="P170" i="5" s="1"/>
  <c r="N170" i="5"/>
  <c r="H171" i="5"/>
  <c r="L220" i="5"/>
  <c r="S221" i="5"/>
  <c r="G221" i="5" s="1"/>
  <c r="J221" i="5" s="1"/>
  <c r="K221" i="5"/>
  <c r="M221" i="5" s="1"/>
  <c r="R222" i="5"/>
  <c r="T224" i="5"/>
  <c r="C225" i="5"/>
  <c r="G220" i="5"/>
  <c r="J220" i="5" s="1"/>
  <c r="F222" i="5"/>
  <c r="Q171" i="5" l="1"/>
  <c r="I171" i="5"/>
  <c r="S222" i="5"/>
  <c r="G222" i="5" s="1"/>
  <c r="J222" i="5" s="1"/>
  <c r="R223" i="5"/>
  <c r="K222" i="5"/>
  <c r="M222" i="5" s="1"/>
  <c r="T225" i="5"/>
  <c r="C226" i="5"/>
  <c r="L221" i="5"/>
  <c r="F223" i="5"/>
  <c r="O171" i="5" l="1"/>
  <c r="P171" i="5" s="1"/>
  <c r="H172" i="5"/>
  <c r="I172" i="5" s="1"/>
  <c r="N171" i="5"/>
  <c r="L222" i="5"/>
  <c r="C227" i="5"/>
  <c r="T226" i="5"/>
  <c r="F224" i="5"/>
  <c r="R224" i="5"/>
  <c r="K223" i="5"/>
  <c r="M223" i="5" s="1"/>
  <c r="S223" i="5"/>
  <c r="G223" i="5" s="1"/>
  <c r="J223" i="5" s="1"/>
  <c r="Q172" i="5" l="1"/>
  <c r="R225" i="5"/>
  <c r="S224" i="5"/>
  <c r="G224" i="5" s="1"/>
  <c r="J224" i="5" s="1"/>
  <c r="K224" i="5"/>
  <c r="M224" i="5" s="1"/>
  <c r="T227" i="5"/>
  <c r="C228" i="5"/>
  <c r="F225" i="5"/>
  <c r="L223" i="5"/>
  <c r="H173" i="5" l="1"/>
  <c r="I173" i="5" s="1"/>
  <c r="N172" i="5"/>
  <c r="O172" i="5"/>
  <c r="P172" i="5" s="1"/>
  <c r="Q173" i="5"/>
  <c r="F226" i="5"/>
  <c r="T228" i="5"/>
  <c r="C229" i="5"/>
  <c r="R226" i="5"/>
  <c r="S225" i="5"/>
  <c r="G225" i="5" s="1"/>
  <c r="J225" i="5" s="1"/>
  <c r="K225" i="5"/>
  <c r="M225" i="5" s="1"/>
  <c r="L224" i="5"/>
  <c r="O173" i="5" l="1"/>
  <c r="P173" i="5" s="1"/>
  <c r="N173" i="5"/>
  <c r="H174" i="5"/>
  <c r="Q174" i="5" s="1"/>
  <c r="L225" i="5"/>
  <c r="F227" i="5"/>
  <c r="T229" i="5"/>
  <c r="C230" i="5"/>
  <c r="R227" i="5"/>
  <c r="S226" i="5"/>
  <c r="G226" i="5" s="1"/>
  <c r="J226" i="5" s="1"/>
  <c r="K226" i="5"/>
  <c r="M226" i="5" s="1"/>
  <c r="I174" i="5" l="1"/>
  <c r="H175" i="5"/>
  <c r="Q175" i="5" s="1"/>
  <c r="N174" i="5"/>
  <c r="O174" i="5"/>
  <c r="P174" i="5" s="1"/>
  <c r="F228" i="5"/>
  <c r="C231" i="5"/>
  <c r="T230" i="5"/>
  <c r="R228" i="5"/>
  <c r="K227" i="5"/>
  <c r="M227" i="5" s="1"/>
  <c r="S227" i="5"/>
  <c r="G227" i="5" s="1"/>
  <c r="J227" i="5" s="1"/>
  <c r="L226" i="5"/>
  <c r="O175" i="5" l="1"/>
  <c r="P175" i="5" s="1"/>
  <c r="N175" i="5"/>
  <c r="H176" i="5"/>
  <c r="Q176" i="5" s="1"/>
  <c r="I175" i="5"/>
  <c r="T231" i="5"/>
  <c r="C232" i="5"/>
  <c r="F229" i="5"/>
  <c r="S228" i="5"/>
  <c r="G228" i="5" s="1"/>
  <c r="J228" i="5" s="1"/>
  <c r="R229" i="5"/>
  <c r="K228" i="5"/>
  <c r="M228" i="5" s="1"/>
  <c r="L227" i="5"/>
  <c r="I176" i="5" l="1"/>
  <c r="O176" i="5"/>
  <c r="P176" i="5" s="1"/>
  <c r="N176" i="5"/>
  <c r="H177" i="5"/>
  <c r="T232" i="5"/>
  <c r="C233" i="5"/>
  <c r="S229" i="5"/>
  <c r="G229" i="5" s="1"/>
  <c r="J229" i="5" s="1"/>
  <c r="R230" i="5"/>
  <c r="K229" i="5"/>
  <c r="M229" i="5" s="1"/>
  <c r="L228" i="5"/>
  <c r="F230" i="5"/>
  <c r="I177" i="5" l="1"/>
  <c r="Q177" i="5"/>
  <c r="H178" i="5" s="1"/>
  <c r="N177" i="5"/>
  <c r="L229" i="5"/>
  <c r="T233" i="5"/>
  <c r="C234" i="5"/>
  <c r="F231" i="5"/>
  <c r="S230" i="5"/>
  <c r="G230" i="5" s="1"/>
  <c r="J230" i="5" s="1"/>
  <c r="R231" i="5"/>
  <c r="K230" i="5"/>
  <c r="M230" i="5" s="1"/>
  <c r="O177" i="5" l="1"/>
  <c r="P177" i="5" s="1"/>
  <c r="I178" i="5"/>
  <c r="Q178" i="5"/>
  <c r="O178" i="5" s="1"/>
  <c r="P178" i="5" s="1"/>
  <c r="H179" i="5"/>
  <c r="N178" i="5"/>
  <c r="C235" i="5"/>
  <c r="T234" i="5"/>
  <c r="L230" i="5"/>
  <c r="F232" i="5"/>
  <c r="R232" i="5"/>
  <c r="S231" i="5"/>
  <c r="G231" i="5" s="1"/>
  <c r="J231" i="5" s="1"/>
  <c r="K231" i="5"/>
  <c r="M231" i="5" s="1"/>
  <c r="I179" i="5" l="1"/>
  <c r="Q179" i="5"/>
  <c r="R233" i="5"/>
  <c r="S232" i="5"/>
  <c r="V23" i="5" s="1"/>
  <c r="K232" i="5"/>
  <c r="M232" i="5" s="1"/>
  <c r="T235" i="5"/>
  <c r="C236" i="5"/>
  <c r="F233" i="5"/>
  <c r="L231" i="5"/>
  <c r="O179" i="5" l="1"/>
  <c r="P179" i="5" s="1"/>
  <c r="H180" i="5"/>
  <c r="N179" i="5"/>
  <c r="Q180" i="5"/>
  <c r="I180" i="5"/>
  <c r="L232" i="5"/>
  <c r="G232" i="5"/>
  <c r="J232" i="5" s="1"/>
  <c r="R234" i="5"/>
  <c r="S233" i="5"/>
  <c r="G233" i="5" s="1"/>
  <c r="J233" i="5" s="1"/>
  <c r="K233" i="5"/>
  <c r="M233" i="5" s="1"/>
  <c r="T236" i="5"/>
  <c r="C237" i="5"/>
  <c r="F234" i="5"/>
  <c r="O180" i="5" l="1"/>
  <c r="P180" i="5" s="1"/>
  <c r="N180" i="5"/>
  <c r="H181" i="5"/>
  <c r="Q181" i="5" s="1"/>
  <c r="L233" i="5"/>
  <c r="R235" i="5"/>
  <c r="S234" i="5"/>
  <c r="G234" i="5" s="1"/>
  <c r="J234" i="5" s="1"/>
  <c r="K234" i="5"/>
  <c r="M234" i="5" s="1"/>
  <c r="F235" i="5"/>
  <c r="T237" i="5"/>
  <c r="C238" i="5"/>
  <c r="N181" i="5" l="1"/>
  <c r="O181" i="5"/>
  <c r="P181" i="5" s="1"/>
  <c r="H182" i="5"/>
  <c r="Q182" i="5" s="1"/>
  <c r="I181" i="5"/>
  <c r="I182" i="5" s="1"/>
  <c r="F236" i="5"/>
  <c r="L234" i="5"/>
  <c r="R236" i="5"/>
  <c r="K235" i="5"/>
  <c r="M235" i="5" s="1"/>
  <c r="S235" i="5"/>
  <c r="G235" i="5" s="1"/>
  <c r="J235" i="5" s="1"/>
  <c r="C239" i="5"/>
  <c r="T238" i="5"/>
  <c r="H183" i="5" l="1"/>
  <c r="O182" i="5"/>
  <c r="P182" i="5" s="1"/>
  <c r="N182" i="5"/>
  <c r="L235" i="5"/>
  <c r="S236" i="5"/>
  <c r="G236" i="5" s="1"/>
  <c r="J236" i="5" s="1"/>
  <c r="R237" i="5"/>
  <c r="K236" i="5"/>
  <c r="M236" i="5" s="1"/>
  <c r="F237" i="5"/>
  <c r="T239" i="5"/>
  <c r="C240" i="5"/>
  <c r="Q183" i="5" l="1"/>
  <c r="I183" i="5"/>
  <c r="S237" i="5"/>
  <c r="G237" i="5" s="1"/>
  <c r="J237" i="5" s="1"/>
  <c r="R238" i="5"/>
  <c r="K237" i="5"/>
  <c r="M237" i="5" s="1"/>
  <c r="T240" i="5"/>
  <c r="C241" i="5"/>
  <c r="F238" i="5"/>
  <c r="L236" i="5"/>
  <c r="H184" i="5" l="1"/>
  <c r="Q184" i="5" s="1"/>
  <c r="N183" i="5"/>
  <c r="O183" i="5"/>
  <c r="P183" i="5" s="1"/>
  <c r="L237" i="5"/>
  <c r="S238" i="5"/>
  <c r="G238" i="5" s="1"/>
  <c r="J238" i="5" s="1"/>
  <c r="R239" i="5"/>
  <c r="K238" i="5"/>
  <c r="M238" i="5" s="1"/>
  <c r="F239" i="5"/>
  <c r="C242" i="5"/>
  <c r="T241" i="5"/>
  <c r="N184" i="5" l="1"/>
  <c r="O184" i="5"/>
  <c r="P184" i="5" s="1"/>
  <c r="H185" i="5"/>
  <c r="I184" i="5"/>
  <c r="R240" i="5"/>
  <c r="K239" i="5"/>
  <c r="M239" i="5" s="1"/>
  <c r="S239" i="5"/>
  <c r="G239" i="5" s="1"/>
  <c r="J239" i="5" s="1"/>
  <c r="T242" i="5"/>
  <c r="C243" i="5"/>
  <c r="F240" i="5"/>
  <c r="L238" i="5"/>
  <c r="I185" i="5" l="1"/>
  <c r="Q185" i="5"/>
  <c r="L239" i="5"/>
  <c r="F241" i="5"/>
  <c r="R241" i="5"/>
  <c r="S240" i="5"/>
  <c r="G240" i="5" s="1"/>
  <c r="J240" i="5" s="1"/>
  <c r="K240" i="5"/>
  <c r="M240" i="5" s="1"/>
  <c r="C244" i="5"/>
  <c r="T243" i="5"/>
  <c r="H186" i="5" l="1"/>
  <c r="I186" i="5" s="1"/>
  <c r="O185" i="5"/>
  <c r="P185" i="5" s="1"/>
  <c r="N185" i="5"/>
  <c r="Q186" i="5"/>
  <c r="R242" i="5"/>
  <c r="S241" i="5"/>
  <c r="G241" i="5" s="1"/>
  <c r="J241" i="5" s="1"/>
  <c r="K241" i="5"/>
  <c r="M241" i="5" s="1"/>
  <c r="F242" i="5"/>
  <c r="L240" i="5"/>
  <c r="C245" i="5"/>
  <c r="T244" i="5"/>
  <c r="H187" i="5" l="1"/>
  <c r="I187" i="5" s="1"/>
  <c r="N186" i="5"/>
  <c r="Q187" i="5"/>
  <c r="O186" i="5"/>
  <c r="P186" i="5" s="1"/>
  <c r="L241" i="5"/>
  <c r="R243" i="5"/>
  <c r="S242" i="5"/>
  <c r="G242" i="5" s="1"/>
  <c r="J242" i="5" s="1"/>
  <c r="K242" i="5"/>
  <c r="M242" i="5" s="1"/>
  <c r="T245" i="5"/>
  <c r="C246" i="5"/>
  <c r="F243" i="5"/>
  <c r="N187" i="5" l="1"/>
  <c r="O187" i="5"/>
  <c r="P187" i="5" s="1"/>
  <c r="H188" i="5"/>
  <c r="L242" i="5"/>
  <c r="F244" i="5"/>
  <c r="T246" i="5"/>
  <c r="C247" i="5"/>
  <c r="R244" i="5"/>
  <c r="K243" i="5"/>
  <c r="M243" i="5" s="1"/>
  <c r="S243" i="5"/>
  <c r="G243" i="5" s="1"/>
  <c r="J243" i="5" s="1"/>
  <c r="I188" i="5" l="1"/>
  <c r="Q188" i="5"/>
  <c r="C248" i="5"/>
  <c r="T247" i="5"/>
  <c r="L243" i="5"/>
  <c r="R245" i="5"/>
  <c r="S244" i="5"/>
  <c r="K244" i="5"/>
  <c r="M244" i="5" s="1"/>
  <c r="F245" i="5"/>
  <c r="N188" i="5" l="1"/>
  <c r="H189" i="5"/>
  <c r="O188" i="5"/>
  <c r="P188" i="5" s="1"/>
  <c r="V24" i="5"/>
  <c r="AD43" i="5"/>
  <c r="M23" i="3" s="1"/>
  <c r="G244" i="5"/>
  <c r="S245" i="5"/>
  <c r="G245" i="5" s="1"/>
  <c r="J245" i="5" s="1"/>
  <c r="R246" i="5"/>
  <c r="K245" i="5"/>
  <c r="M245" i="5" s="1"/>
  <c r="L244" i="5"/>
  <c r="F246" i="5"/>
  <c r="C249" i="5"/>
  <c r="T248" i="5"/>
  <c r="I189" i="5" l="1"/>
  <c r="Q189" i="5"/>
  <c r="L245" i="5"/>
  <c r="F247" i="5"/>
  <c r="J244" i="5"/>
  <c r="AE43" i="5"/>
  <c r="M8" i="3" s="1"/>
  <c r="T249" i="5"/>
  <c r="C250" i="5"/>
  <c r="R247" i="5"/>
  <c r="S246" i="5"/>
  <c r="G246" i="5" s="1"/>
  <c r="J246" i="5" s="1"/>
  <c r="K246" i="5"/>
  <c r="M246" i="5" s="1"/>
  <c r="O189" i="5" l="1"/>
  <c r="P189" i="5" s="1"/>
  <c r="H190" i="5"/>
  <c r="N189" i="5"/>
  <c r="AF43" i="5"/>
  <c r="O8" i="3" s="1"/>
  <c r="F248" i="5"/>
  <c r="T250" i="5"/>
  <c r="C251" i="5"/>
  <c r="R248" i="5"/>
  <c r="S247" i="5"/>
  <c r="G247" i="5" s="1"/>
  <c r="J247" i="5" s="1"/>
  <c r="K247" i="5"/>
  <c r="M247" i="5" s="1"/>
  <c r="L246" i="5"/>
  <c r="I190" i="5" l="1"/>
  <c r="Q190" i="5"/>
  <c r="L247" i="5"/>
  <c r="R249" i="5"/>
  <c r="S248" i="5"/>
  <c r="G248" i="5" s="1"/>
  <c r="J248" i="5" s="1"/>
  <c r="K248" i="5"/>
  <c r="M248" i="5" s="1"/>
  <c r="F249" i="5"/>
  <c r="C252" i="5"/>
  <c r="T251" i="5"/>
  <c r="O190" i="5" l="1"/>
  <c r="P190" i="5" s="1"/>
  <c r="N190" i="5"/>
  <c r="H191" i="5"/>
  <c r="I191" i="5" s="1"/>
  <c r="L248" i="5"/>
  <c r="F250" i="5"/>
  <c r="C253" i="5"/>
  <c r="T252" i="5"/>
  <c r="S249" i="5"/>
  <c r="G249" i="5" s="1"/>
  <c r="J249" i="5" s="1"/>
  <c r="K249" i="5"/>
  <c r="M249" i="5" s="1"/>
  <c r="R250" i="5"/>
  <c r="Q191" i="5" l="1"/>
  <c r="L249" i="5"/>
  <c r="S250" i="5"/>
  <c r="G250" i="5" s="1"/>
  <c r="J250" i="5" s="1"/>
  <c r="R251" i="5"/>
  <c r="K250" i="5"/>
  <c r="M250" i="5" s="1"/>
  <c r="T253" i="5"/>
  <c r="C254" i="5"/>
  <c r="F251" i="5"/>
  <c r="O191" i="5" l="1"/>
  <c r="P191" i="5" s="1"/>
  <c r="N191" i="5"/>
  <c r="H192" i="5"/>
  <c r="L250" i="5"/>
  <c r="F252" i="5"/>
  <c r="T254" i="5"/>
  <c r="C255" i="5"/>
  <c r="R252" i="5"/>
  <c r="S251" i="5"/>
  <c r="G251" i="5" s="1"/>
  <c r="J251" i="5" s="1"/>
  <c r="K251" i="5"/>
  <c r="M251" i="5" s="1"/>
  <c r="I192" i="5" l="1"/>
  <c r="Q192" i="5"/>
  <c r="L251" i="5"/>
  <c r="F253" i="5"/>
  <c r="R253" i="5"/>
  <c r="S252" i="5"/>
  <c r="G252" i="5" s="1"/>
  <c r="J252" i="5" s="1"/>
  <c r="K252" i="5"/>
  <c r="M252" i="5" s="1"/>
  <c r="C256" i="5"/>
  <c r="T255" i="5"/>
  <c r="O192" i="5" l="1"/>
  <c r="P192" i="5" s="1"/>
  <c r="H193" i="5"/>
  <c r="I193" i="5" s="1"/>
  <c r="N192" i="5"/>
  <c r="Q193" i="5"/>
  <c r="N193" i="5" s="1"/>
  <c r="H194" i="5"/>
  <c r="I194" i="5" s="1"/>
  <c r="O193" i="5"/>
  <c r="P193" i="5" s="1"/>
  <c r="F254" i="5"/>
  <c r="C257" i="5"/>
  <c r="T256" i="5"/>
  <c r="L252" i="5"/>
  <c r="S253" i="5"/>
  <c r="G253" i="5" s="1"/>
  <c r="J253" i="5" s="1"/>
  <c r="R254" i="5"/>
  <c r="K253" i="5"/>
  <c r="M253" i="5" s="1"/>
  <c r="Q194" i="5" l="1"/>
  <c r="F255" i="5"/>
  <c r="R255" i="5"/>
  <c r="S254" i="5"/>
  <c r="G254" i="5" s="1"/>
  <c r="J254" i="5" s="1"/>
  <c r="K254" i="5"/>
  <c r="M254" i="5" s="1"/>
  <c r="L253" i="5"/>
  <c r="T257" i="5"/>
  <c r="C258" i="5"/>
  <c r="H195" i="5" l="1"/>
  <c r="I195" i="5" s="1"/>
  <c r="O194" i="5"/>
  <c r="P194" i="5" s="1"/>
  <c r="N194" i="5"/>
  <c r="L254" i="5"/>
  <c r="R256" i="5"/>
  <c r="S255" i="5"/>
  <c r="G255" i="5" s="1"/>
  <c r="J255" i="5" s="1"/>
  <c r="K255" i="5"/>
  <c r="M255" i="5" s="1"/>
  <c r="T258" i="5"/>
  <c r="C259" i="5"/>
  <c r="F256" i="5"/>
  <c r="Q195" i="5" l="1"/>
  <c r="N195" i="5" s="1"/>
  <c r="O195" i="5"/>
  <c r="P195" i="5" s="1"/>
  <c r="H196" i="5"/>
  <c r="I196" i="5" s="1"/>
  <c r="L255" i="5"/>
  <c r="R257" i="5"/>
  <c r="K256" i="5"/>
  <c r="M256" i="5" s="1"/>
  <c r="S256" i="5"/>
  <c r="V25" i="5" s="1"/>
  <c r="C260" i="5"/>
  <c r="T259" i="5"/>
  <c r="F257" i="5"/>
  <c r="Q196" i="5" l="1"/>
  <c r="G256" i="5"/>
  <c r="J256" i="5" s="1"/>
  <c r="S257" i="5"/>
  <c r="G257" i="5" s="1"/>
  <c r="J257" i="5" s="1"/>
  <c r="R258" i="5"/>
  <c r="K257" i="5"/>
  <c r="M257" i="5" s="1"/>
  <c r="F258" i="5"/>
  <c r="L256" i="5"/>
  <c r="C261" i="5"/>
  <c r="T260" i="5"/>
  <c r="N196" i="5" l="1"/>
  <c r="O196" i="5"/>
  <c r="P196" i="5" s="1"/>
  <c r="H197" i="5"/>
  <c r="I197" i="5" s="1"/>
  <c r="L257" i="5"/>
  <c r="T261" i="5"/>
  <c r="C262" i="5"/>
  <c r="F259" i="5"/>
  <c r="S258" i="5"/>
  <c r="G258" i="5" s="1"/>
  <c r="J258" i="5" s="1"/>
  <c r="R259" i="5"/>
  <c r="K258" i="5"/>
  <c r="M258" i="5" s="1"/>
  <c r="Q197" i="5" l="1"/>
  <c r="O197" i="5" s="1"/>
  <c r="P197" i="5" s="1"/>
  <c r="N197" i="5"/>
  <c r="H198" i="5"/>
  <c r="I198" i="5" s="1"/>
  <c r="L258" i="5"/>
  <c r="F260" i="5"/>
  <c r="R260" i="5"/>
  <c r="S259" i="5"/>
  <c r="G259" i="5" s="1"/>
  <c r="J259" i="5" s="1"/>
  <c r="K259" i="5"/>
  <c r="M259" i="5" s="1"/>
  <c r="T262" i="5"/>
  <c r="C263" i="5"/>
  <c r="Q198" i="5" l="1"/>
  <c r="N198" i="5"/>
  <c r="O198" i="5"/>
  <c r="P198" i="5" s="1"/>
  <c r="H199" i="5"/>
  <c r="I199" i="5" s="1"/>
  <c r="L259" i="5"/>
  <c r="F261" i="5"/>
  <c r="T263" i="5"/>
  <c r="C264" i="5"/>
  <c r="R261" i="5"/>
  <c r="K260" i="5"/>
  <c r="M260" i="5" s="1"/>
  <c r="S260" i="5"/>
  <c r="G260" i="5" s="1"/>
  <c r="J260" i="5" s="1"/>
  <c r="Q199" i="5" l="1"/>
  <c r="L260" i="5"/>
  <c r="T264" i="5"/>
  <c r="C265" i="5"/>
  <c r="S261" i="5"/>
  <c r="G261" i="5" s="1"/>
  <c r="J261" i="5" s="1"/>
  <c r="R262" i="5"/>
  <c r="K261" i="5"/>
  <c r="M261" i="5" s="1"/>
  <c r="F262" i="5"/>
  <c r="O199" i="5" l="1"/>
  <c r="P199" i="5" s="1"/>
  <c r="H200" i="5"/>
  <c r="I200" i="5" s="1"/>
  <c r="N199" i="5"/>
  <c r="Q200" i="5"/>
  <c r="L261" i="5"/>
  <c r="R263" i="5"/>
  <c r="S262" i="5"/>
  <c r="G262" i="5" s="1"/>
  <c r="J262" i="5" s="1"/>
  <c r="K262" i="5"/>
  <c r="M262" i="5" s="1"/>
  <c r="T265" i="5"/>
  <c r="C266" i="5"/>
  <c r="F263" i="5"/>
  <c r="N200" i="5" l="1"/>
  <c r="H201" i="5"/>
  <c r="I201" i="5" s="1"/>
  <c r="O200" i="5"/>
  <c r="P200" i="5" s="1"/>
  <c r="Q201" i="5"/>
  <c r="L262" i="5"/>
  <c r="F264" i="5"/>
  <c r="C267" i="5"/>
  <c r="T266" i="5"/>
  <c r="R264" i="5"/>
  <c r="S263" i="5"/>
  <c r="G263" i="5" s="1"/>
  <c r="J263" i="5" s="1"/>
  <c r="K263" i="5"/>
  <c r="M263" i="5" s="1"/>
  <c r="N201" i="5" l="1"/>
  <c r="O201" i="5"/>
  <c r="P201" i="5" s="1"/>
  <c r="H202" i="5"/>
  <c r="L263" i="5"/>
  <c r="R265" i="5"/>
  <c r="S264" i="5"/>
  <c r="G264" i="5" s="1"/>
  <c r="J264" i="5" s="1"/>
  <c r="K264" i="5"/>
  <c r="M264" i="5" s="1"/>
  <c r="T267" i="5"/>
  <c r="C268" i="5"/>
  <c r="F265" i="5"/>
  <c r="Q202" i="5" l="1"/>
  <c r="I202" i="5"/>
  <c r="F266" i="5"/>
  <c r="S265" i="5"/>
  <c r="G265" i="5" s="1"/>
  <c r="J265" i="5" s="1"/>
  <c r="R266" i="5"/>
  <c r="K265" i="5"/>
  <c r="M265" i="5" s="1"/>
  <c r="L264" i="5"/>
  <c r="T268" i="5"/>
  <c r="C269" i="5"/>
  <c r="N202" i="5" l="1"/>
  <c r="H203" i="5"/>
  <c r="O202" i="5"/>
  <c r="P202" i="5" s="1"/>
  <c r="T269" i="5"/>
  <c r="C270" i="5"/>
  <c r="F267" i="5"/>
  <c r="S266" i="5"/>
  <c r="G266" i="5" s="1"/>
  <c r="J266" i="5" s="1"/>
  <c r="R267" i="5"/>
  <c r="K266" i="5"/>
  <c r="M266" i="5" s="1"/>
  <c r="L265" i="5"/>
  <c r="Q203" i="5" l="1"/>
  <c r="I203" i="5"/>
  <c r="F268" i="5"/>
  <c r="R268" i="5"/>
  <c r="S267" i="5"/>
  <c r="G267" i="5" s="1"/>
  <c r="J267" i="5" s="1"/>
  <c r="K267" i="5"/>
  <c r="M267" i="5" s="1"/>
  <c r="L266" i="5"/>
  <c r="C271" i="5"/>
  <c r="T270" i="5"/>
  <c r="H204" i="5" l="1"/>
  <c r="Q204" i="5" s="1"/>
  <c r="O203" i="5"/>
  <c r="P203" i="5" s="1"/>
  <c r="N203" i="5"/>
  <c r="F269" i="5"/>
  <c r="T271" i="5"/>
  <c r="C272" i="5"/>
  <c r="L267" i="5"/>
  <c r="R269" i="5"/>
  <c r="S268" i="5"/>
  <c r="V26" i="5" s="1"/>
  <c r="K268" i="5"/>
  <c r="M268" i="5" s="1"/>
  <c r="I204" i="5" l="1"/>
  <c r="O204" i="5"/>
  <c r="P204" i="5" s="1"/>
  <c r="N204" i="5"/>
  <c r="H205" i="5"/>
  <c r="G268" i="5"/>
  <c r="J268" i="5" s="1"/>
  <c r="S269" i="5"/>
  <c r="G269" i="5" s="1"/>
  <c r="J269" i="5" s="1"/>
  <c r="R270" i="5"/>
  <c r="K269" i="5"/>
  <c r="M269" i="5" s="1"/>
  <c r="F270" i="5"/>
  <c r="L268" i="5"/>
  <c r="T272" i="5"/>
  <c r="C273" i="5"/>
  <c r="I205" i="5" l="1"/>
  <c r="Q205" i="5"/>
  <c r="O205" i="5" s="1"/>
  <c r="P205" i="5" s="1"/>
  <c r="L269" i="5"/>
  <c r="F271" i="5"/>
  <c r="R271" i="5"/>
  <c r="S270" i="5"/>
  <c r="G270" i="5" s="1"/>
  <c r="J270" i="5" s="1"/>
  <c r="K270" i="5"/>
  <c r="M270" i="5" s="1"/>
  <c r="T273" i="5"/>
  <c r="C274" i="5"/>
  <c r="H206" i="5" l="1"/>
  <c r="I206" i="5" s="1"/>
  <c r="N205" i="5"/>
  <c r="Q206" i="5"/>
  <c r="L270" i="5"/>
  <c r="F272" i="5"/>
  <c r="C275" i="5"/>
  <c r="T274" i="5"/>
  <c r="R272" i="5"/>
  <c r="S271" i="5"/>
  <c r="G271" i="5" s="1"/>
  <c r="J271" i="5" s="1"/>
  <c r="K271" i="5"/>
  <c r="M271" i="5" s="1"/>
  <c r="N206" i="5" l="1"/>
  <c r="O206" i="5"/>
  <c r="P206" i="5" s="1"/>
  <c r="H207" i="5"/>
  <c r="L271" i="5"/>
  <c r="T275" i="5"/>
  <c r="C276" i="5"/>
  <c r="R273" i="5"/>
  <c r="K272" i="5"/>
  <c r="M272" i="5" s="1"/>
  <c r="S272" i="5"/>
  <c r="G272" i="5" s="1"/>
  <c r="J272" i="5" s="1"/>
  <c r="F273" i="5"/>
  <c r="I207" i="5" l="1"/>
  <c r="Q207" i="5"/>
  <c r="T276" i="5"/>
  <c r="C277" i="5"/>
  <c r="F274" i="5"/>
  <c r="L272" i="5"/>
  <c r="S273" i="5"/>
  <c r="G273" i="5" s="1"/>
  <c r="J273" i="5" s="1"/>
  <c r="K273" i="5"/>
  <c r="M273" i="5" s="1"/>
  <c r="R274" i="5"/>
  <c r="H208" i="5" l="1"/>
  <c r="N207" i="5"/>
  <c r="O207" i="5"/>
  <c r="P207" i="5" s="1"/>
  <c r="L273" i="5"/>
  <c r="S274" i="5"/>
  <c r="G274" i="5" s="1"/>
  <c r="J274" i="5" s="1"/>
  <c r="K274" i="5"/>
  <c r="M274" i="5" s="1"/>
  <c r="R275" i="5"/>
  <c r="F275" i="5"/>
  <c r="T277" i="5"/>
  <c r="C278" i="5"/>
  <c r="I208" i="5" l="1"/>
  <c r="Q208" i="5"/>
  <c r="R276" i="5"/>
  <c r="S275" i="5"/>
  <c r="G275" i="5" s="1"/>
  <c r="J275" i="5" s="1"/>
  <c r="K275" i="5"/>
  <c r="M275" i="5" s="1"/>
  <c r="C279" i="5"/>
  <c r="T278" i="5"/>
  <c r="F276" i="5"/>
  <c r="L274" i="5"/>
  <c r="O208" i="5" l="1"/>
  <c r="P208" i="5" s="1"/>
  <c r="N208" i="5"/>
  <c r="H209" i="5"/>
  <c r="R277" i="5"/>
  <c r="K276" i="5"/>
  <c r="M276" i="5" s="1"/>
  <c r="S276" i="5"/>
  <c r="G276" i="5" s="1"/>
  <c r="J276" i="5" s="1"/>
  <c r="T279" i="5"/>
  <c r="C280" i="5"/>
  <c r="L275" i="5"/>
  <c r="F277" i="5"/>
  <c r="I209" i="5" l="1"/>
  <c r="Q209" i="5"/>
  <c r="T280" i="5"/>
  <c r="C281" i="5"/>
  <c r="S277" i="5"/>
  <c r="G277" i="5" s="1"/>
  <c r="J277" i="5" s="1"/>
  <c r="R278" i="5"/>
  <c r="K277" i="5"/>
  <c r="M277" i="5" s="1"/>
  <c r="F278" i="5"/>
  <c r="L276" i="5"/>
  <c r="O209" i="5" l="1"/>
  <c r="P209" i="5" s="1"/>
  <c r="H210" i="5"/>
  <c r="I210" i="5" s="1"/>
  <c r="N209" i="5"/>
  <c r="R279" i="5"/>
  <c r="S278" i="5"/>
  <c r="G278" i="5" s="1"/>
  <c r="J278" i="5" s="1"/>
  <c r="K278" i="5"/>
  <c r="M278" i="5" s="1"/>
  <c r="T281" i="5"/>
  <c r="C282" i="5"/>
  <c r="F279" i="5"/>
  <c r="L277" i="5"/>
  <c r="Q210" i="5" l="1"/>
  <c r="L278" i="5"/>
  <c r="R280" i="5"/>
  <c r="S279" i="5"/>
  <c r="G279" i="5" s="1"/>
  <c r="J279" i="5" s="1"/>
  <c r="K279" i="5"/>
  <c r="M279" i="5" s="1"/>
  <c r="F280" i="5"/>
  <c r="C283" i="5"/>
  <c r="T282" i="5"/>
  <c r="N210" i="5" l="1"/>
  <c r="O210" i="5"/>
  <c r="P210" i="5" s="1"/>
  <c r="H211" i="5"/>
  <c r="L279" i="5"/>
  <c r="T283" i="5"/>
  <c r="C284" i="5"/>
  <c r="F281" i="5"/>
  <c r="R281" i="5"/>
  <c r="S280" i="5"/>
  <c r="V27" i="5" s="1"/>
  <c r="K280" i="5"/>
  <c r="M280" i="5" s="1"/>
  <c r="Q211" i="5" l="1"/>
  <c r="I211" i="5"/>
  <c r="F282" i="5"/>
  <c r="S281" i="5"/>
  <c r="G281" i="5" s="1"/>
  <c r="J281" i="5" s="1"/>
  <c r="K281" i="5"/>
  <c r="M281" i="5" s="1"/>
  <c r="R282" i="5"/>
  <c r="L280" i="5"/>
  <c r="T284" i="5"/>
  <c r="C285" i="5"/>
  <c r="G280" i="5"/>
  <c r="J280" i="5" s="1"/>
  <c r="H212" i="5" l="1"/>
  <c r="Q212" i="5" s="1"/>
  <c r="O211" i="5"/>
  <c r="P211" i="5" s="1"/>
  <c r="N211" i="5"/>
  <c r="L281" i="5"/>
  <c r="F283" i="5"/>
  <c r="S282" i="5"/>
  <c r="G282" i="5" s="1"/>
  <c r="J282" i="5" s="1"/>
  <c r="R283" i="5"/>
  <c r="K282" i="5"/>
  <c r="M282" i="5" s="1"/>
  <c r="T285" i="5"/>
  <c r="C286" i="5"/>
  <c r="O212" i="5" l="1"/>
  <c r="P212" i="5" s="1"/>
  <c r="N212" i="5"/>
  <c r="H213" i="5"/>
  <c r="Q213" i="5" s="1"/>
  <c r="I212" i="5"/>
  <c r="I213" i="5" s="1"/>
  <c r="R284" i="5"/>
  <c r="S283" i="5"/>
  <c r="G283" i="5" s="1"/>
  <c r="J283" i="5" s="1"/>
  <c r="K283" i="5"/>
  <c r="M283" i="5" s="1"/>
  <c r="F284" i="5"/>
  <c r="L282" i="5"/>
  <c r="C287" i="5"/>
  <c r="T286" i="5"/>
  <c r="N213" i="5" l="1"/>
  <c r="H214" i="5"/>
  <c r="Q214" i="5" s="1"/>
  <c r="O213" i="5"/>
  <c r="P213" i="5" s="1"/>
  <c r="F285" i="5"/>
  <c r="T287" i="5"/>
  <c r="C288" i="5"/>
  <c r="L283" i="5"/>
  <c r="R285" i="5"/>
  <c r="S284" i="5"/>
  <c r="G284" i="5" s="1"/>
  <c r="J284" i="5" s="1"/>
  <c r="K284" i="5"/>
  <c r="M284" i="5" s="1"/>
  <c r="H215" i="5" l="1"/>
  <c r="Q215" i="5" s="1"/>
  <c r="N214" i="5"/>
  <c r="O214" i="5"/>
  <c r="P214" i="5" s="1"/>
  <c r="I214" i="5"/>
  <c r="F286" i="5"/>
  <c r="S285" i="5"/>
  <c r="G285" i="5" s="1"/>
  <c r="J285" i="5" s="1"/>
  <c r="R286" i="5"/>
  <c r="K285" i="5"/>
  <c r="M285" i="5" s="1"/>
  <c r="T288" i="5"/>
  <c r="C289" i="5"/>
  <c r="L284" i="5"/>
  <c r="I215" i="5" l="1"/>
  <c r="H216" i="5"/>
  <c r="Q216" i="5" s="1"/>
  <c r="N215" i="5"/>
  <c r="O215" i="5"/>
  <c r="P215" i="5" s="1"/>
  <c r="L285" i="5"/>
  <c r="C290" i="5"/>
  <c r="T289" i="5"/>
  <c r="F287" i="5"/>
  <c r="R287" i="5"/>
  <c r="S286" i="5"/>
  <c r="G286" i="5" s="1"/>
  <c r="J286" i="5" s="1"/>
  <c r="K286" i="5"/>
  <c r="M286" i="5" s="1"/>
  <c r="N216" i="5" l="1"/>
  <c r="H217" i="5"/>
  <c r="Q217" i="5" s="1"/>
  <c r="O216" i="5"/>
  <c r="P216" i="5" s="1"/>
  <c r="I216" i="5"/>
  <c r="F288" i="5"/>
  <c r="C291" i="5"/>
  <c r="T290" i="5"/>
  <c r="R288" i="5"/>
  <c r="S287" i="5"/>
  <c r="G287" i="5" s="1"/>
  <c r="J287" i="5" s="1"/>
  <c r="K287" i="5"/>
  <c r="M287" i="5" s="1"/>
  <c r="L286" i="5"/>
  <c r="O217" i="5" l="1"/>
  <c r="P217" i="5" s="1"/>
  <c r="H218" i="5"/>
  <c r="N217" i="5"/>
  <c r="Q218" i="5"/>
  <c r="I217" i="5"/>
  <c r="L287" i="5"/>
  <c r="R289" i="5"/>
  <c r="K288" i="5"/>
  <c r="M288" i="5" s="1"/>
  <c r="S288" i="5"/>
  <c r="G288" i="5" s="1"/>
  <c r="J288" i="5" s="1"/>
  <c r="T291" i="5"/>
  <c r="C292" i="5"/>
  <c r="F289" i="5"/>
  <c r="H219" i="5" l="1"/>
  <c r="N218" i="5"/>
  <c r="Q219" i="5"/>
  <c r="O218" i="5"/>
  <c r="P218" i="5" s="1"/>
  <c r="I218" i="5"/>
  <c r="I219" i="5" s="1"/>
  <c r="L288" i="5"/>
  <c r="S289" i="5"/>
  <c r="G289" i="5" s="1"/>
  <c r="J289" i="5" s="1"/>
  <c r="R290" i="5"/>
  <c r="K289" i="5"/>
  <c r="M289" i="5" s="1"/>
  <c r="T292" i="5"/>
  <c r="C293" i="5"/>
  <c r="F290" i="5"/>
  <c r="O219" i="5" l="1"/>
  <c r="P219" i="5" s="1"/>
  <c r="H220" i="5"/>
  <c r="I220" i="5" s="1"/>
  <c r="N219" i="5"/>
  <c r="S290" i="5"/>
  <c r="G290" i="5" s="1"/>
  <c r="J290" i="5" s="1"/>
  <c r="R291" i="5"/>
  <c r="K290" i="5"/>
  <c r="M290" i="5" s="1"/>
  <c r="C294" i="5"/>
  <c r="T293" i="5"/>
  <c r="F291" i="5"/>
  <c r="L289" i="5"/>
  <c r="Q220" i="5" l="1"/>
  <c r="N220" i="5"/>
  <c r="O220" i="5"/>
  <c r="P220" i="5" s="1"/>
  <c r="H221" i="5"/>
  <c r="I221" i="5" s="1"/>
  <c r="R292" i="5"/>
  <c r="S291" i="5"/>
  <c r="G291" i="5" s="1"/>
  <c r="J291" i="5" s="1"/>
  <c r="K291" i="5"/>
  <c r="M291" i="5" s="1"/>
  <c r="F292" i="5"/>
  <c r="L290" i="5"/>
  <c r="C295" i="5"/>
  <c r="T294" i="5"/>
  <c r="Q221" i="5" l="1"/>
  <c r="L291" i="5"/>
  <c r="T295" i="5"/>
  <c r="C296" i="5"/>
  <c r="R293" i="5"/>
  <c r="K292" i="5"/>
  <c r="M292" i="5" s="1"/>
  <c r="S292" i="5"/>
  <c r="V28" i="5" s="1"/>
  <c r="F293" i="5"/>
  <c r="O221" i="5" l="1"/>
  <c r="P221" i="5" s="1"/>
  <c r="N221" i="5"/>
  <c r="H222" i="5"/>
  <c r="I222" i="5" s="1"/>
  <c r="L292" i="5"/>
  <c r="G292" i="5"/>
  <c r="J292" i="5" s="1"/>
  <c r="S293" i="5"/>
  <c r="G293" i="5" s="1"/>
  <c r="J293" i="5" s="1"/>
  <c r="R294" i="5"/>
  <c r="K293" i="5"/>
  <c r="M293" i="5" s="1"/>
  <c r="T296" i="5"/>
  <c r="C297" i="5"/>
  <c r="F294" i="5"/>
  <c r="Q222" i="5" l="1"/>
  <c r="N222" i="5"/>
  <c r="H223" i="5"/>
  <c r="Q223" i="5" s="1"/>
  <c r="O222" i="5"/>
  <c r="P222" i="5" s="1"/>
  <c r="I223" i="5"/>
  <c r="F295" i="5"/>
  <c r="L293" i="5"/>
  <c r="C298" i="5"/>
  <c r="T297" i="5"/>
  <c r="R295" i="5"/>
  <c r="S294" i="5"/>
  <c r="G294" i="5" s="1"/>
  <c r="J294" i="5" s="1"/>
  <c r="K294" i="5"/>
  <c r="M294" i="5" s="1"/>
  <c r="N223" i="5" l="1"/>
  <c r="H224" i="5"/>
  <c r="Q224" i="5" s="1"/>
  <c r="O223" i="5"/>
  <c r="P223" i="5" s="1"/>
  <c r="C299" i="5"/>
  <c r="T298" i="5"/>
  <c r="F296" i="5"/>
  <c r="R296" i="5"/>
  <c r="S295" i="5"/>
  <c r="G295" i="5" s="1"/>
  <c r="J295" i="5" s="1"/>
  <c r="K295" i="5"/>
  <c r="M295" i="5" s="1"/>
  <c r="L294" i="5"/>
  <c r="O224" i="5" l="1"/>
  <c r="P224" i="5" s="1"/>
  <c r="N224" i="5"/>
  <c r="H225" i="5"/>
  <c r="Q225" i="5" s="1"/>
  <c r="I224" i="5"/>
  <c r="L295" i="5"/>
  <c r="F297" i="5"/>
  <c r="R297" i="5"/>
  <c r="S296" i="5"/>
  <c r="G296" i="5" s="1"/>
  <c r="J296" i="5" s="1"/>
  <c r="K296" i="5"/>
  <c r="M296" i="5" s="1"/>
  <c r="T299" i="5"/>
  <c r="C300" i="5"/>
  <c r="I225" i="5" l="1"/>
  <c r="H226" i="5"/>
  <c r="Q226" i="5" s="1"/>
  <c r="O225" i="5"/>
  <c r="P225" i="5" s="1"/>
  <c r="N225" i="5"/>
  <c r="S297" i="5"/>
  <c r="G297" i="5" s="1"/>
  <c r="J297" i="5" s="1"/>
  <c r="R298" i="5"/>
  <c r="K297" i="5"/>
  <c r="M297" i="5" s="1"/>
  <c r="L296" i="5"/>
  <c r="F298" i="5"/>
  <c r="T300" i="5"/>
  <c r="C301" i="5"/>
  <c r="H227" i="5" l="1"/>
  <c r="Q227" i="5" s="1"/>
  <c r="O226" i="5"/>
  <c r="P226" i="5" s="1"/>
  <c r="N226" i="5"/>
  <c r="I226" i="5"/>
  <c r="L297" i="5"/>
  <c r="C302" i="5"/>
  <c r="T301" i="5"/>
  <c r="F299" i="5"/>
  <c r="S298" i="5"/>
  <c r="G298" i="5" s="1"/>
  <c r="J298" i="5" s="1"/>
  <c r="R299" i="5"/>
  <c r="K298" i="5"/>
  <c r="M298" i="5" s="1"/>
  <c r="I227" i="5" l="1"/>
  <c r="O227" i="5"/>
  <c r="P227" i="5" s="1"/>
  <c r="H228" i="5"/>
  <c r="Q228" i="5" s="1"/>
  <c r="N227" i="5"/>
  <c r="F300" i="5"/>
  <c r="L298" i="5"/>
  <c r="R300" i="5"/>
  <c r="S299" i="5"/>
  <c r="G299" i="5" s="1"/>
  <c r="J299" i="5" s="1"/>
  <c r="K299" i="5"/>
  <c r="M299" i="5" s="1"/>
  <c r="C303" i="5"/>
  <c r="T302" i="5"/>
  <c r="N228" i="5" l="1"/>
  <c r="O228" i="5"/>
  <c r="P228" i="5" s="1"/>
  <c r="H229" i="5"/>
  <c r="Q229" i="5" s="1"/>
  <c r="I228" i="5"/>
  <c r="I229" i="5" s="1"/>
  <c r="L299" i="5"/>
  <c r="F301" i="5"/>
  <c r="T303" i="5"/>
  <c r="C304" i="5"/>
  <c r="R301" i="5"/>
  <c r="S300" i="5"/>
  <c r="G300" i="5" s="1"/>
  <c r="J300" i="5" s="1"/>
  <c r="K300" i="5"/>
  <c r="M300" i="5" s="1"/>
  <c r="H230" i="5" l="1"/>
  <c r="Q230" i="5" s="1"/>
  <c r="O229" i="5"/>
  <c r="P229" i="5" s="1"/>
  <c r="N229" i="5"/>
  <c r="L300" i="5"/>
  <c r="F302" i="5"/>
  <c r="S301" i="5"/>
  <c r="G301" i="5" s="1"/>
  <c r="J301" i="5" s="1"/>
  <c r="R302" i="5"/>
  <c r="K301" i="5"/>
  <c r="M301" i="5" s="1"/>
  <c r="T304" i="5"/>
  <c r="C305" i="5"/>
  <c r="O230" i="5" l="1"/>
  <c r="P230" i="5" s="1"/>
  <c r="N230" i="5"/>
  <c r="H231" i="5"/>
  <c r="Q231" i="5" s="1"/>
  <c r="I230" i="5"/>
  <c r="C306" i="5"/>
  <c r="T305" i="5"/>
  <c r="R303" i="5"/>
  <c r="S302" i="5"/>
  <c r="G302" i="5" s="1"/>
  <c r="J302" i="5" s="1"/>
  <c r="K302" i="5"/>
  <c r="M302" i="5" s="1"/>
  <c r="F303" i="5"/>
  <c r="L301" i="5"/>
  <c r="I231" i="5" l="1"/>
  <c r="H232" i="5"/>
  <c r="O231" i="5"/>
  <c r="P231" i="5" s="1"/>
  <c r="N231" i="5"/>
  <c r="Q232" i="5"/>
  <c r="I232" i="5"/>
  <c r="L302" i="5"/>
  <c r="C307" i="5"/>
  <c r="T306" i="5"/>
  <c r="R304" i="5"/>
  <c r="S303" i="5"/>
  <c r="G303" i="5" s="1"/>
  <c r="J303" i="5" s="1"/>
  <c r="K303" i="5"/>
  <c r="M303" i="5" s="1"/>
  <c r="F304" i="5"/>
  <c r="H233" i="5" l="1"/>
  <c r="I233" i="5" s="1"/>
  <c r="N232" i="5"/>
  <c r="O232" i="5"/>
  <c r="P232" i="5" s="1"/>
  <c r="Q233" i="5"/>
  <c r="L303" i="5"/>
  <c r="R305" i="5"/>
  <c r="K304" i="5"/>
  <c r="M304" i="5" s="1"/>
  <c r="S304" i="5"/>
  <c r="G304" i="5" s="1"/>
  <c r="T307" i="5"/>
  <c r="C308" i="5"/>
  <c r="F305" i="5"/>
  <c r="N233" i="5" l="1"/>
  <c r="O233" i="5"/>
  <c r="P233" i="5" s="1"/>
  <c r="H234" i="5"/>
  <c r="AE44" i="5"/>
  <c r="M9" i="3" s="1"/>
  <c r="J304" i="5"/>
  <c r="AF44" i="5" s="1"/>
  <c r="O9" i="3" s="1"/>
  <c r="F306" i="5"/>
  <c r="V29" i="5"/>
  <c r="AD44" i="5"/>
  <c r="M24" i="3" s="1"/>
  <c r="T308" i="5"/>
  <c r="C309" i="5"/>
  <c r="S305" i="5"/>
  <c r="G305" i="5" s="1"/>
  <c r="J305" i="5" s="1"/>
  <c r="K305" i="5"/>
  <c r="M305" i="5" s="1"/>
  <c r="R306" i="5"/>
  <c r="L304" i="5"/>
  <c r="I234" i="5" l="1"/>
  <c r="Q234" i="5"/>
  <c r="L305" i="5"/>
  <c r="F307" i="5"/>
  <c r="S306" i="5"/>
  <c r="G306" i="5" s="1"/>
  <c r="J306" i="5" s="1"/>
  <c r="R307" i="5"/>
  <c r="K306" i="5"/>
  <c r="M306" i="5" s="1"/>
  <c r="C310" i="5"/>
  <c r="T309" i="5"/>
  <c r="O234" i="5" l="1"/>
  <c r="P234" i="5" s="1"/>
  <c r="H235" i="5"/>
  <c r="I235" i="5" s="1"/>
  <c r="N234" i="5"/>
  <c r="L306" i="5"/>
  <c r="F308" i="5"/>
  <c r="C311" i="5"/>
  <c r="T310" i="5"/>
  <c r="R308" i="5"/>
  <c r="S307" i="5"/>
  <c r="G307" i="5" s="1"/>
  <c r="J307" i="5" s="1"/>
  <c r="K307" i="5"/>
  <c r="M307" i="5" s="1"/>
  <c r="Q235" i="5" l="1"/>
  <c r="N235" i="5"/>
  <c r="H236" i="5"/>
  <c r="O235" i="5"/>
  <c r="P235" i="5" s="1"/>
  <c r="F309" i="5"/>
  <c r="R309" i="5"/>
  <c r="K308" i="5"/>
  <c r="M308" i="5" s="1"/>
  <c r="S308" i="5"/>
  <c r="G308" i="5" s="1"/>
  <c r="J308" i="5" s="1"/>
  <c r="L307" i="5"/>
  <c r="C312" i="5"/>
  <c r="T311" i="5"/>
  <c r="I236" i="5" l="1"/>
  <c r="Q236" i="5"/>
  <c r="S309" i="5"/>
  <c r="G309" i="5" s="1"/>
  <c r="J309" i="5" s="1"/>
  <c r="R310" i="5"/>
  <c r="K309" i="5"/>
  <c r="M309" i="5" s="1"/>
  <c r="C313" i="5"/>
  <c r="T312" i="5"/>
  <c r="F310" i="5"/>
  <c r="L308" i="5"/>
  <c r="O236" i="5" l="1"/>
  <c r="P236" i="5" s="1"/>
  <c r="H237" i="5"/>
  <c r="N236" i="5"/>
  <c r="L309" i="5"/>
  <c r="F311" i="5"/>
  <c r="R311" i="5"/>
  <c r="S310" i="5"/>
  <c r="G310" i="5" s="1"/>
  <c r="J310" i="5" s="1"/>
  <c r="K310" i="5"/>
  <c r="M310" i="5" s="1"/>
  <c r="T313" i="5"/>
  <c r="C314" i="5"/>
  <c r="I237" i="5" l="1"/>
  <c r="Q237" i="5"/>
  <c r="F312" i="5"/>
  <c r="L310" i="5"/>
  <c r="R312" i="5"/>
  <c r="S311" i="5"/>
  <c r="G311" i="5" s="1"/>
  <c r="J311" i="5" s="1"/>
  <c r="K311" i="5"/>
  <c r="M311" i="5" s="1"/>
  <c r="T314" i="5"/>
  <c r="C315" i="5"/>
  <c r="N237" i="5" l="1"/>
  <c r="H238" i="5"/>
  <c r="O237" i="5"/>
  <c r="P237" i="5" s="1"/>
  <c r="L311" i="5"/>
  <c r="F313" i="5"/>
  <c r="R313" i="5"/>
  <c r="S312" i="5"/>
  <c r="G312" i="5" s="1"/>
  <c r="J312" i="5" s="1"/>
  <c r="K312" i="5"/>
  <c r="M312" i="5" s="1"/>
  <c r="T315" i="5"/>
  <c r="C316" i="5"/>
  <c r="Q238" i="5" l="1"/>
  <c r="I238" i="5"/>
  <c r="C317" i="5"/>
  <c r="T316" i="5"/>
  <c r="F314" i="5"/>
  <c r="S313" i="5"/>
  <c r="G313" i="5" s="1"/>
  <c r="J313" i="5" s="1"/>
  <c r="K313" i="5"/>
  <c r="M313" i="5" s="1"/>
  <c r="R314" i="5"/>
  <c r="L312" i="5"/>
  <c r="N238" i="5" l="1"/>
  <c r="H239" i="5"/>
  <c r="O238" i="5"/>
  <c r="P238" i="5" s="1"/>
  <c r="S314" i="5"/>
  <c r="G314" i="5" s="1"/>
  <c r="J314" i="5" s="1"/>
  <c r="R315" i="5"/>
  <c r="K314" i="5"/>
  <c r="M314" i="5" s="1"/>
  <c r="F315" i="5"/>
  <c r="T317" i="5"/>
  <c r="C318" i="5"/>
  <c r="L313" i="5"/>
  <c r="Q239" i="5" l="1"/>
  <c r="I239" i="5"/>
  <c r="L314" i="5"/>
  <c r="F316" i="5"/>
  <c r="T318" i="5"/>
  <c r="C319" i="5"/>
  <c r="R316" i="5"/>
  <c r="S315" i="5"/>
  <c r="G315" i="5" s="1"/>
  <c r="J315" i="5" s="1"/>
  <c r="K315" i="5"/>
  <c r="M315" i="5" s="1"/>
  <c r="H240" i="5" l="1"/>
  <c r="Q240" i="5" s="1"/>
  <c r="N239" i="5"/>
  <c r="O239" i="5"/>
  <c r="P239" i="5" s="1"/>
  <c r="L315" i="5"/>
  <c r="F317" i="5"/>
  <c r="R317" i="5"/>
  <c r="S316" i="5"/>
  <c r="V30" i="5" s="1"/>
  <c r="K316" i="5"/>
  <c r="M316" i="5" s="1"/>
  <c r="T319" i="5"/>
  <c r="C320" i="5"/>
  <c r="N240" i="5" l="1"/>
  <c r="H241" i="5"/>
  <c r="Q241" i="5" s="1"/>
  <c r="O240" i="5"/>
  <c r="P240" i="5" s="1"/>
  <c r="I240" i="5"/>
  <c r="I241" i="5" s="1"/>
  <c r="G316" i="5"/>
  <c r="J316" i="5" s="1"/>
  <c r="L316" i="5"/>
  <c r="S317" i="5"/>
  <c r="G317" i="5" s="1"/>
  <c r="J317" i="5" s="1"/>
  <c r="R318" i="5"/>
  <c r="K317" i="5"/>
  <c r="M317" i="5" s="1"/>
  <c r="F318" i="5"/>
  <c r="C321" i="5"/>
  <c r="T320" i="5"/>
  <c r="O241" i="5" l="1"/>
  <c r="P241" i="5" s="1"/>
  <c r="N241" i="5"/>
  <c r="H242" i="5"/>
  <c r="Q242" i="5" s="1"/>
  <c r="L317" i="5"/>
  <c r="R319" i="5"/>
  <c r="S318" i="5"/>
  <c r="G318" i="5" s="1"/>
  <c r="J318" i="5" s="1"/>
  <c r="K318" i="5"/>
  <c r="M318" i="5" s="1"/>
  <c r="T321" i="5"/>
  <c r="C322" i="5"/>
  <c r="F319" i="5"/>
  <c r="N242" i="5" l="1"/>
  <c r="O242" i="5"/>
  <c r="P242" i="5" s="1"/>
  <c r="H243" i="5"/>
  <c r="Q243" i="5" s="1"/>
  <c r="I242" i="5"/>
  <c r="L318" i="5"/>
  <c r="R320" i="5"/>
  <c r="S319" i="5"/>
  <c r="G319" i="5" s="1"/>
  <c r="J319" i="5" s="1"/>
  <c r="K319" i="5"/>
  <c r="M319" i="5" s="1"/>
  <c r="F320" i="5"/>
  <c r="T322" i="5"/>
  <c r="C323" i="5"/>
  <c r="H244" i="5" l="1"/>
  <c r="Q244" i="5" s="1"/>
  <c r="N243" i="5"/>
  <c r="O243" i="5"/>
  <c r="P243" i="5" s="1"/>
  <c r="I243" i="5"/>
  <c r="I244" i="5" s="1"/>
  <c r="L319" i="5"/>
  <c r="F321" i="5"/>
  <c r="R321" i="5"/>
  <c r="K320" i="5"/>
  <c r="M320" i="5" s="1"/>
  <c r="S320" i="5"/>
  <c r="G320" i="5" s="1"/>
  <c r="J320" i="5" s="1"/>
  <c r="T323" i="5"/>
  <c r="C324" i="5"/>
  <c r="O244" i="5" l="1"/>
  <c r="P244" i="5" s="1"/>
  <c r="N244" i="5"/>
  <c r="H245" i="5"/>
  <c r="Q245" i="5" s="1"/>
  <c r="S321" i="5"/>
  <c r="G321" i="5" s="1"/>
  <c r="J321" i="5" s="1"/>
  <c r="R322" i="5"/>
  <c r="K321" i="5"/>
  <c r="M321" i="5" s="1"/>
  <c r="F322" i="5"/>
  <c r="L320" i="5"/>
  <c r="C325" i="5"/>
  <c r="T324" i="5"/>
  <c r="O245" i="5" l="1"/>
  <c r="P245" i="5" s="1"/>
  <c r="N245" i="5"/>
  <c r="H246" i="5"/>
  <c r="Q246" i="5" s="1"/>
  <c r="I245" i="5"/>
  <c r="L321" i="5"/>
  <c r="S322" i="5"/>
  <c r="G322" i="5" s="1"/>
  <c r="J322" i="5" s="1"/>
  <c r="R323" i="5"/>
  <c r="K322" i="5"/>
  <c r="M322" i="5" s="1"/>
  <c r="T325" i="5"/>
  <c r="C326" i="5"/>
  <c r="F323" i="5"/>
  <c r="I246" i="5" l="1"/>
  <c r="H247" i="5"/>
  <c r="Q247" i="5" s="1"/>
  <c r="O246" i="5"/>
  <c r="P246" i="5" s="1"/>
  <c r="N246" i="5"/>
  <c r="T326" i="5"/>
  <c r="C327" i="5"/>
  <c r="F324" i="5"/>
  <c r="R324" i="5"/>
  <c r="S323" i="5"/>
  <c r="G323" i="5" s="1"/>
  <c r="J323" i="5" s="1"/>
  <c r="K323" i="5"/>
  <c r="M323" i="5" s="1"/>
  <c r="L322" i="5"/>
  <c r="N247" i="5" l="1"/>
  <c r="H248" i="5"/>
  <c r="Q248" i="5" s="1"/>
  <c r="O247" i="5"/>
  <c r="P247" i="5" s="1"/>
  <c r="I247" i="5"/>
  <c r="I248" i="5" s="1"/>
  <c r="L323" i="5"/>
  <c r="R325" i="5"/>
  <c r="K324" i="5"/>
  <c r="M324" i="5" s="1"/>
  <c r="S324" i="5"/>
  <c r="G324" i="5" s="1"/>
  <c r="J324" i="5" s="1"/>
  <c r="F325" i="5"/>
  <c r="T327" i="5"/>
  <c r="C328" i="5"/>
  <c r="N248" i="5" l="1"/>
  <c r="O248" i="5"/>
  <c r="P248" i="5" s="1"/>
  <c r="H249" i="5"/>
  <c r="Q249" i="5" s="1"/>
  <c r="L324" i="5"/>
  <c r="F326" i="5"/>
  <c r="S325" i="5"/>
  <c r="G325" i="5" s="1"/>
  <c r="J325" i="5" s="1"/>
  <c r="R326" i="5"/>
  <c r="K325" i="5"/>
  <c r="M325" i="5" s="1"/>
  <c r="C329" i="5"/>
  <c r="T328" i="5"/>
  <c r="O249" i="5" l="1"/>
  <c r="P249" i="5" s="1"/>
  <c r="N249" i="5"/>
  <c r="H250" i="5"/>
  <c r="Q250" i="5" s="1"/>
  <c r="I249" i="5"/>
  <c r="F327" i="5"/>
  <c r="T329" i="5"/>
  <c r="C330" i="5"/>
  <c r="L325" i="5"/>
  <c r="R327" i="5"/>
  <c r="S326" i="5"/>
  <c r="G326" i="5" s="1"/>
  <c r="J326" i="5" s="1"/>
  <c r="K326" i="5"/>
  <c r="M326" i="5" s="1"/>
  <c r="I250" i="5" l="1"/>
  <c r="O250" i="5"/>
  <c r="P250" i="5" s="1"/>
  <c r="N250" i="5"/>
  <c r="H251" i="5"/>
  <c r="I251" i="5" s="1"/>
  <c r="T330" i="5"/>
  <c r="C331" i="5"/>
  <c r="R328" i="5"/>
  <c r="S327" i="5"/>
  <c r="G327" i="5" s="1"/>
  <c r="J327" i="5" s="1"/>
  <c r="K327" i="5"/>
  <c r="M327" i="5" s="1"/>
  <c r="L326" i="5"/>
  <c r="F328" i="5"/>
  <c r="Q251" i="5" l="1"/>
  <c r="O251" i="5"/>
  <c r="P251" i="5" s="1"/>
  <c r="H252" i="5"/>
  <c r="N251" i="5"/>
  <c r="L327" i="5"/>
  <c r="R329" i="5"/>
  <c r="S328" i="5"/>
  <c r="V31" i="5" s="1"/>
  <c r="K328" i="5"/>
  <c r="M328" i="5" s="1"/>
  <c r="T331" i="5"/>
  <c r="C332" i="5"/>
  <c r="F329" i="5"/>
  <c r="I252" i="5" l="1"/>
  <c r="Q252" i="5"/>
  <c r="F330" i="5"/>
  <c r="C333" i="5"/>
  <c r="T332" i="5"/>
  <c r="S329" i="5"/>
  <c r="G329" i="5" s="1"/>
  <c r="J329" i="5" s="1"/>
  <c r="R330" i="5"/>
  <c r="K329" i="5"/>
  <c r="M329" i="5" s="1"/>
  <c r="L328" i="5"/>
  <c r="G328" i="5"/>
  <c r="J328" i="5" s="1"/>
  <c r="H253" i="5" l="1"/>
  <c r="I253" i="5" s="1"/>
  <c r="N252" i="5"/>
  <c r="O252" i="5"/>
  <c r="P252" i="5" s="1"/>
  <c r="L329" i="5"/>
  <c r="F331" i="5"/>
  <c r="S330" i="5"/>
  <c r="G330" i="5" s="1"/>
  <c r="J330" i="5" s="1"/>
  <c r="R331" i="5"/>
  <c r="K330" i="5"/>
  <c r="M330" i="5" s="1"/>
  <c r="T333" i="5"/>
  <c r="C334" i="5"/>
  <c r="Q253" i="5" l="1"/>
  <c r="N253" i="5" s="1"/>
  <c r="T334" i="5"/>
  <c r="C335" i="5"/>
  <c r="F332" i="5"/>
  <c r="R332" i="5"/>
  <c r="S331" i="5"/>
  <c r="G331" i="5" s="1"/>
  <c r="J331" i="5" s="1"/>
  <c r="K331" i="5"/>
  <c r="M331" i="5" s="1"/>
  <c r="L330" i="5"/>
  <c r="O253" i="5" l="1"/>
  <c r="P253" i="5" s="1"/>
  <c r="H254" i="5"/>
  <c r="I254" i="5" s="1"/>
  <c r="L331" i="5"/>
  <c r="F333" i="5"/>
  <c r="T335" i="5"/>
  <c r="C336" i="5"/>
  <c r="R333" i="5"/>
  <c r="S332" i="5"/>
  <c r="G332" i="5" s="1"/>
  <c r="J332" i="5" s="1"/>
  <c r="K332" i="5"/>
  <c r="M332" i="5" s="1"/>
  <c r="Q254" i="5" l="1"/>
  <c r="O254" i="5"/>
  <c r="P254" i="5" s="1"/>
  <c r="H255" i="5"/>
  <c r="N254" i="5"/>
  <c r="R334" i="5"/>
  <c r="S333" i="5"/>
  <c r="G333" i="5" s="1"/>
  <c r="J333" i="5" s="1"/>
  <c r="K333" i="5"/>
  <c r="M333" i="5" s="1"/>
  <c r="C337" i="5"/>
  <c r="T336" i="5"/>
  <c r="L332" i="5"/>
  <c r="F334" i="5"/>
  <c r="I255" i="5" l="1"/>
  <c r="Q255" i="5"/>
  <c r="L333" i="5"/>
  <c r="F335" i="5"/>
  <c r="T337" i="5"/>
  <c r="C338" i="5"/>
  <c r="R335" i="5"/>
  <c r="S334" i="5"/>
  <c r="G334" i="5" s="1"/>
  <c r="J334" i="5" s="1"/>
  <c r="K334" i="5"/>
  <c r="M334" i="5" s="1"/>
  <c r="N255" i="5" l="1"/>
  <c r="O255" i="5"/>
  <c r="P255" i="5" s="1"/>
  <c r="H256" i="5"/>
  <c r="T338" i="5"/>
  <c r="C339" i="5"/>
  <c r="R336" i="5"/>
  <c r="S335" i="5"/>
  <c r="G335" i="5" s="1"/>
  <c r="J335" i="5" s="1"/>
  <c r="K335" i="5"/>
  <c r="M335" i="5" s="1"/>
  <c r="L334" i="5"/>
  <c r="F336" i="5"/>
  <c r="I256" i="5" l="1"/>
  <c r="Q256" i="5"/>
  <c r="L335" i="5"/>
  <c r="R337" i="5"/>
  <c r="K336" i="5"/>
  <c r="M336" i="5" s="1"/>
  <c r="S336" i="5"/>
  <c r="G336" i="5" s="1"/>
  <c r="J336" i="5" s="1"/>
  <c r="C340" i="5"/>
  <c r="T339" i="5"/>
  <c r="F337" i="5"/>
  <c r="H257" i="5" l="1"/>
  <c r="O256" i="5"/>
  <c r="P256" i="5" s="1"/>
  <c r="N256" i="5"/>
  <c r="L336" i="5"/>
  <c r="F338" i="5"/>
  <c r="C341" i="5"/>
  <c r="T340" i="5"/>
  <c r="K337" i="5"/>
  <c r="M337" i="5" s="1"/>
  <c r="R338" i="5"/>
  <c r="S337" i="5"/>
  <c r="G337" i="5" s="1"/>
  <c r="J337" i="5" s="1"/>
  <c r="I257" i="5" l="1"/>
  <c r="Q257" i="5"/>
  <c r="T341" i="5"/>
  <c r="C342" i="5"/>
  <c r="F339" i="5"/>
  <c r="L337" i="5"/>
  <c r="S338" i="5"/>
  <c r="G338" i="5" s="1"/>
  <c r="J338" i="5" s="1"/>
  <c r="R339" i="5"/>
  <c r="K338" i="5"/>
  <c r="M338" i="5" s="1"/>
  <c r="N257" i="5" l="1"/>
  <c r="H258" i="5"/>
  <c r="I258" i="5" s="1"/>
  <c r="O257" i="5"/>
  <c r="P257" i="5" s="1"/>
  <c r="L338" i="5"/>
  <c r="R340" i="5"/>
  <c r="S339" i="5"/>
  <c r="G339" i="5" s="1"/>
  <c r="J339" i="5" s="1"/>
  <c r="K339" i="5"/>
  <c r="M339" i="5" s="1"/>
  <c r="F340" i="5"/>
  <c r="T342" i="5"/>
  <c r="C343" i="5"/>
  <c r="Q258" i="5" l="1"/>
  <c r="L339" i="5"/>
  <c r="R341" i="5"/>
  <c r="S340" i="5"/>
  <c r="V32" i="5" s="1"/>
  <c r="K340" i="5"/>
  <c r="M340" i="5" s="1"/>
  <c r="F341" i="5"/>
  <c r="C344" i="5"/>
  <c r="T343" i="5"/>
  <c r="O258" i="5" l="1"/>
  <c r="P258" i="5" s="1"/>
  <c r="H259" i="5"/>
  <c r="N258" i="5"/>
  <c r="G340" i="5"/>
  <c r="J340" i="5" s="1"/>
  <c r="L340" i="5"/>
  <c r="R342" i="5"/>
  <c r="S341" i="5"/>
  <c r="G341" i="5" s="1"/>
  <c r="J341" i="5" s="1"/>
  <c r="K341" i="5"/>
  <c r="M341" i="5" s="1"/>
  <c r="C345" i="5"/>
  <c r="T344" i="5"/>
  <c r="F342" i="5"/>
  <c r="Q259" i="5" l="1"/>
  <c r="I259" i="5"/>
  <c r="L341" i="5"/>
  <c r="T345" i="5"/>
  <c r="C346" i="5"/>
  <c r="F343" i="5"/>
  <c r="R343" i="5"/>
  <c r="S342" i="5"/>
  <c r="G342" i="5" s="1"/>
  <c r="J342" i="5" s="1"/>
  <c r="K342" i="5"/>
  <c r="M342" i="5" s="1"/>
  <c r="H260" i="5" l="1"/>
  <c r="Q260" i="5" s="1"/>
  <c r="N259" i="5"/>
  <c r="O259" i="5"/>
  <c r="P259" i="5" s="1"/>
  <c r="L342" i="5"/>
  <c r="T346" i="5"/>
  <c r="C347" i="5"/>
  <c r="F344" i="5"/>
  <c r="R344" i="5"/>
  <c r="S343" i="5"/>
  <c r="G343" i="5" s="1"/>
  <c r="J343" i="5" s="1"/>
  <c r="K343" i="5"/>
  <c r="M343" i="5" s="1"/>
  <c r="H261" i="5" l="1"/>
  <c r="Q261" i="5" s="1"/>
  <c r="O260" i="5"/>
  <c r="P260" i="5" s="1"/>
  <c r="N260" i="5"/>
  <c r="I260" i="5"/>
  <c r="I261" i="5" s="1"/>
  <c r="R345" i="5"/>
  <c r="K344" i="5"/>
  <c r="M344" i="5" s="1"/>
  <c r="S344" i="5"/>
  <c r="G344" i="5" s="1"/>
  <c r="J344" i="5" s="1"/>
  <c r="L343" i="5"/>
  <c r="F345" i="5"/>
  <c r="C348" i="5"/>
  <c r="T347" i="5"/>
  <c r="O261" i="5" l="1"/>
  <c r="P261" i="5" s="1"/>
  <c r="H262" i="5"/>
  <c r="Q262" i="5" s="1"/>
  <c r="N261" i="5"/>
  <c r="S345" i="5"/>
  <c r="G345" i="5" s="1"/>
  <c r="J345" i="5" s="1"/>
  <c r="K345" i="5"/>
  <c r="M345" i="5" s="1"/>
  <c r="R346" i="5"/>
  <c r="F346" i="5"/>
  <c r="C349" i="5"/>
  <c r="T348" i="5"/>
  <c r="L344" i="5"/>
  <c r="H263" i="5" l="1"/>
  <c r="N262" i="5"/>
  <c r="O262" i="5"/>
  <c r="P262" i="5" s="1"/>
  <c r="I262" i="5"/>
  <c r="L345" i="5"/>
  <c r="F347" i="5"/>
  <c r="T349" i="5"/>
  <c r="C350" i="5"/>
  <c r="S346" i="5"/>
  <c r="G346" i="5" s="1"/>
  <c r="J346" i="5" s="1"/>
  <c r="R347" i="5"/>
  <c r="K346" i="5"/>
  <c r="M346" i="5" s="1"/>
  <c r="I263" i="5" l="1"/>
  <c r="Q263" i="5"/>
  <c r="L346" i="5"/>
  <c r="F348" i="5"/>
  <c r="R348" i="5"/>
  <c r="S347" i="5"/>
  <c r="G347" i="5" s="1"/>
  <c r="J347" i="5" s="1"/>
  <c r="K347" i="5"/>
  <c r="M347" i="5" s="1"/>
  <c r="T350" i="5"/>
  <c r="C351" i="5"/>
  <c r="H264" i="5" l="1"/>
  <c r="O263" i="5"/>
  <c r="P263" i="5" s="1"/>
  <c r="N263" i="5"/>
  <c r="Q264" i="5"/>
  <c r="I264" i="5"/>
  <c r="F349" i="5"/>
  <c r="R349" i="5"/>
  <c r="K348" i="5"/>
  <c r="M348" i="5" s="1"/>
  <c r="S348" i="5"/>
  <c r="G348" i="5" s="1"/>
  <c r="J348" i="5" s="1"/>
  <c r="C352" i="5"/>
  <c r="T351" i="5"/>
  <c r="L347" i="5"/>
  <c r="N264" i="5" l="1"/>
  <c r="H265" i="5"/>
  <c r="I265" i="5" s="1"/>
  <c r="O264" i="5"/>
  <c r="P264" i="5" s="1"/>
  <c r="Q265" i="5"/>
  <c r="R350" i="5"/>
  <c r="K349" i="5"/>
  <c r="M349" i="5" s="1"/>
  <c r="S349" i="5"/>
  <c r="G349" i="5" s="1"/>
  <c r="J349" i="5" s="1"/>
  <c r="F350" i="5"/>
  <c r="C353" i="5"/>
  <c r="T352" i="5"/>
  <c r="L348" i="5"/>
  <c r="O265" i="5" l="1"/>
  <c r="P265" i="5" s="1"/>
  <c r="N265" i="5"/>
  <c r="H266" i="5"/>
  <c r="Q266" i="5" s="1"/>
  <c r="L349" i="5"/>
  <c r="R351" i="5"/>
  <c r="S350" i="5"/>
  <c r="G350" i="5" s="1"/>
  <c r="J350" i="5" s="1"/>
  <c r="K350" i="5"/>
  <c r="M350" i="5" s="1"/>
  <c r="F351" i="5"/>
  <c r="T353" i="5"/>
  <c r="C354" i="5"/>
  <c r="H267" i="5" l="1"/>
  <c r="Q267" i="5" s="1"/>
  <c r="O266" i="5"/>
  <c r="P266" i="5" s="1"/>
  <c r="N266" i="5"/>
  <c r="I266" i="5"/>
  <c r="I267" i="5" s="1"/>
  <c r="L350" i="5"/>
  <c r="R352" i="5"/>
  <c r="S351" i="5"/>
  <c r="G351" i="5" s="1"/>
  <c r="J351" i="5" s="1"/>
  <c r="K351" i="5"/>
  <c r="M351" i="5" s="1"/>
  <c r="T354" i="5"/>
  <c r="C355" i="5"/>
  <c r="F352" i="5"/>
  <c r="N267" i="5" l="1"/>
  <c r="O267" i="5"/>
  <c r="P267" i="5" s="1"/>
  <c r="H268" i="5"/>
  <c r="I268" i="5" s="1"/>
  <c r="L351" i="5"/>
  <c r="R353" i="5"/>
  <c r="S352" i="5"/>
  <c r="V33" i="5" s="1"/>
  <c r="K352" i="5"/>
  <c r="M352" i="5" s="1"/>
  <c r="F353" i="5"/>
  <c r="C356" i="5"/>
  <c r="T355" i="5"/>
  <c r="Q268" i="5" l="1"/>
  <c r="L352" i="5"/>
  <c r="R354" i="5"/>
  <c r="S353" i="5"/>
  <c r="G353" i="5" s="1"/>
  <c r="J353" i="5" s="1"/>
  <c r="K353" i="5"/>
  <c r="M353" i="5" s="1"/>
  <c r="C357" i="5"/>
  <c r="T356" i="5"/>
  <c r="G352" i="5"/>
  <c r="J352" i="5" s="1"/>
  <c r="F354" i="5"/>
  <c r="N268" i="5" l="1"/>
  <c r="H269" i="5"/>
  <c r="O268" i="5"/>
  <c r="P268" i="5" s="1"/>
  <c r="T357" i="5"/>
  <c r="C358" i="5"/>
  <c r="S354" i="5"/>
  <c r="G354" i="5" s="1"/>
  <c r="J354" i="5" s="1"/>
  <c r="R355" i="5"/>
  <c r="K354" i="5"/>
  <c r="M354" i="5" s="1"/>
  <c r="L353" i="5"/>
  <c r="F355" i="5"/>
  <c r="Q269" i="5" l="1"/>
  <c r="I269" i="5"/>
  <c r="L354" i="5"/>
  <c r="T358" i="5"/>
  <c r="C359" i="5"/>
  <c r="R356" i="5"/>
  <c r="S355" i="5"/>
  <c r="G355" i="5" s="1"/>
  <c r="J355" i="5" s="1"/>
  <c r="K355" i="5"/>
  <c r="M355" i="5" s="1"/>
  <c r="F356" i="5"/>
  <c r="O269" i="5" l="1"/>
  <c r="P269" i="5" s="1"/>
  <c r="H270" i="5"/>
  <c r="I270" i="5" s="1"/>
  <c r="N269" i="5"/>
  <c r="Q270" i="5"/>
  <c r="L355" i="5"/>
  <c r="T359" i="5"/>
  <c r="C360" i="5"/>
  <c r="R357" i="5"/>
  <c r="K356" i="5"/>
  <c r="M356" i="5" s="1"/>
  <c r="S356" i="5"/>
  <c r="G356" i="5" s="1"/>
  <c r="J356" i="5" s="1"/>
  <c r="F357" i="5"/>
  <c r="O270" i="5" l="1"/>
  <c r="P270" i="5" s="1"/>
  <c r="N270" i="5"/>
  <c r="H271" i="5"/>
  <c r="I271" i="5" s="1"/>
  <c r="Q271" i="5"/>
  <c r="L356" i="5"/>
  <c r="R358" i="5"/>
  <c r="K357" i="5"/>
  <c r="M357" i="5" s="1"/>
  <c r="S357" i="5"/>
  <c r="G357" i="5" s="1"/>
  <c r="J357" i="5" s="1"/>
  <c r="T360" i="5"/>
  <c r="C361" i="5"/>
  <c r="F358" i="5"/>
  <c r="O271" i="5" l="1"/>
  <c r="P271" i="5" s="1"/>
  <c r="H272" i="5"/>
  <c r="I272" i="5" s="1"/>
  <c r="N271" i="5"/>
  <c r="Q272" i="5"/>
  <c r="L357" i="5"/>
  <c r="T361" i="5"/>
  <c r="C362" i="5"/>
  <c r="F359" i="5"/>
  <c r="R359" i="5"/>
  <c r="S358" i="5"/>
  <c r="G358" i="5" s="1"/>
  <c r="J358" i="5" s="1"/>
  <c r="K358" i="5"/>
  <c r="M358" i="5" s="1"/>
  <c r="O272" i="5" l="1"/>
  <c r="P272" i="5" s="1"/>
  <c r="H273" i="5"/>
  <c r="I273" i="5" s="1"/>
  <c r="N272" i="5"/>
  <c r="Q273" i="5"/>
  <c r="L358" i="5"/>
  <c r="C363" i="5"/>
  <c r="T362" i="5"/>
  <c r="F360" i="5"/>
  <c r="R360" i="5"/>
  <c r="S359" i="5"/>
  <c r="G359" i="5" s="1"/>
  <c r="J359" i="5" s="1"/>
  <c r="K359" i="5"/>
  <c r="M359" i="5" s="1"/>
  <c r="N273" i="5" l="1"/>
  <c r="H274" i="5"/>
  <c r="I274" i="5" s="1"/>
  <c r="O273" i="5"/>
  <c r="P273" i="5" s="1"/>
  <c r="R361" i="5"/>
  <c r="K360" i="5"/>
  <c r="M360" i="5" s="1"/>
  <c r="S360" i="5"/>
  <c r="G360" i="5" s="1"/>
  <c r="J360" i="5" s="1"/>
  <c r="F361" i="5"/>
  <c r="L359" i="5"/>
  <c r="T363" i="5"/>
  <c r="C364" i="5"/>
  <c r="Q274" i="5" l="1"/>
  <c r="L360" i="5"/>
  <c r="T364" i="5"/>
  <c r="C365" i="5"/>
  <c r="S361" i="5"/>
  <c r="G361" i="5" s="1"/>
  <c r="J361" i="5" s="1"/>
  <c r="R362" i="5"/>
  <c r="K361" i="5"/>
  <c r="M361" i="5" s="1"/>
  <c r="F362" i="5"/>
  <c r="O274" i="5" l="1"/>
  <c r="P274" i="5" s="1"/>
  <c r="H275" i="5"/>
  <c r="I275" i="5" s="1"/>
  <c r="N274" i="5"/>
  <c r="Q275" i="5"/>
  <c r="F363" i="5"/>
  <c r="S362" i="5"/>
  <c r="G362" i="5" s="1"/>
  <c r="J362" i="5" s="1"/>
  <c r="R363" i="5"/>
  <c r="K362" i="5"/>
  <c r="M362" i="5" s="1"/>
  <c r="T365" i="5"/>
  <c r="C366" i="5"/>
  <c r="L361" i="5"/>
  <c r="O275" i="5" l="1"/>
  <c r="P275" i="5" s="1"/>
  <c r="N275" i="5"/>
  <c r="H276" i="5"/>
  <c r="L362" i="5"/>
  <c r="R364" i="5"/>
  <c r="S363" i="5"/>
  <c r="G363" i="5" s="1"/>
  <c r="J363" i="5" s="1"/>
  <c r="K363" i="5"/>
  <c r="M363" i="5" s="1"/>
  <c r="F364" i="5"/>
  <c r="C367" i="5"/>
  <c r="T366" i="5"/>
  <c r="I276" i="5" l="1"/>
  <c r="Q276" i="5"/>
  <c r="L363" i="5"/>
  <c r="T367" i="5"/>
  <c r="C368" i="5"/>
  <c r="F365" i="5"/>
  <c r="R365" i="5"/>
  <c r="S364" i="5"/>
  <c r="K364" i="5"/>
  <c r="M364" i="5" s="1"/>
  <c r="O276" i="5" l="1"/>
  <c r="P276" i="5" s="1"/>
  <c r="N276" i="5"/>
  <c r="H277" i="5"/>
  <c r="V34" i="5"/>
  <c r="AD45" i="5"/>
  <c r="M25" i="3" s="1"/>
  <c r="G364" i="5"/>
  <c r="F366" i="5"/>
  <c r="L364" i="5"/>
  <c r="R366" i="5"/>
  <c r="S365" i="5"/>
  <c r="G365" i="5" s="1"/>
  <c r="J365" i="5" s="1"/>
  <c r="K365" i="5"/>
  <c r="M365" i="5" s="1"/>
  <c r="T368" i="5"/>
  <c r="C369" i="5"/>
  <c r="Q277" i="5" l="1"/>
  <c r="I277" i="5"/>
  <c r="L365" i="5"/>
  <c r="T369" i="5"/>
  <c r="C370" i="5"/>
  <c r="F367" i="5"/>
  <c r="J364" i="5"/>
  <c r="AF45" i="5" s="1"/>
  <c r="O10" i="3" s="1"/>
  <c r="AE45" i="5"/>
  <c r="M10" i="3" s="1"/>
  <c r="R367" i="5"/>
  <c r="S366" i="5"/>
  <c r="G366" i="5" s="1"/>
  <c r="J366" i="5" s="1"/>
  <c r="K366" i="5"/>
  <c r="M366" i="5" s="1"/>
  <c r="H278" i="5" l="1"/>
  <c r="O277" i="5"/>
  <c r="P277" i="5" s="1"/>
  <c r="N277" i="5"/>
  <c r="L366" i="5"/>
  <c r="F368" i="5"/>
  <c r="C371" i="5"/>
  <c r="T370" i="5"/>
  <c r="R368" i="5"/>
  <c r="S367" i="5"/>
  <c r="G367" i="5" s="1"/>
  <c r="J367" i="5" s="1"/>
  <c r="K367" i="5"/>
  <c r="M367" i="5" s="1"/>
  <c r="Q278" i="5" l="1"/>
  <c r="I278" i="5"/>
  <c r="R369" i="5"/>
  <c r="K368" i="5"/>
  <c r="M368" i="5" s="1"/>
  <c r="S368" i="5"/>
  <c r="G368" i="5" s="1"/>
  <c r="J368" i="5" s="1"/>
  <c r="F369" i="5"/>
  <c r="C372" i="5"/>
  <c r="T371" i="5"/>
  <c r="L367" i="5"/>
  <c r="N278" i="5" l="1"/>
  <c r="O278" i="5"/>
  <c r="P278" i="5" s="1"/>
  <c r="H279" i="5"/>
  <c r="I279" i="5" s="1"/>
  <c r="L368" i="5"/>
  <c r="F370" i="5"/>
  <c r="K369" i="5"/>
  <c r="M369" i="5" s="1"/>
  <c r="R370" i="5"/>
  <c r="S369" i="5"/>
  <c r="G369" i="5" s="1"/>
  <c r="J369" i="5" s="1"/>
  <c r="T372" i="5"/>
  <c r="C373" i="5"/>
  <c r="Q279" i="5" l="1"/>
  <c r="L369" i="5"/>
  <c r="F371" i="5"/>
  <c r="S370" i="5"/>
  <c r="G370" i="5" s="1"/>
  <c r="J370" i="5" s="1"/>
  <c r="R371" i="5"/>
  <c r="K370" i="5"/>
  <c r="M370" i="5" s="1"/>
  <c r="T373" i="5"/>
  <c r="C374" i="5"/>
  <c r="H280" i="5" l="1"/>
  <c r="I280" i="5" s="1"/>
  <c r="N279" i="5"/>
  <c r="O279" i="5"/>
  <c r="P279" i="5" s="1"/>
  <c r="T374" i="5"/>
  <c r="C375" i="5"/>
  <c r="R372" i="5"/>
  <c r="S371" i="5"/>
  <c r="G371" i="5" s="1"/>
  <c r="J371" i="5" s="1"/>
  <c r="K371" i="5"/>
  <c r="M371" i="5" s="1"/>
  <c r="F372" i="5"/>
  <c r="L370" i="5"/>
  <c r="Q280" i="5" l="1"/>
  <c r="F373" i="5"/>
  <c r="L371" i="5"/>
  <c r="R373" i="5"/>
  <c r="S372" i="5"/>
  <c r="G372" i="5" s="1"/>
  <c r="J372" i="5" s="1"/>
  <c r="K372" i="5"/>
  <c r="M372" i="5" s="1"/>
  <c r="T375" i="5"/>
  <c r="C376" i="5"/>
  <c r="H281" i="5" l="1"/>
  <c r="I281" i="5" s="1"/>
  <c r="O280" i="5"/>
  <c r="P280" i="5" s="1"/>
  <c r="N280" i="5"/>
  <c r="T376" i="5"/>
  <c r="C377" i="5"/>
  <c r="L372" i="5"/>
  <c r="R374" i="5"/>
  <c r="S373" i="5"/>
  <c r="G373" i="5" s="1"/>
  <c r="J373" i="5" s="1"/>
  <c r="K373" i="5"/>
  <c r="M373" i="5" s="1"/>
  <c r="F374" i="5"/>
  <c r="Q281" i="5" l="1"/>
  <c r="T377" i="5"/>
  <c r="C378" i="5"/>
  <c r="L373" i="5"/>
  <c r="F375" i="5"/>
  <c r="R375" i="5"/>
  <c r="S374" i="5"/>
  <c r="G374" i="5" s="1"/>
  <c r="J374" i="5" s="1"/>
  <c r="K374" i="5"/>
  <c r="M374" i="5" s="1"/>
  <c r="H282" i="5" l="1"/>
  <c r="I282" i="5" s="1"/>
  <c r="N281" i="5"/>
  <c r="O281" i="5"/>
  <c r="P281" i="5" s="1"/>
  <c r="L374" i="5"/>
  <c r="F376" i="5"/>
  <c r="R376" i="5"/>
  <c r="S375" i="5"/>
  <c r="G375" i="5" s="1"/>
  <c r="J375" i="5" s="1"/>
  <c r="K375" i="5"/>
  <c r="M375" i="5" s="1"/>
  <c r="C379" i="5"/>
  <c r="T378" i="5"/>
  <c r="Q282" i="5" l="1"/>
  <c r="L375" i="5"/>
  <c r="R377" i="5"/>
  <c r="K376" i="5"/>
  <c r="M376" i="5" s="1"/>
  <c r="S376" i="5"/>
  <c r="V35" i="5" s="1"/>
  <c r="F377" i="5"/>
  <c r="C380" i="5"/>
  <c r="T379" i="5"/>
  <c r="O282" i="5" l="1"/>
  <c r="P282" i="5" s="1"/>
  <c r="N282" i="5"/>
  <c r="H283" i="5"/>
  <c r="I283" i="5" s="1"/>
  <c r="L376" i="5"/>
  <c r="F378" i="5"/>
  <c r="T380" i="5"/>
  <c r="C381" i="5"/>
  <c r="S377" i="5"/>
  <c r="G377" i="5" s="1"/>
  <c r="J377" i="5" s="1"/>
  <c r="K377" i="5"/>
  <c r="M377" i="5" s="1"/>
  <c r="R378" i="5"/>
  <c r="G376" i="5"/>
  <c r="J376" i="5" s="1"/>
  <c r="Q283" i="5" l="1"/>
  <c r="H284" i="5"/>
  <c r="I284" i="5" s="1"/>
  <c r="O283" i="5"/>
  <c r="P283" i="5" s="1"/>
  <c r="N283" i="5"/>
  <c r="L377" i="5"/>
  <c r="S378" i="5"/>
  <c r="G378" i="5" s="1"/>
  <c r="J378" i="5" s="1"/>
  <c r="R379" i="5"/>
  <c r="K378" i="5"/>
  <c r="M378" i="5" s="1"/>
  <c r="F379" i="5"/>
  <c r="T381" i="5"/>
  <c r="C382" i="5"/>
  <c r="Q284" i="5" l="1"/>
  <c r="L378" i="5"/>
  <c r="R380" i="5"/>
  <c r="S379" i="5"/>
  <c r="G379" i="5" s="1"/>
  <c r="J379" i="5" s="1"/>
  <c r="K379" i="5"/>
  <c r="M379" i="5" s="1"/>
  <c r="T382" i="5"/>
  <c r="C383" i="5"/>
  <c r="F380" i="5"/>
  <c r="H285" i="5" l="1"/>
  <c r="I285" i="5" s="1"/>
  <c r="N284" i="5"/>
  <c r="O284" i="5"/>
  <c r="P284" i="5" s="1"/>
  <c r="F381" i="5"/>
  <c r="L379" i="5"/>
  <c r="R381" i="5"/>
  <c r="K380" i="5"/>
  <c r="M380" i="5" s="1"/>
  <c r="S380" i="5"/>
  <c r="G380" i="5" s="1"/>
  <c r="J380" i="5" s="1"/>
  <c r="C384" i="5"/>
  <c r="T383" i="5"/>
  <c r="Q285" i="5" l="1"/>
  <c r="L380" i="5"/>
  <c r="F382" i="5"/>
  <c r="C385" i="5"/>
  <c r="T384" i="5"/>
  <c r="R382" i="5"/>
  <c r="K381" i="5"/>
  <c r="M381" i="5" s="1"/>
  <c r="S381" i="5"/>
  <c r="G381" i="5" s="1"/>
  <c r="J381" i="5" s="1"/>
  <c r="N285" i="5" l="1"/>
  <c r="H286" i="5"/>
  <c r="I286" i="5" s="1"/>
  <c r="O285" i="5"/>
  <c r="P285" i="5" s="1"/>
  <c r="Q286" i="5"/>
  <c r="R383" i="5"/>
  <c r="S382" i="5"/>
  <c r="G382" i="5" s="1"/>
  <c r="J382" i="5" s="1"/>
  <c r="K382" i="5"/>
  <c r="M382" i="5" s="1"/>
  <c r="F383" i="5"/>
  <c r="C386" i="5"/>
  <c r="T385" i="5"/>
  <c r="L381" i="5"/>
  <c r="O286" i="5" l="1"/>
  <c r="P286" i="5" s="1"/>
  <c r="N286" i="5"/>
  <c r="H287" i="5"/>
  <c r="Q287" i="5" s="1"/>
  <c r="L382" i="5"/>
  <c r="F384" i="5"/>
  <c r="R384" i="5"/>
  <c r="S383" i="5"/>
  <c r="G383" i="5" s="1"/>
  <c r="J383" i="5" s="1"/>
  <c r="K383" i="5"/>
  <c r="M383" i="5" s="1"/>
  <c r="T386" i="5"/>
  <c r="C387" i="5"/>
  <c r="O287" i="5" l="1"/>
  <c r="P287" i="5" s="1"/>
  <c r="N287" i="5"/>
  <c r="H288" i="5"/>
  <c r="Q288" i="5" s="1"/>
  <c r="I287" i="5"/>
  <c r="T387" i="5"/>
  <c r="C388" i="5"/>
  <c r="L383" i="5"/>
  <c r="R385" i="5"/>
  <c r="S384" i="5"/>
  <c r="G384" i="5" s="1"/>
  <c r="J384" i="5" s="1"/>
  <c r="K384" i="5"/>
  <c r="M384" i="5" s="1"/>
  <c r="F385" i="5"/>
  <c r="I288" i="5" l="1"/>
  <c r="H289" i="5"/>
  <c r="Q289" i="5" s="1"/>
  <c r="O288" i="5"/>
  <c r="P288" i="5" s="1"/>
  <c r="N288" i="5"/>
  <c r="L384" i="5"/>
  <c r="T388" i="5"/>
  <c r="C389" i="5"/>
  <c r="R386" i="5"/>
  <c r="S385" i="5"/>
  <c r="G385" i="5" s="1"/>
  <c r="J385" i="5" s="1"/>
  <c r="K385" i="5"/>
  <c r="M385" i="5" s="1"/>
  <c r="F386" i="5"/>
  <c r="I289" i="5" l="1"/>
  <c r="N289" i="5"/>
  <c r="O289" i="5"/>
  <c r="P289" i="5" s="1"/>
  <c r="H290" i="5"/>
  <c r="F387" i="5"/>
  <c r="L385" i="5"/>
  <c r="S386" i="5"/>
  <c r="G386" i="5" s="1"/>
  <c r="J386" i="5" s="1"/>
  <c r="R387" i="5"/>
  <c r="K386" i="5"/>
  <c r="M386" i="5" s="1"/>
  <c r="T389" i="5"/>
  <c r="C390" i="5"/>
  <c r="I290" i="5" l="1"/>
  <c r="Q290" i="5"/>
  <c r="N290" i="5"/>
  <c r="O290" i="5"/>
  <c r="P290" i="5" s="1"/>
  <c r="H291" i="5"/>
  <c r="Q291" i="5" s="1"/>
  <c r="L386" i="5"/>
  <c r="T390" i="5"/>
  <c r="C391" i="5"/>
  <c r="F388" i="5"/>
  <c r="R388" i="5"/>
  <c r="S387" i="5"/>
  <c r="G387" i="5" s="1"/>
  <c r="J387" i="5" s="1"/>
  <c r="K387" i="5"/>
  <c r="M387" i="5" s="1"/>
  <c r="N291" i="5" l="1"/>
  <c r="O291" i="5"/>
  <c r="P291" i="5" s="1"/>
  <c r="H292" i="5"/>
  <c r="Q292" i="5" s="1"/>
  <c r="I291" i="5"/>
  <c r="I292" i="5" s="1"/>
  <c r="L387" i="5"/>
  <c r="F389" i="5"/>
  <c r="T391" i="5"/>
  <c r="C392" i="5"/>
  <c r="R389" i="5"/>
  <c r="K388" i="5"/>
  <c r="M388" i="5" s="1"/>
  <c r="S388" i="5"/>
  <c r="V36" i="5" s="1"/>
  <c r="N292" i="5" l="1"/>
  <c r="H293" i="5"/>
  <c r="Q293" i="5" s="1"/>
  <c r="O292" i="5"/>
  <c r="P292" i="5" s="1"/>
  <c r="G388" i="5"/>
  <c r="J388" i="5" s="1"/>
  <c r="C393" i="5"/>
  <c r="T392" i="5"/>
  <c r="L388" i="5"/>
  <c r="F390" i="5"/>
  <c r="R390" i="5"/>
  <c r="K389" i="5"/>
  <c r="M389" i="5" s="1"/>
  <c r="S389" i="5"/>
  <c r="G389" i="5" s="1"/>
  <c r="J389" i="5" s="1"/>
  <c r="I293" i="5" l="1"/>
  <c r="O293" i="5"/>
  <c r="P293" i="5" s="1"/>
  <c r="N293" i="5"/>
  <c r="H294" i="5"/>
  <c r="L389" i="5"/>
  <c r="C394" i="5"/>
  <c r="T393" i="5"/>
  <c r="R391" i="5"/>
  <c r="S390" i="5"/>
  <c r="G390" i="5" s="1"/>
  <c r="J390" i="5" s="1"/>
  <c r="K390" i="5"/>
  <c r="M390" i="5" s="1"/>
  <c r="F391" i="5"/>
  <c r="I294" i="5" l="1"/>
  <c r="Q294" i="5"/>
  <c r="L390" i="5"/>
  <c r="F392" i="5"/>
  <c r="T394" i="5"/>
  <c r="C395" i="5"/>
  <c r="R392" i="5"/>
  <c r="S391" i="5"/>
  <c r="G391" i="5" s="1"/>
  <c r="J391" i="5" s="1"/>
  <c r="K391" i="5"/>
  <c r="M391" i="5" s="1"/>
  <c r="N294" i="5" l="1"/>
  <c r="O294" i="5"/>
  <c r="P294" i="5" s="1"/>
  <c r="H295" i="5"/>
  <c r="I295" i="5" s="1"/>
  <c r="T395" i="5"/>
  <c r="C396" i="5"/>
  <c r="F393" i="5"/>
  <c r="R393" i="5"/>
  <c r="K392" i="5"/>
  <c r="M392" i="5" s="1"/>
  <c r="S392" i="5"/>
  <c r="G392" i="5" s="1"/>
  <c r="J392" i="5" s="1"/>
  <c r="L391" i="5"/>
  <c r="Q295" i="5" l="1"/>
  <c r="L392" i="5"/>
  <c r="S393" i="5"/>
  <c r="G393" i="5" s="1"/>
  <c r="J393" i="5" s="1"/>
  <c r="R394" i="5"/>
  <c r="K393" i="5"/>
  <c r="M393" i="5" s="1"/>
  <c r="F394" i="5"/>
  <c r="T396" i="5"/>
  <c r="C397" i="5"/>
  <c r="O295" i="5" l="1"/>
  <c r="P295" i="5" s="1"/>
  <c r="H296" i="5"/>
  <c r="I296" i="5" s="1"/>
  <c r="N295" i="5"/>
  <c r="Q296" i="5"/>
  <c r="S394" i="5"/>
  <c r="G394" i="5" s="1"/>
  <c r="J394" i="5" s="1"/>
  <c r="R395" i="5"/>
  <c r="K394" i="5"/>
  <c r="M394" i="5" s="1"/>
  <c r="T397" i="5"/>
  <c r="C398" i="5"/>
  <c r="F395" i="5"/>
  <c r="L393" i="5"/>
  <c r="O296" i="5" l="1"/>
  <c r="P296" i="5" s="1"/>
  <c r="N296" i="5"/>
  <c r="H297" i="5"/>
  <c r="Q297" i="5" s="1"/>
  <c r="L394" i="5"/>
  <c r="R396" i="5"/>
  <c r="S395" i="5"/>
  <c r="G395" i="5" s="1"/>
  <c r="J395" i="5" s="1"/>
  <c r="K395" i="5"/>
  <c r="M395" i="5" s="1"/>
  <c r="T398" i="5"/>
  <c r="C399" i="5"/>
  <c r="F396" i="5"/>
  <c r="N297" i="5" l="1"/>
  <c r="H298" i="5"/>
  <c r="Q298" i="5" s="1"/>
  <c r="O297" i="5"/>
  <c r="P297" i="5" s="1"/>
  <c r="I297" i="5"/>
  <c r="I298" i="5" s="1"/>
  <c r="L395" i="5"/>
  <c r="F397" i="5"/>
  <c r="R397" i="5"/>
  <c r="S396" i="5"/>
  <c r="G396" i="5" s="1"/>
  <c r="J396" i="5" s="1"/>
  <c r="K396" i="5"/>
  <c r="M396" i="5" s="1"/>
  <c r="T399" i="5"/>
  <c r="C400" i="5"/>
  <c r="N298" i="5" l="1"/>
  <c r="O298" i="5"/>
  <c r="P298" i="5" s="1"/>
  <c r="H299" i="5"/>
  <c r="Q299" i="5" s="1"/>
  <c r="I299" i="5"/>
  <c r="L396" i="5"/>
  <c r="F398" i="5"/>
  <c r="C401" i="5"/>
  <c r="T400" i="5"/>
  <c r="R398" i="5"/>
  <c r="S397" i="5"/>
  <c r="G397" i="5" s="1"/>
  <c r="J397" i="5" s="1"/>
  <c r="K397" i="5"/>
  <c r="M397" i="5" s="1"/>
  <c r="H300" i="5" l="1"/>
  <c r="Q300" i="5" s="1"/>
  <c r="O299" i="5"/>
  <c r="P299" i="5" s="1"/>
  <c r="N299" i="5"/>
  <c r="C402" i="5"/>
  <c r="T401" i="5"/>
  <c r="F399" i="5"/>
  <c r="R399" i="5"/>
  <c r="S398" i="5"/>
  <c r="G398" i="5" s="1"/>
  <c r="J398" i="5" s="1"/>
  <c r="K398" i="5"/>
  <c r="M398" i="5" s="1"/>
  <c r="L397" i="5"/>
  <c r="O300" i="5" l="1"/>
  <c r="P300" i="5" s="1"/>
  <c r="H301" i="5"/>
  <c r="N300" i="5"/>
  <c r="Q301" i="5"/>
  <c r="I300" i="5"/>
  <c r="R400" i="5"/>
  <c r="S399" i="5"/>
  <c r="G399" i="5" s="1"/>
  <c r="J399" i="5" s="1"/>
  <c r="K399" i="5"/>
  <c r="M399" i="5" s="1"/>
  <c r="F400" i="5"/>
  <c r="L398" i="5"/>
  <c r="T402" i="5"/>
  <c r="C403" i="5"/>
  <c r="H302" i="5" l="1"/>
  <c r="O301" i="5"/>
  <c r="P301" i="5" s="1"/>
  <c r="N301" i="5"/>
  <c r="I301" i="5"/>
  <c r="L399" i="5"/>
  <c r="R401" i="5"/>
  <c r="K400" i="5"/>
  <c r="M400" i="5" s="1"/>
  <c r="S400" i="5"/>
  <c r="V37" i="5" s="1"/>
  <c r="F401" i="5"/>
  <c r="T403" i="5"/>
  <c r="C404" i="5"/>
  <c r="I302" i="5" l="1"/>
  <c r="Q302" i="5"/>
  <c r="L400" i="5"/>
  <c r="G400" i="5"/>
  <c r="J400" i="5" s="1"/>
  <c r="K401" i="5"/>
  <c r="M401" i="5" s="1"/>
  <c r="R402" i="5"/>
  <c r="S401" i="5"/>
  <c r="G401" i="5" s="1"/>
  <c r="J401" i="5" s="1"/>
  <c r="T404" i="5"/>
  <c r="C405" i="5"/>
  <c r="F402" i="5"/>
  <c r="N302" i="5" l="1"/>
  <c r="O302" i="5"/>
  <c r="P302" i="5" s="1"/>
  <c r="H303" i="5"/>
  <c r="I303" i="5" s="1"/>
  <c r="L401" i="5"/>
  <c r="S402" i="5"/>
  <c r="G402" i="5" s="1"/>
  <c r="J402" i="5" s="1"/>
  <c r="R403" i="5"/>
  <c r="K402" i="5"/>
  <c r="M402" i="5" s="1"/>
  <c r="F403" i="5"/>
  <c r="T405" i="5"/>
  <c r="C406" i="5"/>
  <c r="Q303" i="5" l="1"/>
  <c r="L402" i="5"/>
  <c r="F404" i="5"/>
  <c r="T406" i="5"/>
  <c r="C407" i="5"/>
  <c r="R404" i="5"/>
  <c r="S403" i="5"/>
  <c r="G403" i="5" s="1"/>
  <c r="J403" i="5" s="1"/>
  <c r="K403" i="5"/>
  <c r="M403" i="5" s="1"/>
  <c r="O303" i="5" l="1"/>
  <c r="P303" i="5" s="1"/>
  <c r="H304" i="5"/>
  <c r="I304" i="5" s="1"/>
  <c r="N303" i="5"/>
  <c r="Q304" i="5"/>
  <c r="T407" i="5"/>
  <c r="C408" i="5"/>
  <c r="F405" i="5"/>
  <c r="L403" i="5"/>
  <c r="R405" i="5"/>
  <c r="S404" i="5"/>
  <c r="G404" i="5" s="1"/>
  <c r="J404" i="5" s="1"/>
  <c r="K404" i="5"/>
  <c r="M404" i="5" s="1"/>
  <c r="H305" i="5" l="1"/>
  <c r="I305" i="5" s="1"/>
  <c r="N304" i="5"/>
  <c r="O304" i="5"/>
  <c r="P304" i="5" s="1"/>
  <c r="L404" i="5"/>
  <c r="R406" i="5"/>
  <c r="S405" i="5"/>
  <c r="G405" i="5" s="1"/>
  <c r="J405" i="5" s="1"/>
  <c r="K405" i="5"/>
  <c r="M405" i="5" s="1"/>
  <c r="T408" i="5"/>
  <c r="C409" i="5"/>
  <c r="F406" i="5"/>
  <c r="Q305" i="5" l="1"/>
  <c r="L405" i="5"/>
  <c r="T409" i="5"/>
  <c r="C410" i="5"/>
  <c r="F407" i="5"/>
  <c r="R407" i="5"/>
  <c r="S406" i="5"/>
  <c r="G406" i="5" s="1"/>
  <c r="J406" i="5" s="1"/>
  <c r="K406" i="5"/>
  <c r="M406" i="5" s="1"/>
  <c r="O305" i="5" l="1"/>
  <c r="P305" i="5" s="1"/>
  <c r="H306" i="5"/>
  <c r="I306" i="5" s="1"/>
  <c r="N305" i="5"/>
  <c r="Q306" i="5"/>
  <c r="R408" i="5"/>
  <c r="S407" i="5"/>
  <c r="G407" i="5" s="1"/>
  <c r="J407" i="5" s="1"/>
  <c r="K407" i="5"/>
  <c r="M407" i="5" s="1"/>
  <c r="T410" i="5"/>
  <c r="C411" i="5"/>
  <c r="L406" i="5"/>
  <c r="F408" i="5"/>
  <c r="N306" i="5" l="1"/>
  <c r="H307" i="5"/>
  <c r="I307" i="5" s="1"/>
  <c r="O306" i="5"/>
  <c r="P306" i="5" s="1"/>
  <c r="Q307" i="5"/>
  <c r="F409" i="5"/>
  <c r="L407" i="5"/>
  <c r="R409" i="5"/>
  <c r="K408" i="5"/>
  <c r="M408" i="5" s="1"/>
  <c r="S408" i="5"/>
  <c r="G408" i="5" s="1"/>
  <c r="J408" i="5" s="1"/>
  <c r="T411" i="5"/>
  <c r="C412" i="5"/>
  <c r="N307" i="5" l="1"/>
  <c r="H308" i="5"/>
  <c r="I308" i="5" s="1"/>
  <c r="O307" i="5"/>
  <c r="P307" i="5" s="1"/>
  <c r="Q308" i="5"/>
  <c r="S409" i="5"/>
  <c r="G409" i="5" s="1"/>
  <c r="J409" i="5" s="1"/>
  <c r="K409" i="5"/>
  <c r="M409" i="5" s="1"/>
  <c r="R410" i="5"/>
  <c r="T412" i="5"/>
  <c r="C413" i="5"/>
  <c r="L408" i="5"/>
  <c r="F410" i="5"/>
  <c r="H309" i="5" l="1"/>
  <c r="I309" i="5" s="1"/>
  <c r="O308" i="5"/>
  <c r="P308" i="5" s="1"/>
  <c r="N308" i="5"/>
  <c r="L409" i="5"/>
  <c r="F411" i="5"/>
  <c r="S410" i="5"/>
  <c r="G410" i="5" s="1"/>
  <c r="J410" i="5" s="1"/>
  <c r="R411" i="5"/>
  <c r="K410" i="5"/>
  <c r="M410" i="5" s="1"/>
  <c r="T413" i="5"/>
  <c r="C414" i="5"/>
  <c r="Q309" i="5" l="1"/>
  <c r="R412" i="5"/>
  <c r="S411" i="5"/>
  <c r="G411" i="5" s="1"/>
  <c r="J411" i="5" s="1"/>
  <c r="K411" i="5"/>
  <c r="M411" i="5" s="1"/>
  <c r="L410" i="5"/>
  <c r="F412" i="5"/>
  <c r="C415" i="5"/>
  <c r="T414" i="5"/>
  <c r="O309" i="5" l="1"/>
  <c r="P309" i="5" s="1"/>
  <c r="N309" i="5"/>
  <c r="H310" i="5"/>
  <c r="L411" i="5"/>
  <c r="C416" i="5"/>
  <c r="T415" i="5"/>
  <c r="F413" i="5"/>
  <c r="R413" i="5"/>
  <c r="K412" i="5"/>
  <c r="M412" i="5" s="1"/>
  <c r="S412" i="5"/>
  <c r="V38" i="5" s="1"/>
  <c r="Q310" i="5" l="1"/>
  <c r="I310" i="5"/>
  <c r="T416" i="5"/>
  <c r="C417" i="5"/>
  <c r="R414" i="5"/>
  <c r="K413" i="5"/>
  <c r="M413" i="5" s="1"/>
  <c r="S413" i="5"/>
  <c r="G413" i="5" s="1"/>
  <c r="J413" i="5" s="1"/>
  <c r="F414" i="5"/>
  <c r="L412" i="5"/>
  <c r="G412" i="5"/>
  <c r="J412" i="5" s="1"/>
  <c r="N310" i="5" l="1"/>
  <c r="O310" i="5"/>
  <c r="P310" i="5" s="1"/>
  <c r="H311" i="5"/>
  <c r="Q311" i="5" s="1"/>
  <c r="R415" i="5"/>
  <c r="S414" i="5"/>
  <c r="G414" i="5" s="1"/>
  <c r="J414" i="5" s="1"/>
  <c r="K414" i="5"/>
  <c r="M414" i="5" s="1"/>
  <c r="F415" i="5"/>
  <c r="L413" i="5"/>
  <c r="T417" i="5"/>
  <c r="C418" i="5"/>
  <c r="I311" i="5" l="1"/>
  <c r="H312" i="5"/>
  <c r="Q312" i="5" s="1"/>
  <c r="O311" i="5"/>
  <c r="P311" i="5" s="1"/>
  <c r="N311" i="5"/>
  <c r="L414" i="5"/>
  <c r="R416" i="5"/>
  <c r="S415" i="5"/>
  <c r="G415" i="5" s="1"/>
  <c r="J415" i="5" s="1"/>
  <c r="K415" i="5"/>
  <c r="M415" i="5" s="1"/>
  <c r="F416" i="5"/>
  <c r="T418" i="5"/>
  <c r="C419" i="5"/>
  <c r="I312" i="5" l="1"/>
  <c r="H313" i="5"/>
  <c r="Q313" i="5" s="1"/>
  <c r="O312" i="5"/>
  <c r="P312" i="5" s="1"/>
  <c r="N312" i="5"/>
  <c r="L415" i="5"/>
  <c r="R417" i="5"/>
  <c r="S416" i="5"/>
  <c r="G416" i="5" s="1"/>
  <c r="J416" i="5" s="1"/>
  <c r="K416" i="5"/>
  <c r="M416" i="5" s="1"/>
  <c r="F417" i="5"/>
  <c r="T419" i="5"/>
  <c r="C420" i="5"/>
  <c r="O313" i="5" l="1"/>
  <c r="P313" i="5" s="1"/>
  <c r="N313" i="5"/>
  <c r="H314" i="5"/>
  <c r="Q314" i="5" s="1"/>
  <c r="I313" i="5"/>
  <c r="L416" i="5"/>
  <c r="F418" i="5"/>
  <c r="R418" i="5"/>
  <c r="S417" i="5"/>
  <c r="G417" i="5" s="1"/>
  <c r="J417" i="5" s="1"/>
  <c r="K417" i="5"/>
  <c r="M417" i="5" s="1"/>
  <c r="T420" i="5"/>
  <c r="C421" i="5"/>
  <c r="I314" i="5" l="1"/>
  <c r="O314" i="5"/>
  <c r="P314" i="5" s="1"/>
  <c r="H315" i="5"/>
  <c r="Q315" i="5" s="1"/>
  <c r="N314" i="5"/>
  <c r="S418" i="5"/>
  <c r="G418" i="5" s="1"/>
  <c r="J418" i="5" s="1"/>
  <c r="R419" i="5"/>
  <c r="K418" i="5"/>
  <c r="M418" i="5" s="1"/>
  <c r="L417" i="5"/>
  <c r="F419" i="5"/>
  <c r="T421" i="5"/>
  <c r="C422" i="5"/>
  <c r="O315" i="5" l="1"/>
  <c r="P315" i="5" s="1"/>
  <c r="H316" i="5"/>
  <c r="Q316" i="5" s="1"/>
  <c r="N315" i="5"/>
  <c r="I315" i="5"/>
  <c r="I316" i="5" s="1"/>
  <c r="R420" i="5"/>
  <c r="S419" i="5"/>
  <c r="G419" i="5" s="1"/>
  <c r="J419" i="5" s="1"/>
  <c r="K419" i="5"/>
  <c r="M419" i="5" s="1"/>
  <c r="F420" i="5"/>
  <c r="C423" i="5"/>
  <c r="T422" i="5"/>
  <c r="L418" i="5"/>
  <c r="H317" i="5" l="1"/>
  <c r="Q317" i="5" s="1"/>
  <c r="N316" i="5"/>
  <c r="O316" i="5"/>
  <c r="P316" i="5" s="1"/>
  <c r="L419" i="5"/>
  <c r="R421" i="5"/>
  <c r="K420" i="5"/>
  <c r="M420" i="5" s="1"/>
  <c r="S420" i="5"/>
  <c r="G420" i="5" s="1"/>
  <c r="J420" i="5" s="1"/>
  <c r="F421" i="5"/>
  <c r="T423" i="5"/>
  <c r="C424" i="5"/>
  <c r="I317" i="5" l="1"/>
  <c r="N317" i="5"/>
  <c r="H318" i="5"/>
  <c r="Q318" i="5" s="1"/>
  <c r="O317" i="5"/>
  <c r="P317" i="5" s="1"/>
  <c r="L420" i="5"/>
  <c r="F422" i="5"/>
  <c r="R422" i="5"/>
  <c r="K421" i="5"/>
  <c r="M421" i="5" s="1"/>
  <c r="S421" i="5"/>
  <c r="G421" i="5" s="1"/>
  <c r="J421" i="5" s="1"/>
  <c r="T424" i="5"/>
  <c r="C425" i="5"/>
  <c r="I318" i="5" l="1"/>
  <c r="N318" i="5"/>
  <c r="O318" i="5"/>
  <c r="P318" i="5" s="1"/>
  <c r="H319" i="5"/>
  <c r="Q319" i="5" s="1"/>
  <c r="L421" i="5"/>
  <c r="T425" i="5"/>
  <c r="C426" i="5"/>
  <c r="F423" i="5"/>
  <c r="R423" i="5"/>
  <c r="S422" i="5"/>
  <c r="G422" i="5" s="1"/>
  <c r="J422" i="5" s="1"/>
  <c r="K422" i="5"/>
  <c r="M422" i="5" s="1"/>
  <c r="I319" i="5" l="1"/>
  <c r="O319" i="5"/>
  <c r="P319" i="5" s="1"/>
  <c r="H320" i="5"/>
  <c r="Q320" i="5" s="1"/>
  <c r="N319" i="5"/>
  <c r="I320" i="5"/>
  <c r="L422" i="5"/>
  <c r="C427" i="5"/>
  <c r="T426" i="5"/>
  <c r="R424" i="5"/>
  <c r="AC13" i="5" s="1"/>
  <c r="S423" i="5"/>
  <c r="G423" i="5" s="1"/>
  <c r="J423" i="5" s="1"/>
  <c r="K423" i="5"/>
  <c r="M423" i="5" s="1"/>
  <c r="F424" i="5"/>
  <c r="AC11" i="5" s="1"/>
  <c r="D8" i="3" s="1"/>
  <c r="H321" i="5" l="1"/>
  <c r="Q321" i="5" s="1"/>
  <c r="O320" i="5"/>
  <c r="P320" i="5" s="1"/>
  <c r="N320" i="5"/>
  <c r="AC14" i="5"/>
  <c r="D4" i="3" s="1"/>
  <c r="F8" i="3" s="1"/>
  <c r="AC9" i="5"/>
  <c r="AC10" i="5" s="1"/>
  <c r="D10" i="3" s="1"/>
  <c r="R425" i="5"/>
  <c r="K424" i="5"/>
  <c r="M424" i="5" s="1"/>
  <c r="S424" i="5"/>
  <c r="L423" i="5"/>
  <c r="F425" i="5"/>
  <c r="C428" i="5"/>
  <c r="T427" i="5"/>
  <c r="I321" i="5" l="1"/>
  <c r="O321" i="5"/>
  <c r="P321" i="5" s="1"/>
  <c r="H322" i="5"/>
  <c r="Q322" i="5" s="1"/>
  <c r="N321" i="5"/>
  <c r="I322" i="5"/>
  <c r="F10" i="3"/>
  <c r="L424" i="5"/>
  <c r="G424" i="5"/>
  <c r="AE18" i="5" s="1"/>
  <c r="AD18" i="5"/>
  <c r="S425" i="5"/>
  <c r="G425" i="5" s="1"/>
  <c r="J425" i="5" s="1"/>
  <c r="R426" i="5"/>
  <c r="K425" i="5"/>
  <c r="M425" i="5" s="1"/>
  <c r="T428" i="5"/>
  <c r="C429" i="5"/>
  <c r="F426" i="5"/>
  <c r="V39" i="5"/>
  <c r="AD46" i="5"/>
  <c r="M26" i="3" s="1"/>
  <c r="H323" i="5" l="1"/>
  <c r="Q323" i="5" s="1"/>
  <c r="O322" i="5"/>
  <c r="P322" i="5" s="1"/>
  <c r="N322" i="5"/>
  <c r="AE46" i="5"/>
  <c r="M11" i="3" s="1"/>
  <c r="J424" i="5"/>
  <c r="AF18" i="5" s="1"/>
  <c r="L425" i="5"/>
  <c r="S426" i="5"/>
  <c r="G426" i="5" s="1"/>
  <c r="J426" i="5" s="1"/>
  <c r="R427" i="5"/>
  <c r="K426" i="5"/>
  <c r="M426" i="5" s="1"/>
  <c r="T429" i="5"/>
  <c r="C430" i="5"/>
  <c r="F427" i="5"/>
  <c r="I323" i="5" l="1"/>
  <c r="O323" i="5"/>
  <c r="P323" i="5" s="1"/>
  <c r="H324" i="5"/>
  <c r="Q324" i="5" s="1"/>
  <c r="N323" i="5"/>
  <c r="AF46" i="5"/>
  <c r="O11" i="3" s="1"/>
  <c r="L426" i="5"/>
  <c r="R428" i="5"/>
  <c r="S427" i="5"/>
  <c r="G427" i="5" s="1"/>
  <c r="J427" i="5" s="1"/>
  <c r="K427" i="5"/>
  <c r="M427" i="5" s="1"/>
  <c r="C431" i="5"/>
  <c r="T430" i="5"/>
  <c r="F428" i="5"/>
  <c r="I324" i="5" l="1"/>
  <c r="O324" i="5"/>
  <c r="P324" i="5" s="1"/>
  <c r="H325" i="5"/>
  <c r="Q325" i="5" s="1"/>
  <c r="N324" i="5"/>
  <c r="R429" i="5"/>
  <c r="S428" i="5"/>
  <c r="G428" i="5" s="1"/>
  <c r="J428" i="5" s="1"/>
  <c r="K428" i="5"/>
  <c r="M428" i="5" s="1"/>
  <c r="L427" i="5"/>
  <c r="C432" i="5"/>
  <c r="T431" i="5"/>
  <c r="F429" i="5"/>
  <c r="I325" i="5" l="1"/>
  <c r="H326" i="5"/>
  <c r="Q326" i="5" s="1"/>
  <c r="O325" i="5"/>
  <c r="P325" i="5" s="1"/>
  <c r="N325" i="5"/>
  <c r="L428" i="5"/>
  <c r="R430" i="5"/>
  <c r="S429" i="5"/>
  <c r="G429" i="5" s="1"/>
  <c r="J429" i="5" s="1"/>
  <c r="K429" i="5"/>
  <c r="M429" i="5" s="1"/>
  <c r="F430" i="5"/>
  <c r="C433" i="5"/>
  <c r="T432" i="5"/>
  <c r="O326" i="5" l="1"/>
  <c r="P326" i="5" s="1"/>
  <c r="H327" i="5"/>
  <c r="Q327" i="5" s="1"/>
  <c r="N326" i="5"/>
  <c r="I326" i="5"/>
  <c r="I327" i="5" s="1"/>
  <c r="L429" i="5"/>
  <c r="R431" i="5"/>
  <c r="S430" i="5"/>
  <c r="G430" i="5" s="1"/>
  <c r="J430" i="5" s="1"/>
  <c r="K430" i="5"/>
  <c r="M430" i="5" s="1"/>
  <c r="F431" i="5"/>
  <c r="C434" i="5"/>
  <c r="T433" i="5"/>
  <c r="O327" i="5" l="1"/>
  <c r="P327" i="5" s="1"/>
  <c r="H328" i="5"/>
  <c r="Q328" i="5" s="1"/>
  <c r="N327" i="5"/>
  <c r="L430" i="5"/>
  <c r="T434" i="5"/>
  <c r="C435" i="5"/>
  <c r="R432" i="5"/>
  <c r="S431" i="5"/>
  <c r="G431" i="5" s="1"/>
  <c r="J431" i="5" s="1"/>
  <c r="K431" i="5"/>
  <c r="M431" i="5" s="1"/>
  <c r="F432" i="5"/>
  <c r="H329" i="5" l="1"/>
  <c r="N328" i="5"/>
  <c r="O328" i="5"/>
  <c r="P328" i="5" s="1"/>
  <c r="Q329" i="5"/>
  <c r="I328" i="5"/>
  <c r="L431" i="5"/>
  <c r="T435" i="5"/>
  <c r="C436" i="5"/>
  <c r="F433" i="5"/>
  <c r="R433" i="5"/>
  <c r="K432" i="5"/>
  <c r="M432" i="5" s="1"/>
  <c r="S432" i="5"/>
  <c r="G432" i="5" s="1"/>
  <c r="J432" i="5" s="1"/>
  <c r="H330" i="5" l="1"/>
  <c r="O329" i="5"/>
  <c r="P329" i="5" s="1"/>
  <c r="N329" i="5"/>
  <c r="Q330" i="5"/>
  <c r="I329" i="5"/>
  <c r="K433" i="5"/>
  <c r="M433" i="5" s="1"/>
  <c r="R434" i="5"/>
  <c r="S433" i="5"/>
  <c r="G433" i="5" s="1"/>
  <c r="J433" i="5" s="1"/>
  <c r="F434" i="5"/>
  <c r="C437" i="5"/>
  <c r="T436" i="5"/>
  <c r="L432" i="5"/>
  <c r="H331" i="5" l="1"/>
  <c r="O330" i="5"/>
  <c r="P330" i="5" s="1"/>
  <c r="Q331" i="5"/>
  <c r="N330" i="5"/>
  <c r="I330" i="5"/>
  <c r="L433" i="5"/>
  <c r="F435" i="5"/>
  <c r="S434" i="5"/>
  <c r="G434" i="5" s="1"/>
  <c r="J434" i="5" s="1"/>
  <c r="R435" i="5"/>
  <c r="K434" i="5"/>
  <c r="M434" i="5" s="1"/>
  <c r="C438" i="5"/>
  <c r="T437" i="5"/>
  <c r="H332" i="5" l="1"/>
  <c r="Q332" i="5" s="1"/>
  <c r="N331" i="5"/>
  <c r="O331" i="5"/>
  <c r="P331" i="5" s="1"/>
  <c r="I331" i="5"/>
  <c r="F436" i="5"/>
  <c r="R436" i="5"/>
  <c r="S435" i="5"/>
  <c r="G435" i="5" s="1"/>
  <c r="J435" i="5" s="1"/>
  <c r="K435" i="5"/>
  <c r="M435" i="5" s="1"/>
  <c r="L434" i="5"/>
  <c r="C439" i="5"/>
  <c r="T438" i="5"/>
  <c r="N332" i="5" l="1"/>
  <c r="H333" i="5"/>
  <c r="O332" i="5"/>
  <c r="P332" i="5" s="1"/>
  <c r="Q333" i="5"/>
  <c r="I332" i="5"/>
  <c r="F437" i="5"/>
  <c r="L435" i="5"/>
  <c r="R437" i="5"/>
  <c r="S436" i="5"/>
  <c r="V40" i="5" s="1"/>
  <c r="K436" i="5"/>
  <c r="M436" i="5" s="1"/>
  <c r="T439" i="5"/>
  <c r="C440" i="5"/>
  <c r="H334" i="5" l="1"/>
  <c r="O333" i="5"/>
  <c r="P333" i="5" s="1"/>
  <c r="N333" i="5"/>
  <c r="I333" i="5"/>
  <c r="L436" i="5"/>
  <c r="F438" i="5"/>
  <c r="C441" i="5"/>
  <c r="T440" i="5"/>
  <c r="R438" i="5"/>
  <c r="S437" i="5"/>
  <c r="G437" i="5" s="1"/>
  <c r="J437" i="5" s="1"/>
  <c r="K437" i="5"/>
  <c r="M437" i="5" s="1"/>
  <c r="G436" i="5"/>
  <c r="J436" i="5" s="1"/>
  <c r="I334" i="5" l="1"/>
  <c r="Q334" i="5"/>
  <c r="F439" i="5"/>
  <c r="R439" i="5"/>
  <c r="S438" i="5"/>
  <c r="G438" i="5" s="1"/>
  <c r="J438" i="5" s="1"/>
  <c r="K438" i="5"/>
  <c r="M438" i="5" s="1"/>
  <c r="C442" i="5"/>
  <c r="T441" i="5"/>
  <c r="L437" i="5"/>
  <c r="N334" i="5" l="1"/>
  <c r="H335" i="5"/>
  <c r="I335" i="5" s="1"/>
  <c r="O334" i="5"/>
  <c r="P334" i="5" s="1"/>
  <c r="L438" i="5"/>
  <c r="T442" i="5"/>
  <c r="C443" i="5"/>
  <c r="R440" i="5"/>
  <c r="S439" i="5"/>
  <c r="G439" i="5" s="1"/>
  <c r="J439" i="5" s="1"/>
  <c r="K439" i="5"/>
  <c r="M439" i="5" s="1"/>
  <c r="F440" i="5"/>
  <c r="Q335" i="5" l="1"/>
  <c r="R441" i="5"/>
  <c r="K440" i="5"/>
  <c r="M440" i="5" s="1"/>
  <c r="S440" i="5"/>
  <c r="G440" i="5" s="1"/>
  <c r="J440" i="5" s="1"/>
  <c r="F441" i="5"/>
  <c r="T443" i="5"/>
  <c r="C444" i="5"/>
  <c r="L439" i="5"/>
  <c r="H336" i="5" l="1"/>
  <c r="I336" i="5" s="1"/>
  <c r="O335" i="5"/>
  <c r="P335" i="5" s="1"/>
  <c r="N335" i="5"/>
  <c r="L440" i="5"/>
  <c r="S441" i="5"/>
  <c r="G441" i="5" s="1"/>
  <c r="J441" i="5" s="1"/>
  <c r="K441" i="5"/>
  <c r="M441" i="5" s="1"/>
  <c r="R442" i="5"/>
  <c r="C445" i="5"/>
  <c r="T444" i="5"/>
  <c r="F442" i="5"/>
  <c r="Q336" i="5" l="1"/>
  <c r="R443" i="5"/>
  <c r="S442" i="5"/>
  <c r="G442" i="5" s="1"/>
  <c r="J442" i="5" s="1"/>
  <c r="K442" i="5"/>
  <c r="M442" i="5" s="1"/>
  <c r="C446" i="5"/>
  <c r="T445" i="5"/>
  <c r="L441" i="5"/>
  <c r="F443" i="5"/>
  <c r="O336" i="5" l="1"/>
  <c r="P336" i="5" s="1"/>
  <c r="N336" i="5"/>
  <c r="H337" i="5"/>
  <c r="I337" i="5" s="1"/>
  <c r="L442" i="5"/>
  <c r="T446" i="5"/>
  <c r="C447" i="5"/>
  <c r="R444" i="5"/>
  <c r="S443" i="5"/>
  <c r="G443" i="5" s="1"/>
  <c r="J443" i="5" s="1"/>
  <c r="K443" i="5"/>
  <c r="M443" i="5" s="1"/>
  <c r="F444" i="5"/>
  <c r="Q337" i="5" l="1"/>
  <c r="O337" i="5"/>
  <c r="P337" i="5" s="1"/>
  <c r="N337" i="5"/>
  <c r="H338" i="5"/>
  <c r="I338" i="5" s="1"/>
  <c r="R445" i="5"/>
  <c r="K444" i="5"/>
  <c r="M444" i="5" s="1"/>
  <c r="S444" i="5"/>
  <c r="G444" i="5" s="1"/>
  <c r="J444" i="5" s="1"/>
  <c r="C448" i="5"/>
  <c r="T447" i="5"/>
  <c r="L443" i="5"/>
  <c r="F445" i="5"/>
  <c r="Q338" i="5" l="1"/>
  <c r="L444" i="5"/>
  <c r="C449" i="5"/>
  <c r="T448" i="5"/>
  <c r="R446" i="5"/>
  <c r="S445" i="5"/>
  <c r="G445" i="5" s="1"/>
  <c r="J445" i="5" s="1"/>
  <c r="K445" i="5"/>
  <c r="M445" i="5" s="1"/>
  <c r="F446" i="5"/>
  <c r="N338" i="5" l="1"/>
  <c r="H339" i="5"/>
  <c r="I339" i="5" s="1"/>
  <c r="O338" i="5"/>
  <c r="P338" i="5" s="1"/>
  <c r="Q339" i="5"/>
  <c r="L445" i="5"/>
  <c r="C450" i="5"/>
  <c r="T449" i="5"/>
  <c r="R447" i="5"/>
  <c r="S446" i="5"/>
  <c r="G446" i="5" s="1"/>
  <c r="J446" i="5" s="1"/>
  <c r="K446" i="5"/>
  <c r="M446" i="5" s="1"/>
  <c r="F447" i="5"/>
  <c r="N339" i="5" l="1"/>
  <c r="O339" i="5"/>
  <c r="P339" i="5" s="1"/>
  <c r="H340" i="5"/>
  <c r="I340" i="5" s="1"/>
  <c r="T450" i="5"/>
  <c r="C451" i="5"/>
  <c r="F448" i="5"/>
  <c r="L446" i="5"/>
  <c r="R448" i="5"/>
  <c r="S447" i="5"/>
  <c r="G447" i="5" s="1"/>
  <c r="J447" i="5" s="1"/>
  <c r="K447" i="5"/>
  <c r="M447" i="5" s="1"/>
  <c r="Q340" i="5" l="1"/>
  <c r="L447" i="5"/>
  <c r="T451" i="5"/>
  <c r="C452" i="5"/>
  <c r="R449" i="5"/>
  <c r="K448" i="5"/>
  <c r="M448" i="5" s="1"/>
  <c r="S448" i="5"/>
  <c r="V41" i="5" s="1"/>
  <c r="F449" i="5"/>
  <c r="H341" i="5" l="1"/>
  <c r="N340" i="5"/>
  <c r="O340" i="5"/>
  <c r="P340" i="5" s="1"/>
  <c r="L448" i="5"/>
  <c r="G448" i="5"/>
  <c r="J448" i="5" s="1"/>
  <c r="C453" i="5"/>
  <c r="T452" i="5"/>
  <c r="F450" i="5"/>
  <c r="R450" i="5"/>
  <c r="S449" i="5"/>
  <c r="G449" i="5" s="1"/>
  <c r="J449" i="5" s="1"/>
  <c r="K449" i="5"/>
  <c r="M449" i="5" s="1"/>
  <c r="Q341" i="5" l="1"/>
  <c r="I341" i="5"/>
  <c r="R451" i="5"/>
  <c r="S450" i="5"/>
  <c r="G450" i="5" s="1"/>
  <c r="J450" i="5" s="1"/>
  <c r="K450" i="5"/>
  <c r="M450" i="5" s="1"/>
  <c r="C454" i="5"/>
  <c r="T453" i="5"/>
  <c r="F451" i="5"/>
  <c r="L449" i="5"/>
  <c r="H342" i="5" l="1"/>
  <c r="I342" i="5" s="1"/>
  <c r="O341" i="5"/>
  <c r="P341" i="5" s="1"/>
  <c r="N341" i="5"/>
  <c r="L450" i="5"/>
  <c r="C455" i="5"/>
  <c r="T454" i="5"/>
  <c r="F452" i="5"/>
  <c r="R452" i="5"/>
  <c r="S451" i="5"/>
  <c r="G451" i="5" s="1"/>
  <c r="J451" i="5" s="1"/>
  <c r="K451" i="5"/>
  <c r="M451" i="5" s="1"/>
  <c r="Q342" i="5" l="1"/>
  <c r="H343" i="5"/>
  <c r="I343" i="5" s="1"/>
  <c r="O342" i="5"/>
  <c r="P342" i="5" s="1"/>
  <c r="N342" i="5"/>
  <c r="F453" i="5"/>
  <c r="L451" i="5"/>
  <c r="R453" i="5"/>
  <c r="K452" i="5"/>
  <c r="M452" i="5" s="1"/>
  <c r="S452" i="5"/>
  <c r="G452" i="5" s="1"/>
  <c r="J452" i="5" s="1"/>
  <c r="T455" i="5"/>
  <c r="C456" i="5"/>
  <c r="Q343" i="5" l="1"/>
  <c r="O343" i="5" s="1"/>
  <c r="P343" i="5" s="1"/>
  <c r="L452" i="5"/>
  <c r="F454" i="5"/>
  <c r="R454" i="5"/>
  <c r="S453" i="5"/>
  <c r="G453" i="5" s="1"/>
  <c r="J453" i="5" s="1"/>
  <c r="K453" i="5"/>
  <c r="M453" i="5" s="1"/>
  <c r="T456" i="5"/>
  <c r="C457" i="5"/>
  <c r="H344" i="5" l="1"/>
  <c r="Q344" i="5" s="1"/>
  <c r="N344" i="5" s="1"/>
  <c r="N343" i="5"/>
  <c r="L453" i="5"/>
  <c r="R455" i="5"/>
  <c r="S454" i="5"/>
  <c r="G454" i="5" s="1"/>
  <c r="J454" i="5" s="1"/>
  <c r="K454" i="5"/>
  <c r="M454" i="5" s="1"/>
  <c r="T457" i="5"/>
  <c r="C458" i="5"/>
  <c r="F455" i="5"/>
  <c r="I344" i="5" l="1"/>
  <c r="H345" i="5"/>
  <c r="Q345" i="5" s="1"/>
  <c r="O345" i="5" s="1"/>
  <c r="P345" i="5" s="1"/>
  <c r="O344" i="5"/>
  <c r="P344" i="5" s="1"/>
  <c r="L454" i="5"/>
  <c r="F456" i="5"/>
  <c r="R456" i="5"/>
  <c r="S455" i="5"/>
  <c r="G455" i="5" s="1"/>
  <c r="J455" i="5" s="1"/>
  <c r="K455" i="5"/>
  <c r="M455" i="5" s="1"/>
  <c r="C459" i="5"/>
  <c r="T458" i="5"/>
  <c r="I345" i="5" l="1"/>
  <c r="N345" i="5"/>
  <c r="H346" i="5"/>
  <c r="I346" i="5" s="1"/>
  <c r="C460" i="5"/>
  <c r="T459" i="5"/>
  <c r="R457" i="5"/>
  <c r="K456" i="5"/>
  <c r="M456" i="5" s="1"/>
  <c r="S456" i="5"/>
  <c r="G456" i="5" s="1"/>
  <c r="J456" i="5" s="1"/>
  <c r="F457" i="5"/>
  <c r="L455" i="5"/>
  <c r="Q346" i="5" l="1"/>
  <c r="L456" i="5"/>
  <c r="F458" i="5"/>
  <c r="T460" i="5"/>
  <c r="C461" i="5"/>
  <c r="R458" i="5"/>
  <c r="S457" i="5"/>
  <c r="G457" i="5" s="1"/>
  <c r="J457" i="5" s="1"/>
  <c r="K457" i="5"/>
  <c r="M457" i="5" s="1"/>
  <c r="O346" i="5" l="1"/>
  <c r="P346" i="5" s="1"/>
  <c r="H347" i="5"/>
  <c r="I347" i="5" s="1"/>
  <c r="Q347" i="5"/>
  <c r="N346" i="5"/>
  <c r="L457" i="5"/>
  <c r="F459" i="5"/>
  <c r="R459" i="5"/>
  <c r="S458" i="5"/>
  <c r="G458" i="5" s="1"/>
  <c r="J458" i="5" s="1"/>
  <c r="K458" i="5"/>
  <c r="M458" i="5" s="1"/>
  <c r="C462" i="5"/>
  <c r="T461" i="5"/>
  <c r="N347" i="5" l="1"/>
  <c r="H348" i="5"/>
  <c r="O347" i="5"/>
  <c r="P347" i="5" s="1"/>
  <c r="L458" i="5"/>
  <c r="C463" i="5"/>
  <c r="T462" i="5"/>
  <c r="R460" i="5"/>
  <c r="S459" i="5"/>
  <c r="G459" i="5" s="1"/>
  <c r="J459" i="5" s="1"/>
  <c r="K459" i="5"/>
  <c r="M459" i="5" s="1"/>
  <c r="F460" i="5"/>
  <c r="Q348" i="5" l="1"/>
  <c r="I348" i="5"/>
  <c r="F461" i="5"/>
  <c r="R461" i="5"/>
  <c r="K460" i="5"/>
  <c r="M460" i="5" s="1"/>
  <c r="S460" i="5"/>
  <c r="V42" i="5" s="1"/>
  <c r="C464" i="5"/>
  <c r="T463" i="5"/>
  <c r="L459" i="5"/>
  <c r="N348" i="5" l="1"/>
  <c r="H349" i="5"/>
  <c r="I349" i="5" s="1"/>
  <c r="O348" i="5"/>
  <c r="P348" i="5" s="1"/>
  <c r="L460" i="5"/>
  <c r="R462" i="5"/>
  <c r="S461" i="5"/>
  <c r="G461" i="5" s="1"/>
  <c r="J461" i="5" s="1"/>
  <c r="K461" i="5"/>
  <c r="M461" i="5" s="1"/>
  <c r="G460" i="5"/>
  <c r="J460" i="5" s="1"/>
  <c r="T464" i="5"/>
  <c r="C465" i="5"/>
  <c r="F462" i="5"/>
  <c r="Q349" i="5" l="1"/>
  <c r="R463" i="5"/>
  <c r="S462" i="5"/>
  <c r="G462" i="5" s="1"/>
  <c r="J462" i="5" s="1"/>
  <c r="K462" i="5"/>
  <c r="M462" i="5" s="1"/>
  <c r="F463" i="5"/>
  <c r="T465" i="5"/>
  <c r="C466" i="5"/>
  <c r="L461" i="5"/>
  <c r="N349" i="5" l="1"/>
  <c r="O349" i="5"/>
  <c r="P349" i="5" s="1"/>
  <c r="H350" i="5"/>
  <c r="I350" i="5" s="1"/>
  <c r="Q350" i="5"/>
  <c r="R464" i="5"/>
  <c r="S463" i="5"/>
  <c r="G463" i="5" s="1"/>
  <c r="J463" i="5" s="1"/>
  <c r="K463" i="5"/>
  <c r="M463" i="5" s="1"/>
  <c r="L462" i="5"/>
  <c r="C467" i="5"/>
  <c r="T466" i="5"/>
  <c r="F464" i="5"/>
  <c r="H351" i="5" l="1"/>
  <c r="I351" i="5" s="1"/>
  <c r="O350" i="5"/>
  <c r="P350" i="5" s="1"/>
  <c r="Q351" i="5"/>
  <c r="N350" i="5"/>
  <c r="R465" i="5"/>
  <c r="K464" i="5"/>
  <c r="M464" i="5" s="1"/>
  <c r="S464" i="5"/>
  <c r="G464" i="5" s="1"/>
  <c r="J464" i="5" s="1"/>
  <c r="F465" i="5"/>
  <c r="L463" i="5"/>
  <c r="C468" i="5"/>
  <c r="T467" i="5"/>
  <c r="N351" i="5" l="1"/>
  <c r="H352" i="5"/>
  <c r="I352" i="5" s="1"/>
  <c r="O351" i="5"/>
  <c r="P351" i="5" s="1"/>
  <c r="Q352" i="5"/>
  <c r="L464" i="5"/>
  <c r="S465" i="5"/>
  <c r="G465" i="5" s="1"/>
  <c r="J465" i="5" s="1"/>
  <c r="K465" i="5"/>
  <c r="M465" i="5" s="1"/>
  <c r="R466" i="5"/>
  <c r="F466" i="5"/>
  <c r="C469" i="5"/>
  <c r="T468" i="5"/>
  <c r="N352" i="5" l="1"/>
  <c r="O352" i="5"/>
  <c r="P352" i="5" s="1"/>
  <c r="H353" i="5"/>
  <c r="I353" i="5" s="1"/>
  <c r="F467" i="5"/>
  <c r="S466" i="5"/>
  <c r="G466" i="5" s="1"/>
  <c r="J466" i="5" s="1"/>
  <c r="K466" i="5"/>
  <c r="M466" i="5" s="1"/>
  <c r="R467" i="5"/>
  <c r="T469" i="5"/>
  <c r="C470" i="5"/>
  <c r="L465" i="5"/>
  <c r="Q353" i="5" l="1"/>
  <c r="L466" i="5"/>
  <c r="R468" i="5"/>
  <c r="S467" i="5"/>
  <c r="G467" i="5" s="1"/>
  <c r="J467" i="5" s="1"/>
  <c r="K467" i="5"/>
  <c r="M467" i="5" s="1"/>
  <c r="C471" i="5"/>
  <c r="T470" i="5"/>
  <c r="F468" i="5"/>
  <c r="H354" i="5" l="1"/>
  <c r="I354" i="5" s="1"/>
  <c r="N353" i="5"/>
  <c r="O353" i="5"/>
  <c r="P353" i="5" s="1"/>
  <c r="L467" i="5"/>
  <c r="F469" i="5"/>
  <c r="R469" i="5"/>
  <c r="K468" i="5"/>
  <c r="M468" i="5" s="1"/>
  <c r="S468" i="5"/>
  <c r="G468" i="5" s="1"/>
  <c r="J468" i="5" s="1"/>
  <c r="C472" i="5"/>
  <c r="T471" i="5"/>
  <c r="Q354" i="5" l="1"/>
  <c r="R470" i="5"/>
  <c r="S469" i="5"/>
  <c r="G469" i="5" s="1"/>
  <c r="J469" i="5" s="1"/>
  <c r="K469" i="5"/>
  <c r="M469" i="5" s="1"/>
  <c r="F470" i="5"/>
  <c r="T472" i="5"/>
  <c r="C473" i="5"/>
  <c r="L468" i="5"/>
  <c r="O354" i="5" l="1"/>
  <c r="P354" i="5" s="1"/>
  <c r="H355" i="5"/>
  <c r="N354" i="5"/>
  <c r="L469" i="5"/>
  <c r="R471" i="5"/>
  <c r="S470" i="5"/>
  <c r="G470" i="5" s="1"/>
  <c r="J470" i="5" s="1"/>
  <c r="K470" i="5"/>
  <c r="M470" i="5" s="1"/>
  <c r="T473" i="5"/>
  <c r="C474" i="5"/>
  <c r="F471" i="5"/>
  <c r="Q355" i="5" l="1"/>
  <c r="I355" i="5"/>
  <c r="L470" i="5"/>
  <c r="F472" i="5"/>
  <c r="C475" i="5"/>
  <c r="T474" i="5"/>
  <c r="R472" i="5"/>
  <c r="S471" i="5"/>
  <c r="G471" i="5" s="1"/>
  <c r="J471" i="5" s="1"/>
  <c r="K471" i="5"/>
  <c r="M471" i="5" s="1"/>
  <c r="O355" i="5" l="1"/>
  <c r="P355" i="5" s="1"/>
  <c r="N355" i="5"/>
  <c r="H356" i="5"/>
  <c r="I356" i="5" s="1"/>
  <c r="Q356" i="5"/>
  <c r="F473" i="5"/>
  <c r="R473" i="5"/>
  <c r="K472" i="5"/>
  <c r="M472" i="5" s="1"/>
  <c r="S472" i="5"/>
  <c r="V43" i="5" s="1"/>
  <c r="L471" i="5"/>
  <c r="C476" i="5"/>
  <c r="T475" i="5"/>
  <c r="O356" i="5" l="1"/>
  <c r="P356" i="5" s="1"/>
  <c r="N356" i="5"/>
  <c r="H357" i="5"/>
  <c r="I357" i="5" s="1"/>
  <c r="Q357" i="5"/>
  <c r="S473" i="5"/>
  <c r="G473" i="5" s="1"/>
  <c r="J473" i="5" s="1"/>
  <c r="K473" i="5"/>
  <c r="M473" i="5" s="1"/>
  <c r="R474" i="5"/>
  <c r="G472" i="5"/>
  <c r="J472" i="5" s="1"/>
  <c r="T476" i="5"/>
  <c r="C477" i="5"/>
  <c r="L472" i="5"/>
  <c r="F474" i="5"/>
  <c r="N357" i="5" l="1"/>
  <c r="O357" i="5"/>
  <c r="P357" i="5" s="1"/>
  <c r="H358" i="5"/>
  <c r="Q358" i="5"/>
  <c r="I358" i="5"/>
  <c r="L473" i="5"/>
  <c r="R475" i="5"/>
  <c r="S474" i="5"/>
  <c r="G474" i="5" s="1"/>
  <c r="J474" i="5" s="1"/>
  <c r="K474" i="5"/>
  <c r="M474" i="5" s="1"/>
  <c r="C478" i="5"/>
  <c r="T477" i="5"/>
  <c r="F475" i="5"/>
  <c r="N358" i="5" l="1"/>
  <c r="O358" i="5"/>
  <c r="P358" i="5" s="1"/>
  <c r="H359" i="5"/>
  <c r="I359" i="5" s="1"/>
  <c r="Q359" i="5"/>
  <c r="L474" i="5"/>
  <c r="R476" i="5"/>
  <c r="S475" i="5"/>
  <c r="G475" i="5" s="1"/>
  <c r="J475" i="5" s="1"/>
  <c r="K475" i="5"/>
  <c r="M475" i="5" s="1"/>
  <c r="F476" i="5"/>
  <c r="C479" i="5"/>
  <c r="T478" i="5"/>
  <c r="H360" i="5" l="1"/>
  <c r="Q360" i="5" s="1"/>
  <c r="O359" i="5"/>
  <c r="P359" i="5" s="1"/>
  <c r="N359" i="5"/>
  <c r="L475" i="5"/>
  <c r="F477" i="5"/>
  <c r="R477" i="5"/>
  <c r="K476" i="5"/>
  <c r="M476" i="5" s="1"/>
  <c r="S476" i="5"/>
  <c r="G476" i="5" s="1"/>
  <c r="J476" i="5" s="1"/>
  <c r="T479" i="5"/>
  <c r="C480" i="5"/>
  <c r="N360" i="5" l="1"/>
  <c r="H361" i="5"/>
  <c r="Q361" i="5" s="1"/>
  <c r="O360" i="5"/>
  <c r="P360" i="5" s="1"/>
  <c r="I360" i="5"/>
  <c r="I361" i="5" s="1"/>
  <c r="L476" i="5"/>
  <c r="F478" i="5"/>
  <c r="R478" i="5"/>
  <c r="S477" i="5"/>
  <c r="G477" i="5" s="1"/>
  <c r="J477" i="5" s="1"/>
  <c r="K477" i="5"/>
  <c r="M477" i="5" s="1"/>
  <c r="T480" i="5"/>
  <c r="C481" i="5"/>
  <c r="H362" i="5" l="1"/>
  <c r="N361" i="5"/>
  <c r="O361" i="5"/>
  <c r="P361" i="5" s="1"/>
  <c r="L477" i="5"/>
  <c r="R479" i="5"/>
  <c r="S478" i="5"/>
  <c r="G478" i="5" s="1"/>
  <c r="J478" i="5" s="1"/>
  <c r="K478" i="5"/>
  <c r="M478" i="5" s="1"/>
  <c r="F479" i="5"/>
  <c r="T481" i="5"/>
  <c r="C482" i="5"/>
  <c r="Q362" i="5" l="1"/>
  <c r="I362" i="5"/>
  <c r="R480" i="5"/>
  <c r="K479" i="5"/>
  <c r="M479" i="5" s="1"/>
  <c r="S479" i="5"/>
  <c r="G479" i="5" s="1"/>
  <c r="J479" i="5" s="1"/>
  <c r="T482" i="5"/>
  <c r="C483" i="5"/>
  <c r="L478" i="5"/>
  <c r="F480" i="5"/>
  <c r="O362" i="5" l="1"/>
  <c r="P362" i="5" s="1"/>
  <c r="N362" i="5"/>
  <c r="H363" i="5"/>
  <c r="Q363" i="5" s="1"/>
  <c r="L479" i="5"/>
  <c r="R481" i="5"/>
  <c r="K480" i="5"/>
  <c r="M480" i="5" s="1"/>
  <c r="S480" i="5"/>
  <c r="G480" i="5" s="1"/>
  <c r="J480" i="5" s="1"/>
  <c r="T483" i="5"/>
  <c r="C484" i="5"/>
  <c r="F481" i="5"/>
  <c r="H364" i="5" l="1"/>
  <c r="N363" i="5"/>
  <c r="O363" i="5"/>
  <c r="P363" i="5" s="1"/>
  <c r="Q364" i="5"/>
  <c r="I363" i="5"/>
  <c r="F482" i="5"/>
  <c r="R482" i="5"/>
  <c r="K481" i="5"/>
  <c r="M481" i="5" s="1"/>
  <c r="S481" i="5"/>
  <c r="G481" i="5" s="1"/>
  <c r="J481" i="5" s="1"/>
  <c r="L480" i="5"/>
  <c r="T484" i="5"/>
  <c r="C485" i="5"/>
  <c r="N364" i="5" l="1"/>
  <c r="O364" i="5"/>
  <c r="P364" i="5" s="1"/>
  <c r="H365" i="5"/>
  <c r="Q365" i="5"/>
  <c r="I364" i="5"/>
  <c r="L481" i="5"/>
  <c r="R483" i="5"/>
  <c r="K482" i="5"/>
  <c r="M482" i="5" s="1"/>
  <c r="S482" i="5"/>
  <c r="G482" i="5" s="1"/>
  <c r="J482" i="5" s="1"/>
  <c r="F483" i="5"/>
  <c r="T485" i="5"/>
  <c r="C486" i="5"/>
  <c r="H366" i="5" l="1"/>
  <c r="O365" i="5"/>
  <c r="P365" i="5" s="1"/>
  <c r="N365" i="5"/>
  <c r="Q366" i="5"/>
  <c r="I365" i="5"/>
  <c r="L482" i="5"/>
  <c r="T486" i="5"/>
  <c r="C487" i="5"/>
  <c r="R484" i="5"/>
  <c r="K483" i="5"/>
  <c r="M483" i="5" s="1"/>
  <c r="S483" i="5"/>
  <c r="G483" i="5" s="1"/>
  <c r="J483" i="5" s="1"/>
  <c r="F484" i="5"/>
  <c r="H367" i="5" l="1"/>
  <c r="N366" i="5"/>
  <c r="O366" i="5"/>
  <c r="P366" i="5" s="1"/>
  <c r="Q367" i="5"/>
  <c r="I366" i="5"/>
  <c r="L483" i="5"/>
  <c r="F485" i="5"/>
  <c r="R485" i="5"/>
  <c r="S484" i="5"/>
  <c r="G484" i="5" s="1"/>
  <c r="K484" i="5"/>
  <c r="M484" i="5" s="1"/>
  <c r="T487" i="5"/>
  <c r="C488" i="5"/>
  <c r="N367" i="5" l="1"/>
  <c r="H368" i="5"/>
  <c r="Q368" i="5"/>
  <c r="O367" i="5"/>
  <c r="P367" i="5" s="1"/>
  <c r="I367" i="5"/>
  <c r="L484" i="5"/>
  <c r="AE47" i="5"/>
  <c r="M12" i="3" s="1"/>
  <c r="J484" i="5"/>
  <c r="AF47" i="5" s="1"/>
  <c r="O12" i="3" s="1"/>
  <c r="C489" i="5"/>
  <c r="T488" i="5"/>
  <c r="F486" i="5"/>
  <c r="V44" i="5"/>
  <c r="AD47" i="5"/>
  <c r="M27" i="3" s="1"/>
  <c r="R486" i="5"/>
  <c r="S485" i="5"/>
  <c r="G485" i="5" s="1"/>
  <c r="J485" i="5" s="1"/>
  <c r="K485" i="5"/>
  <c r="M485" i="5" s="1"/>
  <c r="H369" i="5" l="1"/>
  <c r="N368" i="5"/>
  <c r="O368" i="5"/>
  <c r="P368" i="5" s="1"/>
  <c r="I368" i="5"/>
  <c r="T489" i="5"/>
  <c r="C490" i="5"/>
  <c r="L485" i="5"/>
  <c r="F487" i="5"/>
  <c r="R487" i="5"/>
  <c r="S486" i="5"/>
  <c r="G486" i="5" s="1"/>
  <c r="J486" i="5" s="1"/>
  <c r="K486" i="5"/>
  <c r="M486" i="5" s="1"/>
  <c r="I369" i="5" l="1"/>
  <c r="Q369" i="5"/>
  <c r="F488" i="5"/>
  <c r="R488" i="5"/>
  <c r="K487" i="5"/>
  <c r="M487" i="5" s="1"/>
  <c r="S487" i="5"/>
  <c r="G487" i="5" s="1"/>
  <c r="J487" i="5" s="1"/>
  <c r="L486" i="5"/>
  <c r="T490" i="5"/>
  <c r="C491" i="5"/>
  <c r="N369" i="5" l="1"/>
  <c r="O369" i="5"/>
  <c r="P369" i="5" s="1"/>
  <c r="H370" i="5"/>
  <c r="Q370" i="5"/>
  <c r="I370" i="5"/>
  <c r="R489" i="5"/>
  <c r="K488" i="5"/>
  <c r="M488" i="5" s="1"/>
  <c r="S488" i="5"/>
  <c r="G488" i="5" s="1"/>
  <c r="J488" i="5" s="1"/>
  <c r="F489" i="5"/>
  <c r="T491" i="5"/>
  <c r="C492" i="5"/>
  <c r="L487" i="5"/>
  <c r="H371" i="5" l="1"/>
  <c r="O370" i="5"/>
  <c r="P370" i="5" s="1"/>
  <c r="N370" i="5"/>
  <c r="T492" i="5"/>
  <c r="C493" i="5"/>
  <c r="R490" i="5"/>
  <c r="K489" i="5"/>
  <c r="M489" i="5" s="1"/>
  <c r="S489" i="5"/>
  <c r="G489" i="5" s="1"/>
  <c r="J489" i="5" s="1"/>
  <c r="F490" i="5"/>
  <c r="L488" i="5"/>
  <c r="I371" i="5" l="1"/>
  <c r="Q371" i="5"/>
  <c r="L489" i="5"/>
  <c r="F491" i="5"/>
  <c r="S490" i="5"/>
  <c r="G490" i="5" s="1"/>
  <c r="J490" i="5" s="1"/>
  <c r="R491" i="5"/>
  <c r="K490" i="5"/>
  <c r="M490" i="5" s="1"/>
  <c r="T493" i="5"/>
  <c r="C494" i="5"/>
  <c r="N371" i="5" l="1"/>
  <c r="O371" i="5"/>
  <c r="P371" i="5" s="1"/>
  <c r="H372" i="5"/>
  <c r="F492" i="5"/>
  <c r="L490" i="5"/>
  <c r="T494" i="5"/>
  <c r="C495" i="5"/>
  <c r="R492" i="5"/>
  <c r="K491" i="5"/>
  <c r="M491" i="5" s="1"/>
  <c r="S491" i="5"/>
  <c r="G491" i="5" s="1"/>
  <c r="J491" i="5" s="1"/>
  <c r="I372" i="5" l="1"/>
  <c r="Q372" i="5"/>
  <c r="L491" i="5"/>
  <c r="T495" i="5"/>
  <c r="C496" i="5"/>
  <c r="F493" i="5"/>
  <c r="R493" i="5"/>
  <c r="K492" i="5"/>
  <c r="M492" i="5" s="1"/>
  <c r="S492" i="5"/>
  <c r="G492" i="5" s="1"/>
  <c r="J492" i="5" s="1"/>
  <c r="O372" i="5" l="1"/>
  <c r="P372" i="5" s="1"/>
  <c r="H373" i="5"/>
  <c r="I373" i="5" s="1"/>
  <c r="N372" i="5"/>
  <c r="Q373" i="5"/>
  <c r="O373" i="5" s="1"/>
  <c r="P373" i="5" s="1"/>
  <c r="N373" i="5"/>
  <c r="H374" i="5"/>
  <c r="I374" i="5" s="1"/>
  <c r="R494" i="5"/>
  <c r="S493" i="5"/>
  <c r="G493" i="5" s="1"/>
  <c r="J493" i="5" s="1"/>
  <c r="K493" i="5"/>
  <c r="M493" i="5" s="1"/>
  <c r="L492" i="5"/>
  <c r="T496" i="5"/>
  <c r="C497" i="5"/>
  <c r="F494" i="5"/>
  <c r="Q374" i="5" l="1"/>
  <c r="H375" i="5" s="1"/>
  <c r="I375" i="5" s="1"/>
  <c r="L493" i="5"/>
  <c r="R495" i="5"/>
  <c r="S494" i="5"/>
  <c r="G494" i="5" s="1"/>
  <c r="J494" i="5" s="1"/>
  <c r="K494" i="5"/>
  <c r="M494" i="5" s="1"/>
  <c r="F495" i="5"/>
  <c r="C498" i="5"/>
  <c r="T497" i="5"/>
  <c r="Q375" i="5" l="1"/>
  <c r="O374" i="5"/>
  <c r="P374" i="5" s="1"/>
  <c r="N374" i="5"/>
  <c r="O375" i="5"/>
  <c r="P375" i="5" s="1"/>
  <c r="N375" i="5"/>
  <c r="H376" i="5"/>
  <c r="I376" i="5" s="1"/>
  <c r="L494" i="5"/>
  <c r="F496" i="5"/>
  <c r="T498" i="5"/>
  <c r="C499" i="5"/>
  <c r="R496" i="5"/>
  <c r="K495" i="5"/>
  <c r="M495" i="5" s="1"/>
  <c r="S495" i="5"/>
  <c r="G495" i="5" s="1"/>
  <c r="J495" i="5" s="1"/>
  <c r="Q376" i="5" l="1"/>
  <c r="R497" i="5"/>
  <c r="S496" i="5"/>
  <c r="V45" i="5" s="1"/>
  <c r="K496" i="5"/>
  <c r="M496" i="5" s="1"/>
  <c r="F497" i="5"/>
  <c r="L495" i="5"/>
  <c r="T499" i="5"/>
  <c r="C500" i="5"/>
  <c r="O376" i="5" l="1"/>
  <c r="P376" i="5" s="1"/>
  <c r="H377" i="5"/>
  <c r="N376" i="5"/>
  <c r="G496" i="5"/>
  <c r="J496" i="5" s="1"/>
  <c r="L496" i="5"/>
  <c r="F498" i="5"/>
  <c r="S497" i="5"/>
  <c r="G497" i="5" s="1"/>
  <c r="J497" i="5" s="1"/>
  <c r="K497" i="5"/>
  <c r="M497" i="5" s="1"/>
  <c r="R498" i="5"/>
  <c r="T500" i="5"/>
  <c r="C501" i="5"/>
  <c r="I377" i="5" l="1"/>
  <c r="Q377" i="5"/>
  <c r="S498" i="5"/>
  <c r="G498" i="5" s="1"/>
  <c r="J498" i="5" s="1"/>
  <c r="K498" i="5"/>
  <c r="M498" i="5" s="1"/>
  <c r="R499" i="5"/>
  <c r="T501" i="5"/>
  <c r="C502" i="5"/>
  <c r="L497" i="5"/>
  <c r="F499" i="5"/>
  <c r="H378" i="5" l="1"/>
  <c r="Q378" i="5" s="1"/>
  <c r="O377" i="5"/>
  <c r="P377" i="5" s="1"/>
  <c r="N377" i="5"/>
  <c r="L498" i="5"/>
  <c r="T502" i="5"/>
  <c r="C503" i="5"/>
  <c r="R500" i="5"/>
  <c r="K499" i="5"/>
  <c r="M499" i="5" s="1"/>
  <c r="S499" i="5"/>
  <c r="G499" i="5" s="1"/>
  <c r="J499" i="5" s="1"/>
  <c r="F500" i="5"/>
  <c r="I378" i="5" l="1"/>
  <c r="O378" i="5"/>
  <c r="P378" i="5" s="1"/>
  <c r="N378" i="5"/>
  <c r="H379" i="5"/>
  <c r="L499" i="5"/>
  <c r="R501" i="5"/>
  <c r="K500" i="5"/>
  <c r="M500" i="5" s="1"/>
  <c r="S500" i="5"/>
  <c r="G500" i="5" s="1"/>
  <c r="J500" i="5" s="1"/>
  <c r="F501" i="5"/>
  <c r="T503" i="5"/>
  <c r="C504" i="5"/>
  <c r="I379" i="5" l="1"/>
  <c r="Q379" i="5"/>
  <c r="O379" i="5" s="1"/>
  <c r="P379" i="5" s="1"/>
  <c r="N379" i="5"/>
  <c r="L500" i="5"/>
  <c r="F502" i="5"/>
  <c r="C505" i="5"/>
  <c r="T504" i="5"/>
  <c r="R502" i="5"/>
  <c r="K501" i="5"/>
  <c r="M501" i="5" s="1"/>
  <c r="S501" i="5"/>
  <c r="H380" i="5" l="1"/>
  <c r="Q380" i="5" s="1"/>
  <c r="I380" i="5"/>
  <c r="O380" i="5"/>
  <c r="P380" i="5" s="1"/>
  <c r="H381" i="5"/>
  <c r="I381" i="5" s="1"/>
  <c r="N380" i="5"/>
  <c r="G501" i="5"/>
  <c r="J501" i="5" s="1"/>
  <c r="F503" i="5"/>
  <c r="L501" i="5"/>
  <c r="R503" i="5"/>
  <c r="S502" i="5"/>
  <c r="G502" i="5" s="1"/>
  <c r="J502" i="5" s="1"/>
  <c r="K502" i="5"/>
  <c r="M502" i="5" s="1"/>
  <c r="C506" i="5"/>
  <c r="T505" i="5"/>
  <c r="Q381" i="5" l="1"/>
  <c r="H382" i="5" s="1"/>
  <c r="L502" i="5"/>
  <c r="T506" i="5"/>
  <c r="C507" i="5"/>
  <c r="F504" i="5"/>
  <c r="R504" i="5"/>
  <c r="S503" i="5"/>
  <c r="G503" i="5" s="1"/>
  <c r="J503" i="5" s="1"/>
  <c r="K503" i="5"/>
  <c r="M503" i="5" s="1"/>
  <c r="N381" i="5" l="1"/>
  <c r="O381" i="5"/>
  <c r="P381" i="5" s="1"/>
  <c r="Q382" i="5"/>
  <c r="I382" i="5"/>
  <c r="L503" i="5"/>
  <c r="R505" i="5"/>
  <c r="S504" i="5"/>
  <c r="G504" i="5" s="1"/>
  <c r="J504" i="5" s="1"/>
  <c r="K504" i="5"/>
  <c r="M504" i="5" s="1"/>
  <c r="T507" i="5"/>
  <c r="C508" i="5"/>
  <c r="F505" i="5"/>
  <c r="O382" i="5" l="1"/>
  <c r="P382" i="5" s="1"/>
  <c r="H383" i="5"/>
  <c r="N382" i="5"/>
  <c r="S505" i="5"/>
  <c r="G505" i="5" s="1"/>
  <c r="J505" i="5" s="1"/>
  <c r="K505" i="5"/>
  <c r="M505" i="5" s="1"/>
  <c r="R506" i="5"/>
  <c r="L504" i="5"/>
  <c r="T508" i="5"/>
  <c r="C509" i="5"/>
  <c r="F506" i="5"/>
  <c r="I383" i="5" l="1"/>
  <c r="Q383" i="5"/>
  <c r="L505" i="5"/>
  <c r="R507" i="5"/>
  <c r="S506" i="5"/>
  <c r="G506" i="5" s="1"/>
  <c r="J506" i="5" s="1"/>
  <c r="K506" i="5"/>
  <c r="M506" i="5" s="1"/>
  <c r="T509" i="5"/>
  <c r="C510" i="5"/>
  <c r="F507" i="5"/>
  <c r="H384" i="5" l="1"/>
  <c r="I384" i="5" s="1"/>
  <c r="N383" i="5"/>
  <c r="O383" i="5"/>
  <c r="P383" i="5" s="1"/>
  <c r="L506" i="5"/>
  <c r="R508" i="5"/>
  <c r="K507" i="5"/>
  <c r="M507" i="5" s="1"/>
  <c r="S507" i="5"/>
  <c r="G507" i="5" s="1"/>
  <c r="J507" i="5" s="1"/>
  <c r="T510" i="5"/>
  <c r="C511" i="5"/>
  <c r="F508" i="5"/>
  <c r="Q384" i="5" l="1"/>
  <c r="N384" i="5" s="1"/>
  <c r="L507" i="5"/>
  <c r="T511" i="5"/>
  <c r="C512" i="5"/>
  <c r="F509" i="5"/>
  <c r="R509" i="5"/>
  <c r="K508" i="5"/>
  <c r="M508" i="5" s="1"/>
  <c r="S508" i="5"/>
  <c r="V46" i="5" s="1"/>
  <c r="H385" i="5" l="1"/>
  <c r="Q385" i="5" s="1"/>
  <c r="O384" i="5"/>
  <c r="P384" i="5" s="1"/>
  <c r="R510" i="5"/>
  <c r="S509" i="5"/>
  <c r="G509" i="5" s="1"/>
  <c r="J509" i="5" s="1"/>
  <c r="K509" i="5"/>
  <c r="M509" i="5" s="1"/>
  <c r="L508" i="5"/>
  <c r="G508" i="5"/>
  <c r="J508" i="5" s="1"/>
  <c r="F510" i="5"/>
  <c r="C513" i="5"/>
  <c r="T512" i="5"/>
  <c r="I385" i="5" l="1"/>
  <c r="N385" i="5"/>
  <c r="O385" i="5"/>
  <c r="P385" i="5" s="1"/>
  <c r="H386" i="5"/>
  <c r="L509" i="5"/>
  <c r="C514" i="5"/>
  <c r="T513" i="5"/>
  <c r="F511" i="5"/>
  <c r="R511" i="5"/>
  <c r="S510" i="5"/>
  <c r="G510" i="5" s="1"/>
  <c r="J510" i="5" s="1"/>
  <c r="K510" i="5"/>
  <c r="M510" i="5" s="1"/>
  <c r="I386" i="5" l="1"/>
  <c r="Q386" i="5"/>
  <c r="R512" i="5"/>
  <c r="K511" i="5"/>
  <c r="M511" i="5" s="1"/>
  <c r="S511" i="5"/>
  <c r="G511" i="5" s="1"/>
  <c r="J511" i="5" s="1"/>
  <c r="T514" i="5"/>
  <c r="C515" i="5"/>
  <c r="F512" i="5"/>
  <c r="L510" i="5"/>
  <c r="H387" i="5" l="1"/>
  <c r="Q387" i="5" s="1"/>
  <c r="N386" i="5"/>
  <c r="O386" i="5"/>
  <c r="P386" i="5" s="1"/>
  <c r="L511" i="5"/>
  <c r="T515" i="5"/>
  <c r="C516" i="5"/>
  <c r="F513" i="5"/>
  <c r="R513" i="5"/>
  <c r="K512" i="5"/>
  <c r="M512" i="5" s="1"/>
  <c r="S512" i="5"/>
  <c r="G512" i="5" s="1"/>
  <c r="J512" i="5" s="1"/>
  <c r="I387" i="5" l="1"/>
  <c r="H388" i="5"/>
  <c r="N387" i="5"/>
  <c r="O387" i="5"/>
  <c r="P387" i="5" s="1"/>
  <c r="R514" i="5"/>
  <c r="K513" i="5"/>
  <c r="M513" i="5" s="1"/>
  <c r="S513" i="5"/>
  <c r="G513" i="5" s="1"/>
  <c r="J513" i="5" s="1"/>
  <c r="T516" i="5"/>
  <c r="C517" i="5"/>
  <c r="F514" i="5"/>
  <c r="L512" i="5"/>
  <c r="I388" i="5" l="1"/>
  <c r="Q388" i="5"/>
  <c r="L513" i="5"/>
  <c r="F515" i="5"/>
  <c r="R515" i="5"/>
  <c r="S514" i="5"/>
  <c r="G514" i="5" s="1"/>
  <c r="J514" i="5" s="1"/>
  <c r="K514" i="5"/>
  <c r="M514" i="5" s="1"/>
  <c r="T517" i="5"/>
  <c r="C518" i="5"/>
  <c r="H389" i="5" l="1"/>
  <c r="I389" i="5" s="1"/>
  <c r="N388" i="5"/>
  <c r="O388" i="5"/>
  <c r="P388" i="5" s="1"/>
  <c r="F516" i="5"/>
  <c r="L514" i="5"/>
  <c r="T518" i="5"/>
  <c r="C519" i="5"/>
  <c r="R516" i="5"/>
  <c r="K515" i="5"/>
  <c r="M515" i="5" s="1"/>
  <c r="S515" i="5"/>
  <c r="G515" i="5" s="1"/>
  <c r="J515" i="5" s="1"/>
  <c r="Q389" i="5" l="1"/>
  <c r="H390" i="5" s="1"/>
  <c r="L515" i="5"/>
  <c r="R517" i="5"/>
  <c r="S516" i="5"/>
  <c r="G516" i="5" s="1"/>
  <c r="J516" i="5" s="1"/>
  <c r="K516" i="5"/>
  <c r="M516" i="5" s="1"/>
  <c r="F517" i="5"/>
  <c r="T519" i="5"/>
  <c r="C520" i="5"/>
  <c r="Q390" i="5" l="1"/>
  <c r="N390" i="5" s="1"/>
  <c r="I390" i="5"/>
  <c r="N389" i="5"/>
  <c r="O389" i="5"/>
  <c r="P389" i="5" s="1"/>
  <c r="L516" i="5"/>
  <c r="F518" i="5"/>
  <c r="R518" i="5"/>
  <c r="S517" i="5"/>
  <c r="G517" i="5" s="1"/>
  <c r="J517" i="5" s="1"/>
  <c r="K517" i="5"/>
  <c r="M517" i="5" s="1"/>
  <c r="C521" i="5"/>
  <c r="T520" i="5"/>
  <c r="H391" i="5" l="1"/>
  <c r="O390" i="5"/>
  <c r="P390" i="5" s="1"/>
  <c r="C522" i="5"/>
  <c r="T521" i="5"/>
  <c r="R519" i="5"/>
  <c r="S518" i="5"/>
  <c r="G518" i="5" s="1"/>
  <c r="J518" i="5" s="1"/>
  <c r="K518" i="5"/>
  <c r="M518" i="5" s="1"/>
  <c r="L517" i="5"/>
  <c r="F519" i="5"/>
  <c r="Q391" i="5" l="1"/>
  <c r="I391" i="5"/>
  <c r="R520" i="5"/>
  <c r="K519" i="5"/>
  <c r="M519" i="5" s="1"/>
  <c r="S519" i="5"/>
  <c r="G519" i="5" s="1"/>
  <c r="J519" i="5" s="1"/>
  <c r="T522" i="5"/>
  <c r="C523" i="5"/>
  <c r="F520" i="5"/>
  <c r="L518" i="5"/>
  <c r="N391" i="5" l="1"/>
  <c r="O391" i="5"/>
  <c r="P391" i="5" s="1"/>
  <c r="H392" i="5"/>
  <c r="L519" i="5"/>
  <c r="F521" i="5"/>
  <c r="T523" i="5"/>
  <c r="C524" i="5"/>
  <c r="R521" i="5"/>
  <c r="K520" i="5"/>
  <c r="M520" i="5" s="1"/>
  <c r="S520" i="5"/>
  <c r="V47" i="5" s="1"/>
  <c r="Q392" i="5" l="1"/>
  <c r="I392" i="5"/>
  <c r="L520" i="5"/>
  <c r="G520" i="5"/>
  <c r="J520" i="5" s="1"/>
  <c r="F522" i="5"/>
  <c r="T524" i="5"/>
  <c r="C525" i="5"/>
  <c r="R522" i="5"/>
  <c r="K521" i="5"/>
  <c r="M521" i="5" s="1"/>
  <c r="S521" i="5"/>
  <c r="G521" i="5" s="1"/>
  <c r="J521" i="5" s="1"/>
  <c r="N392" i="5" l="1"/>
  <c r="H393" i="5"/>
  <c r="Q393" i="5" s="1"/>
  <c r="O392" i="5"/>
  <c r="P392" i="5" s="1"/>
  <c r="I393" i="5"/>
  <c r="F523" i="5"/>
  <c r="L521" i="5"/>
  <c r="S522" i="5"/>
  <c r="G522" i="5" s="1"/>
  <c r="J522" i="5" s="1"/>
  <c r="R523" i="5"/>
  <c r="K522" i="5"/>
  <c r="M522" i="5" s="1"/>
  <c r="T525" i="5"/>
  <c r="C526" i="5"/>
  <c r="H394" i="5" l="1"/>
  <c r="I394" i="5" s="1"/>
  <c r="N393" i="5"/>
  <c r="O393" i="5"/>
  <c r="P393" i="5" s="1"/>
  <c r="Q394" i="5"/>
  <c r="R524" i="5"/>
  <c r="K523" i="5"/>
  <c r="M523" i="5" s="1"/>
  <c r="S523" i="5"/>
  <c r="G523" i="5" s="1"/>
  <c r="J523" i="5" s="1"/>
  <c r="F524" i="5"/>
  <c r="L522" i="5"/>
  <c r="T526" i="5"/>
  <c r="C527" i="5"/>
  <c r="N394" i="5" l="1"/>
  <c r="H395" i="5"/>
  <c r="Q395" i="5" s="1"/>
  <c r="O394" i="5"/>
  <c r="P394" i="5" s="1"/>
  <c r="R525" i="5"/>
  <c r="K524" i="5"/>
  <c r="M524" i="5" s="1"/>
  <c r="S524" i="5"/>
  <c r="G524" i="5" s="1"/>
  <c r="J524" i="5" s="1"/>
  <c r="T527" i="5"/>
  <c r="C528" i="5"/>
  <c r="L523" i="5"/>
  <c r="F525" i="5"/>
  <c r="I395" i="5" l="1"/>
  <c r="N395" i="5"/>
  <c r="O395" i="5"/>
  <c r="P395" i="5" s="1"/>
  <c r="H396" i="5"/>
  <c r="Q396" i="5" s="1"/>
  <c r="L524" i="5"/>
  <c r="F526" i="5"/>
  <c r="T528" i="5"/>
  <c r="C529" i="5"/>
  <c r="R526" i="5"/>
  <c r="S525" i="5"/>
  <c r="G525" i="5" s="1"/>
  <c r="J525" i="5" s="1"/>
  <c r="K525" i="5"/>
  <c r="M525" i="5" s="1"/>
  <c r="I396" i="5" l="1"/>
  <c r="H397" i="5"/>
  <c r="Q397" i="5" s="1"/>
  <c r="N396" i="5"/>
  <c r="O396" i="5"/>
  <c r="P396" i="5" s="1"/>
  <c r="L525" i="5"/>
  <c r="F527" i="5"/>
  <c r="T529" i="5"/>
  <c r="C530" i="5"/>
  <c r="R527" i="5"/>
  <c r="S526" i="5"/>
  <c r="G526" i="5" s="1"/>
  <c r="J526" i="5" s="1"/>
  <c r="K526" i="5"/>
  <c r="M526" i="5" s="1"/>
  <c r="I397" i="5" l="1"/>
  <c r="N397" i="5"/>
  <c r="O397" i="5"/>
  <c r="P397" i="5" s="1"/>
  <c r="H398" i="5"/>
  <c r="Q398" i="5" s="1"/>
  <c r="T530" i="5"/>
  <c r="C531" i="5"/>
  <c r="L526" i="5"/>
  <c r="F528" i="5"/>
  <c r="R528" i="5"/>
  <c r="K527" i="5"/>
  <c r="M527" i="5" s="1"/>
  <c r="S527" i="5"/>
  <c r="G527" i="5" s="1"/>
  <c r="J527" i="5" s="1"/>
  <c r="I398" i="5" l="1"/>
  <c r="N398" i="5"/>
  <c r="H399" i="5"/>
  <c r="Q399" i="5" s="1"/>
  <c r="O398" i="5"/>
  <c r="P398" i="5" s="1"/>
  <c r="L527" i="5"/>
  <c r="R529" i="5"/>
  <c r="S528" i="5"/>
  <c r="G528" i="5" s="1"/>
  <c r="J528" i="5" s="1"/>
  <c r="K528" i="5"/>
  <c r="M528" i="5" s="1"/>
  <c r="T531" i="5"/>
  <c r="C532" i="5"/>
  <c r="F529" i="5"/>
  <c r="I399" i="5" l="1"/>
  <c r="O399" i="5"/>
  <c r="P399" i="5" s="1"/>
  <c r="H400" i="5"/>
  <c r="N399" i="5"/>
  <c r="T532" i="5"/>
  <c r="C533" i="5"/>
  <c r="L528" i="5"/>
  <c r="S529" i="5"/>
  <c r="G529" i="5" s="1"/>
  <c r="J529" i="5" s="1"/>
  <c r="K529" i="5"/>
  <c r="M529" i="5" s="1"/>
  <c r="R530" i="5"/>
  <c r="F530" i="5"/>
  <c r="Q400" i="5" l="1"/>
  <c r="I400" i="5"/>
  <c r="F531" i="5"/>
  <c r="S530" i="5"/>
  <c r="G530" i="5" s="1"/>
  <c r="J530" i="5" s="1"/>
  <c r="K530" i="5"/>
  <c r="M530" i="5" s="1"/>
  <c r="R531" i="5"/>
  <c r="T533" i="5"/>
  <c r="C534" i="5"/>
  <c r="L529" i="5"/>
  <c r="H401" i="5" l="1"/>
  <c r="Q401" i="5" s="1"/>
  <c r="O400" i="5"/>
  <c r="P400" i="5" s="1"/>
  <c r="N400" i="5"/>
  <c r="L530" i="5"/>
  <c r="R532" i="5"/>
  <c r="K531" i="5"/>
  <c r="M531" i="5" s="1"/>
  <c r="S531" i="5"/>
  <c r="G531" i="5" s="1"/>
  <c r="J531" i="5" s="1"/>
  <c r="F532" i="5"/>
  <c r="C535" i="5"/>
  <c r="T534" i="5"/>
  <c r="H402" i="5" l="1"/>
  <c r="N401" i="5"/>
  <c r="O401" i="5"/>
  <c r="P401" i="5" s="1"/>
  <c r="I401" i="5"/>
  <c r="L531" i="5"/>
  <c r="R533" i="5"/>
  <c r="K532" i="5"/>
  <c r="M532" i="5" s="1"/>
  <c r="S532" i="5"/>
  <c r="V48" i="5" s="1"/>
  <c r="C536" i="5"/>
  <c r="T535" i="5"/>
  <c r="F533" i="5"/>
  <c r="I402" i="5" l="1"/>
  <c r="Q402" i="5"/>
  <c r="L532" i="5"/>
  <c r="R534" i="5"/>
  <c r="K533" i="5"/>
  <c r="M533" i="5" s="1"/>
  <c r="S533" i="5"/>
  <c r="G533" i="5" s="1"/>
  <c r="J533" i="5" s="1"/>
  <c r="T536" i="5"/>
  <c r="C537" i="5"/>
  <c r="F534" i="5"/>
  <c r="G532" i="5"/>
  <c r="J532" i="5" s="1"/>
  <c r="O402" i="5" l="1"/>
  <c r="P402" i="5" s="1"/>
  <c r="H403" i="5"/>
  <c r="I403" i="5" s="1"/>
  <c r="N402" i="5"/>
  <c r="Q403" i="5"/>
  <c r="L533" i="5"/>
  <c r="T537" i="5"/>
  <c r="C538" i="5"/>
  <c r="R535" i="5"/>
  <c r="S534" i="5"/>
  <c r="G534" i="5" s="1"/>
  <c r="J534" i="5" s="1"/>
  <c r="K534" i="5"/>
  <c r="M534" i="5" s="1"/>
  <c r="F535" i="5"/>
  <c r="O403" i="5" l="1"/>
  <c r="P403" i="5" s="1"/>
  <c r="N403" i="5"/>
  <c r="H404" i="5"/>
  <c r="I404" i="5" s="1"/>
  <c r="T538" i="5"/>
  <c r="C539" i="5"/>
  <c r="F536" i="5"/>
  <c r="R536" i="5"/>
  <c r="S535" i="5"/>
  <c r="G535" i="5" s="1"/>
  <c r="J535" i="5" s="1"/>
  <c r="K535" i="5"/>
  <c r="M535" i="5" s="1"/>
  <c r="L534" i="5"/>
  <c r="Q404" i="5" l="1"/>
  <c r="H405" i="5"/>
  <c r="I405" i="5" s="1"/>
  <c r="O404" i="5"/>
  <c r="P404" i="5" s="1"/>
  <c r="N404" i="5"/>
  <c r="L535" i="5"/>
  <c r="F537" i="5"/>
  <c r="T539" i="5"/>
  <c r="C540" i="5"/>
  <c r="R537" i="5"/>
  <c r="S536" i="5"/>
  <c r="G536" i="5" s="1"/>
  <c r="J536" i="5" s="1"/>
  <c r="K536" i="5"/>
  <c r="M536" i="5" s="1"/>
  <c r="Q405" i="5" l="1"/>
  <c r="F538" i="5"/>
  <c r="L536" i="5"/>
  <c r="T540" i="5"/>
  <c r="C541" i="5"/>
  <c r="S537" i="5"/>
  <c r="G537" i="5" s="1"/>
  <c r="J537" i="5" s="1"/>
  <c r="K537" i="5"/>
  <c r="M537" i="5" s="1"/>
  <c r="R538" i="5"/>
  <c r="O405" i="5" l="1"/>
  <c r="P405" i="5" s="1"/>
  <c r="H406" i="5"/>
  <c r="I406" i="5" s="1"/>
  <c r="N405" i="5"/>
  <c r="Q406" i="5"/>
  <c r="L537" i="5"/>
  <c r="F539" i="5"/>
  <c r="T541" i="5"/>
  <c r="C542" i="5"/>
  <c r="R539" i="5"/>
  <c r="S538" i="5"/>
  <c r="G538" i="5" s="1"/>
  <c r="J538" i="5" s="1"/>
  <c r="K538" i="5"/>
  <c r="M538" i="5" s="1"/>
  <c r="O406" i="5" l="1"/>
  <c r="P406" i="5" s="1"/>
  <c r="N406" i="5"/>
  <c r="H407" i="5"/>
  <c r="I407" i="5" s="1"/>
  <c r="F540" i="5"/>
  <c r="C543" i="5"/>
  <c r="T542" i="5"/>
  <c r="R540" i="5"/>
  <c r="K539" i="5"/>
  <c r="M539" i="5" s="1"/>
  <c r="S539" i="5"/>
  <c r="G539" i="5" s="1"/>
  <c r="J539" i="5" s="1"/>
  <c r="L538" i="5"/>
  <c r="Q407" i="5" l="1"/>
  <c r="C544" i="5"/>
  <c r="T543" i="5"/>
  <c r="L539" i="5"/>
  <c r="F541" i="5"/>
  <c r="R541" i="5"/>
  <c r="K540" i="5"/>
  <c r="M540" i="5" s="1"/>
  <c r="S540" i="5"/>
  <c r="G540" i="5" s="1"/>
  <c r="J540" i="5" s="1"/>
  <c r="H408" i="5" l="1"/>
  <c r="I408" i="5" s="1"/>
  <c r="O407" i="5"/>
  <c r="P407" i="5" s="1"/>
  <c r="N407" i="5"/>
  <c r="F542" i="5"/>
  <c r="L540" i="5"/>
  <c r="R542" i="5"/>
  <c r="S541" i="5"/>
  <c r="G541" i="5" s="1"/>
  <c r="J541" i="5" s="1"/>
  <c r="K541" i="5"/>
  <c r="M541" i="5" s="1"/>
  <c r="T544" i="5"/>
  <c r="C545" i="5"/>
  <c r="Q408" i="5" l="1"/>
  <c r="AC12" i="5"/>
  <c r="L541" i="5"/>
  <c r="F543" i="5"/>
  <c r="T545" i="5"/>
  <c r="C546" i="5"/>
  <c r="R543" i="5"/>
  <c r="S542" i="5"/>
  <c r="G542" i="5" s="1"/>
  <c r="J542" i="5" s="1"/>
  <c r="K542" i="5"/>
  <c r="M542" i="5" s="1"/>
  <c r="O408" i="5" l="1"/>
  <c r="P408" i="5" s="1"/>
  <c r="H409" i="5"/>
  <c r="I409" i="5" s="1"/>
  <c r="N408" i="5"/>
  <c r="Q409" i="5"/>
  <c r="AC8" i="5"/>
  <c r="F544" i="5"/>
  <c r="R544" i="5"/>
  <c r="K543" i="5"/>
  <c r="M543" i="5" s="1"/>
  <c r="S543" i="5"/>
  <c r="G543" i="5" s="1"/>
  <c r="J543" i="5" s="1"/>
  <c r="T546" i="5"/>
  <c r="C547" i="5"/>
  <c r="L542" i="5"/>
  <c r="H410" i="5" l="1"/>
  <c r="I410" i="5" s="1"/>
  <c r="O409" i="5"/>
  <c r="P409" i="5" s="1"/>
  <c r="N409" i="5"/>
  <c r="R545" i="5"/>
  <c r="K544" i="5"/>
  <c r="M544" i="5" s="1"/>
  <c r="S544" i="5"/>
  <c r="G544" i="5" s="1"/>
  <c r="F545" i="5"/>
  <c r="T547" i="5"/>
  <c r="C548" i="5"/>
  <c r="L543" i="5"/>
  <c r="Q410" i="5" l="1"/>
  <c r="L544" i="5"/>
  <c r="J544" i="5"/>
  <c r="AF48" i="5" s="1"/>
  <c r="O13" i="3" s="1"/>
  <c r="AE48" i="5"/>
  <c r="M13" i="3" s="1"/>
  <c r="F546" i="5"/>
  <c r="V49" i="5"/>
  <c r="AD48" i="5"/>
  <c r="M28" i="3" s="1"/>
  <c r="R546" i="5"/>
  <c r="K545" i="5"/>
  <c r="M545" i="5" s="1"/>
  <c r="S545" i="5"/>
  <c r="G545" i="5" s="1"/>
  <c r="J545" i="5" s="1"/>
  <c r="T548" i="5"/>
  <c r="C549" i="5"/>
  <c r="H411" i="5" l="1"/>
  <c r="I411" i="5" s="1"/>
  <c r="O410" i="5"/>
  <c r="P410" i="5" s="1"/>
  <c r="N410" i="5"/>
  <c r="L545" i="5"/>
  <c r="T549" i="5"/>
  <c r="C550" i="5"/>
  <c r="R547" i="5"/>
  <c r="K546" i="5"/>
  <c r="M546" i="5" s="1"/>
  <c r="S546" i="5"/>
  <c r="G546" i="5" s="1"/>
  <c r="J546" i="5" s="1"/>
  <c r="F547" i="5"/>
  <c r="Q411" i="5" l="1"/>
  <c r="L546" i="5"/>
  <c r="R548" i="5"/>
  <c r="K547" i="5"/>
  <c r="M547" i="5" s="1"/>
  <c r="S547" i="5"/>
  <c r="G547" i="5" s="1"/>
  <c r="J547" i="5" s="1"/>
  <c r="F548" i="5"/>
  <c r="C551" i="5"/>
  <c r="T550" i="5"/>
  <c r="N411" i="5" l="1"/>
  <c r="O411" i="5"/>
  <c r="P411" i="5" s="1"/>
  <c r="H412" i="5"/>
  <c r="I412" i="5" s="1"/>
  <c r="F549" i="5"/>
  <c r="L547" i="5"/>
  <c r="R549" i="5"/>
  <c r="S548" i="5"/>
  <c r="G548" i="5" s="1"/>
  <c r="J548" i="5" s="1"/>
  <c r="K548" i="5"/>
  <c r="M548" i="5" s="1"/>
  <c r="T551" i="5"/>
  <c r="C552" i="5"/>
  <c r="Q412" i="5" l="1"/>
  <c r="L548" i="5"/>
  <c r="T552" i="5"/>
  <c r="C553" i="5"/>
  <c r="F550" i="5"/>
  <c r="R550" i="5"/>
  <c r="S549" i="5"/>
  <c r="G549" i="5" s="1"/>
  <c r="J549" i="5" s="1"/>
  <c r="K549" i="5"/>
  <c r="M549" i="5" s="1"/>
  <c r="N412" i="5" l="1"/>
  <c r="O412" i="5"/>
  <c r="P412" i="5" s="1"/>
  <c r="H413" i="5"/>
  <c r="I413" i="5" s="1"/>
  <c r="L549" i="5"/>
  <c r="F551" i="5"/>
  <c r="R551" i="5"/>
  <c r="S550" i="5"/>
  <c r="G550" i="5" s="1"/>
  <c r="J550" i="5" s="1"/>
  <c r="K550" i="5"/>
  <c r="M550" i="5" s="1"/>
  <c r="T553" i="5"/>
  <c r="C554" i="5"/>
  <c r="Q413" i="5" l="1"/>
  <c r="O413" i="5"/>
  <c r="P413" i="5" s="1"/>
  <c r="H414" i="5"/>
  <c r="I414" i="5" s="1"/>
  <c r="N413" i="5"/>
  <c r="Q414" i="5"/>
  <c r="R552" i="5"/>
  <c r="K551" i="5"/>
  <c r="M551" i="5" s="1"/>
  <c r="S551" i="5"/>
  <c r="G551" i="5" s="1"/>
  <c r="J551" i="5" s="1"/>
  <c r="F552" i="5"/>
  <c r="L550" i="5"/>
  <c r="T554" i="5"/>
  <c r="C555" i="5"/>
  <c r="H415" i="5" l="1"/>
  <c r="I415" i="5" s="1"/>
  <c r="N414" i="5"/>
  <c r="O414" i="5"/>
  <c r="P414" i="5" s="1"/>
  <c r="R553" i="5"/>
  <c r="K552" i="5"/>
  <c r="M552" i="5" s="1"/>
  <c r="S552" i="5"/>
  <c r="G552" i="5" s="1"/>
  <c r="J552" i="5" s="1"/>
  <c r="T555" i="5"/>
  <c r="C556" i="5"/>
  <c r="L551" i="5"/>
  <c r="F553" i="5"/>
  <c r="Q415" i="5" l="1"/>
  <c r="L552" i="5"/>
  <c r="T556" i="5"/>
  <c r="C557" i="5"/>
  <c r="F554" i="5"/>
  <c r="R554" i="5"/>
  <c r="K553" i="5"/>
  <c r="M553" i="5" s="1"/>
  <c r="S553" i="5"/>
  <c r="G553" i="5" s="1"/>
  <c r="J553" i="5" s="1"/>
  <c r="O415" i="5" l="1"/>
  <c r="P415" i="5" s="1"/>
  <c r="H416" i="5"/>
  <c r="I416" i="5" s="1"/>
  <c r="N415" i="5"/>
  <c r="Q416" i="5"/>
  <c r="F555" i="5"/>
  <c r="C558" i="5"/>
  <c r="T557" i="5"/>
  <c r="S554" i="5"/>
  <c r="G554" i="5" s="1"/>
  <c r="J554" i="5" s="1"/>
  <c r="R555" i="5"/>
  <c r="K554" i="5"/>
  <c r="M554" i="5" s="1"/>
  <c r="L553" i="5"/>
  <c r="N416" i="5" l="1"/>
  <c r="O416" i="5"/>
  <c r="P416" i="5" s="1"/>
  <c r="H417" i="5"/>
  <c r="I417" i="5" s="1"/>
  <c r="L554" i="5"/>
  <c r="T558" i="5"/>
  <c r="C559" i="5"/>
  <c r="F556" i="5"/>
  <c r="R556" i="5"/>
  <c r="K555" i="5"/>
  <c r="M555" i="5" s="1"/>
  <c r="S555" i="5"/>
  <c r="G555" i="5" s="1"/>
  <c r="J555" i="5" s="1"/>
  <c r="Q417" i="5" l="1"/>
  <c r="L555" i="5"/>
  <c r="F557" i="5"/>
  <c r="T559" i="5"/>
  <c r="C560" i="5"/>
  <c r="R557" i="5"/>
  <c r="K556" i="5"/>
  <c r="M556" i="5" s="1"/>
  <c r="S556" i="5"/>
  <c r="V50" i="5" s="1"/>
  <c r="N417" i="5" l="1"/>
  <c r="H418" i="5"/>
  <c r="I418" i="5" s="1"/>
  <c r="O417" i="5"/>
  <c r="P417" i="5" s="1"/>
  <c r="Q418" i="5"/>
  <c r="G556" i="5"/>
  <c r="J556" i="5" s="1"/>
  <c r="L556" i="5"/>
  <c r="T560" i="5"/>
  <c r="C561" i="5"/>
  <c r="F558" i="5"/>
  <c r="R558" i="5"/>
  <c r="S557" i="5"/>
  <c r="G557" i="5" s="1"/>
  <c r="J557" i="5" s="1"/>
  <c r="K557" i="5"/>
  <c r="M557" i="5" s="1"/>
  <c r="H419" i="5" l="1"/>
  <c r="Q419" i="5" s="1"/>
  <c r="O418" i="5"/>
  <c r="P418" i="5" s="1"/>
  <c r="N418" i="5"/>
  <c r="F559" i="5"/>
  <c r="T561" i="5"/>
  <c r="C562" i="5"/>
  <c r="L557" i="5"/>
  <c r="R559" i="5"/>
  <c r="S558" i="5"/>
  <c r="G558" i="5" s="1"/>
  <c r="J558" i="5" s="1"/>
  <c r="K558" i="5"/>
  <c r="M558" i="5" s="1"/>
  <c r="N419" i="5" l="1"/>
  <c r="H420" i="5"/>
  <c r="Q420" i="5" s="1"/>
  <c r="O419" i="5"/>
  <c r="P419" i="5" s="1"/>
  <c r="I419" i="5"/>
  <c r="I420" i="5" s="1"/>
  <c r="F560" i="5"/>
  <c r="L558" i="5"/>
  <c r="R560" i="5"/>
  <c r="K559" i="5"/>
  <c r="M559" i="5" s="1"/>
  <c r="S559" i="5"/>
  <c r="G559" i="5" s="1"/>
  <c r="J559" i="5" s="1"/>
  <c r="T562" i="5"/>
  <c r="C563" i="5"/>
  <c r="N420" i="5" l="1"/>
  <c r="H421" i="5"/>
  <c r="Q421" i="5" s="1"/>
  <c r="O420" i="5"/>
  <c r="P420" i="5" s="1"/>
  <c r="L559" i="5"/>
  <c r="F561" i="5"/>
  <c r="R561" i="5"/>
  <c r="S560" i="5"/>
  <c r="G560" i="5" s="1"/>
  <c r="J560" i="5" s="1"/>
  <c r="K560" i="5"/>
  <c r="M560" i="5" s="1"/>
  <c r="T563" i="5"/>
  <c r="C564" i="5"/>
  <c r="I421" i="5" l="1"/>
  <c r="N421" i="5"/>
  <c r="O421" i="5"/>
  <c r="P421" i="5" s="1"/>
  <c r="H422" i="5"/>
  <c r="Q422" i="5" s="1"/>
  <c r="S561" i="5"/>
  <c r="G561" i="5" s="1"/>
  <c r="J561" i="5" s="1"/>
  <c r="K561" i="5"/>
  <c r="M561" i="5" s="1"/>
  <c r="R562" i="5"/>
  <c r="F562" i="5"/>
  <c r="L560" i="5"/>
  <c r="C565" i="5"/>
  <c r="T564" i="5"/>
  <c r="I422" i="5" l="1"/>
  <c r="H423" i="5"/>
  <c r="Q423" i="5" s="1"/>
  <c r="N422" i="5"/>
  <c r="O422" i="5"/>
  <c r="P422" i="5" s="1"/>
  <c r="L561" i="5"/>
  <c r="F563" i="5"/>
  <c r="S562" i="5"/>
  <c r="G562" i="5" s="1"/>
  <c r="J562" i="5" s="1"/>
  <c r="R563" i="5"/>
  <c r="K562" i="5"/>
  <c r="M562" i="5" s="1"/>
  <c r="C566" i="5"/>
  <c r="T565" i="5"/>
  <c r="I423" i="5" l="1"/>
  <c r="H424" i="5"/>
  <c r="Q424" i="5" s="1"/>
  <c r="O423" i="5"/>
  <c r="P423" i="5" s="1"/>
  <c r="N423" i="5"/>
  <c r="C567" i="5"/>
  <c r="T566" i="5"/>
  <c r="L562" i="5"/>
  <c r="R564" i="5"/>
  <c r="K563" i="5"/>
  <c r="M563" i="5" s="1"/>
  <c r="S563" i="5"/>
  <c r="G563" i="5" s="1"/>
  <c r="J563" i="5" s="1"/>
  <c r="F564" i="5"/>
  <c r="I424" i="5" l="1"/>
  <c r="N424" i="5"/>
  <c r="H425" i="5"/>
  <c r="Q425" i="5" s="1"/>
  <c r="O424" i="5"/>
  <c r="P424" i="5" s="1"/>
  <c r="R565" i="5"/>
  <c r="K564" i="5"/>
  <c r="M564" i="5" s="1"/>
  <c r="S564" i="5"/>
  <c r="G564" i="5" s="1"/>
  <c r="J564" i="5" s="1"/>
  <c r="C568" i="5"/>
  <c r="T567" i="5"/>
  <c r="F565" i="5"/>
  <c r="L563" i="5"/>
  <c r="I425" i="5" l="1"/>
  <c r="N425" i="5"/>
  <c r="H426" i="5"/>
  <c r="Q426" i="5" s="1"/>
  <c r="O425" i="5"/>
  <c r="P425" i="5" s="1"/>
  <c r="L564" i="5"/>
  <c r="R566" i="5"/>
  <c r="K565" i="5"/>
  <c r="M565" i="5" s="1"/>
  <c r="S565" i="5"/>
  <c r="G565" i="5" s="1"/>
  <c r="J565" i="5" s="1"/>
  <c r="T568" i="5"/>
  <c r="C569" i="5"/>
  <c r="F566" i="5"/>
  <c r="I426" i="5" l="1"/>
  <c r="N426" i="5"/>
  <c r="H427" i="5"/>
  <c r="I427" i="5" s="1"/>
  <c r="O426" i="5"/>
  <c r="P426" i="5" s="1"/>
  <c r="Q427" i="5"/>
  <c r="L565" i="5"/>
  <c r="T569" i="5"/>
  <c r="C570" i="5"/>
  <c r="F567" i="5"/>
  <c r="R567" i="5"/>
  <c r="S566" i="5"/>
  <c r="G566" i="5" s="1"/>
  <c r="J566" i="5" s="1"/>
  <c r="K566" i="5"/>
  <c r="M566" i="5" s="1"/>
  <c r="O427" i="5" l="1"/>
  <c r="P427" i="5" s="1"/>
  <c r="H428" i="5"/>
  <c r="I428" i="5" s="1"/>
  <c r="N427" i="5"/>
  <c r="Q428" i="5"/>
  <c r="F568" i="5"/>
  <c r="L566" i="5"/>
  <c r="T570" i="5"/>
  <c r="C571" i="5"/>
  <c r="R568" i="5"/>
  <c r="S567" i="5"/>
  <c r="G567" i="5" s="1"/>
  <c r="J567" i="5" s="1"/>
  <c r="K567" i="5"/>
  <c r="M567" i="5" s="1"/>
  <c r="O428" i="5" l="1"/>
  <c r="P428" i="5" s="1"/>
  <c r="N428" i="5"/>
  <c r="H429" i="5"/>
  <c r="I429" i="5" s="1"/>
  <c r="L567" i="5"/>
  <c r="T571" i="5"/>
  <c r="C572" i="5"/>
  <c r="F569" i="5"/>
  <c r="R569" i="5"/>
  <c r="S568" i="5"/>
  <c r="V51" i="5" s="1"/>
  <c r="K568" i="5"/>
  <c r="M568" i="5" s="1"/>
  <c r="Q429" i="5" l="1"/>
  <c r="O429" i="5"/>
  <c r="P429" i="5" s="1"/>
  <c r="N429" i="5"/>
  <c r="H430" i="5"/>
  <c r="I430" i="5" s="1"/>
  <c r="Q430" i="5"/>
  <c r="L568" i="5"/>
  <c r="F570" i="5"/>
  <c r="C573" i="5"/>
  <c r="T572" i="5"/>
  <c r="S569" i="5"/>
  <c r="G569" i="5" s="1"/>
  <c r="J569" i="5" s="1"/>
  <c r="K569" i="5"/>
  <c r="M569" i="5" s="1"/>
  <c r="R570" i="5"/>
  <c r="G568" i="5"/>
  <c r="J568" i="5" s="1"/>
  <c r="N430" i="5" l="1"/>
  <c r="H431" i="5"/>
  <c r="O430" i="5"/>
  <c r="P430" i="5" s="1"/>
  <c r="Q431" i="5"/>
  <c r="I431" i="5"/>
  <c r="C574" i="5"/>
  <c r="T573" i="5"/>
  <c r="F571" i="5"/>
  <c r="R571" i="5"/>
  <c r="S570" i="5"/>
  <c r="G570" i="5" s="1"/>
  <c r="J570" i="5" s="1"/>
  <c r="K570" i="5"/>
  <c r="M570" i="5" s="1"/>
  <c r="L569" i="5"/>
  <c r="O431" i="5" l="1"/>
  <c r="P431" i="5" s="1"/>
  <c r="N431" i="5"/>
  <c r="H432" i="5"/>
  <c r="L570" i="5"/>
  <c r="R572" i="5"/>
  <c r="K571" i="5"/>
  <c r="M571" i="5" s="1"/>
  <c r="S571" i="5"/>
  <c r="G571" i="5" s="1"/>
  <c r="J571" i="5" s="1"/>
  <c r="C575" i="5"/>
  <c r="T574" i="5"/>
  <c r="F572" i="5"/>
  <c r="I432" i="5" l="1"/>
  <c r="Q432" i="5"/>
  <c r="F573" i="5"/>
  <c r="R573" i="5"/>
  <c r="K572" i="5"/>
  <c r="M572" i="5" s="1"/>
  <c r="S572" i="5"/>
  <c r="G572" i="5" s="1"/>
  <c r="J572" i="5" s="1"/>
  <c r="T575" i="5"/>
  <c r="C576" i="5"/>
  <c r="L571" i="5"/>
  <c r="O432" i="5" l="1"/>
  <c r="P432" i="5" s="1"/>
  <c r="H433" i="5"/>
  <c r="Q433" i="5" s="1"/>
  <c r="N432" i="5"/>
  <c r="L572" i="5"/>
  <c r="F574" i="5"/>
  <c r="T576" i="5"/>
  <c r="C577" i="5"/>
  <c r="R574" i="5"/>
  <c r="S573" i="5"/>
  <c r="G573" i="5" s="1"/>
  <c r="J573" i="5" s="1"/>
  <c r="K573" i="5"/>
  <c r="M573" i="5" s="1"/>
  <c r="I433" i="5" l="1"/>
  <c r="N433" i="5"/>
  <c r="H434" i="5"/>
  <c r="Q434" i="5" s="1"/>
  <c r="O433" i="5"/>
  <c r="P433" i="5" s="1"/>
  <c r="F575" i="5"/>
  <c r="L573" i="5"/>
  <c r="R575" i="5"/>
  <c r="S574" i="5"/>
  <c r="G574" i="5" s="1"/>
  <c r="J574" i="5" s="1"/>
  <c r="K574" i="5"/>
  <c r="M574" i="5" s="1"/>
  <c r="T577" i="5"/>
  <c r="C578" i="5"/>
  <c r="I434" i="5" l="1"/>
  <c r="O434" i="5"/>
  <c r="P434" i="5" s="1"/>
  <c r="N434" i="5"/>
  <c r="H435" i="5"/>
  <c r="Q435" i="5" s="1"/>
  <c r="L574" i="5"/>
  <c r="F576" i="5"/>
  <c r="R576" i="5"/>
  <c r="K575" i="5"/>
  <c r="M575" i="5" s="1"/>
  <c r="S575" i="5"/>
  <c r="G575" i="5" s="1"/>
  <c r="J575" i="5" s="1"/>
  <c r="C579" i="5"/>
  <c r="T578" i="5"/>
  <c r="N435" i="5" l="1"/>
  <c r="O435" i="5"/>
  <c r="P435" i="5" s="1"/>
  <c r="H436" i="5"/>
  <c r="Q436" i="5" s="1"/>
  <c r="I435" i="5"/>
  <c r="I436" i="5" s="1"/>
  <c r="F577" i="5"/>
  <c r="R577" i="5"/>
  <c r="K576" i="5"/>
  <c r="M576" i="5" s="1"/>
  <c r="S576" i="5"/>
  <c r="G576" i="5" s="1"/>
  <c r="J576" i="5" s="1"/>
  <c r="C580" i="5"/>
  <c r="T579" i="5"/>
  <c r="L575" i="5"/>
  <c r="O436" i="5" l="1"/>
  <c r="P436" i="5" s="1"/>
  <c r="N436" i="5"/>
  <c r="H437" i="5"/>
  <c r="L576" i="5"/>
  <c r="C581" i="5"/>
  <c r="T580" i="5"/>
  <c r="F578" i="5"/>
  <c r="R578" i="5"/>
  <c r="K577" i="5"/>
  <c r="M577" i="5" s="1"/>
  <c r="S577" i="5"/>
  <c r="G577" i="5" s="1"/>
  <c r="J577" i="5" s="1"/>
  <c r="Q437" i="5" l="1"/>
  <c r="I437" i="5"/>
  <c r="L577" i="5"/>
  <c r="F579" i="5"/>
  <c r="C582" i="5"/>
  <c r="T581" i="5"/>
  <c r="R579" i="5"/>
  <c r="S578" i="5"/>
  <c r="G578" i="5" s="1"/>
  <c r="J578" i="5" s="1"/>
  <c r="K578" i="5"/>
  <c r="M578" i="5" s="1"/>
  <c r="N437" i="5" l="1"/>
  <c r="O437" i="5"/>
  <c r="P437" i="5" s="1"/>
  <c r="H438" i="5"/>
  <c r="Q438" i="5" s="1"/>
  <c r="R580" i="5"/>
  <c r="K579" i="5"/>
  <c r="M579" i="5" s="1"/>
  <c r="S579" i="5"/>
  <c r="G579" i="5" s="1"/>
  <c r="J579" i="5" s="1"/>
  <c r="T582" i="5"/>
  <c r="C583" i="5"/>
  <c r="L578" i="5"/>
  <c r="F580" i="5"/>
  <c r="I438" i="5" l="1"/>
  <c r="N438" i="5"/>
  <c r="H439" i="5"/>
  <c r="I439" i="5" s="1"/>
  <c r="O438" i="5"/>
  <c r="P438" i="5" s="1"/>
  <c r="Q439" i="5"/>
  <c r="L579" i="5"/>
  <c r="R581" i="5"/>
  <c r="S580" i="5"/>
  <c r="V52" i="5" s="1"/>
  <c r="K580" i="5"/>
  <c r="M580" i="5" s="1"/>
  <c r="F581" i="5"/>
  <c r="T583" i="5"/>
  <c r="C584" i="5"/>
  <c r="H440" i="5" l="1"/>
  <c r="Q440" i="5" s="1"/>
  <c r="O439" i="5"/>
  <c r="P439" i="5" s="1"/>
  <c r="N439" i="5"/>
  <c r="L580" i="5"/>
  <c r="G580" i="5"/>
  <c r="J580" i="5" s="1"/>
  <c r="T584" i="5"/>
  <c r="C585" i="5"/>
  <c r="F582" i="5"/>
  <c r="R582" i="5"/>
  <c r="S581" i="5"/>
  <c r="G581" i="5" s="1"/>
  <c r="J581" i="5" s="1"/>
  <c r="K581" i="5"/>
  <c r="M581" i="5" s="1"/>
  <c r="O440" i="5" l="1"/>
  <c r="P440" i="5" s="1"/>
  <c r="N440" i="5"/>
  <c r="H441" i="5"/>
  <c r="Q441" i="5"/>
  <c r="I440" i="5"/>
  <c r="H442" i="5"/>
  <c r="O441" i="5"/>
  <c r="P441" i="5" s="1"/>
  <c r="L581" i="5"/>
  <c r="F583" i="5"/>
  <c r="R583" i="5"/>
  <c r="S582" i="5"/>
  <c r="G582" i="5" s="1"/>
  <c r="J582" i="5" s="1"/>
  <c r="K582" i="5"/>
  <c r="M582" i="5" s="1"/>
  <c r="T585" i="5"/>
  <c r="C586" i="5"/>
  <c r="Q442" i="5" l="1"/>
  <c r="N441" i="5"/>
  <c r="I441" i="5"/>
  <c r="I442" i="5" s="1"/>
  <c r="O442" i="5"/>
  <c r="P442" i="5" s="1"/>
  <c r="H443" i="5"/>
  <c r="N442" i="5"/>
  <c r="L582" i="5"/>
  <c r="R584" i="5"/>
  <c r="K583" i="5"/>
  <c r="M583" i="5" s="1"/>
  <c r="S583" i="5"/>
  <c r="G583" i="5" s="1"/>
  <c r="J583" i="5" s="1"/>
  <c r="F584" i="5"/>
  <c r="C587" i="5"/>
  <c r="T586" i="5"/>
  <c r="I443" i="5" l="1"/>
  <c r="Q443" i="5"/>
  <c r="C588" i="5"/>
  <c r="T587" i="5"/>
  <c r="F585" i="5"/>
  <c r="R585" i="5"/>
  <c r="K584" i="5"/>
  <c r="M584" i="5" s="1"/>
  <c r="S584" i="5"/>
  <c r="G584" i="5" s="1"/>
  <c r="J584" i="5" s="1"/>
  <c r="L583" i="5"/>
  <c r="H444" i="5" l="1"/>
  <c r="I444" i="5" s="1"/>
  <c r="O443" i="5"/>
  <c r="P443" i="5" s="1"/>
  <c r="N443" i="5"/>
  <c r="L584" i="5"/>
  <c r="F586" i="5"/>
  <c r="R586" i="5"/>
  <c r="K585" i="5"/>
  <c r="M585" i="5" s="1"/>
  <c r="S585" i="5"/>
  <c r="G585" i="5" s="1"/>
  <c r="J585" i="5" s="1"/>
  <c r="C589" i="5"/>
  <c r="T588" i="5"/>
  <c r="Q444" i="5" l="1"/>
  <c r="O444" i="5" s="1"/>
  <c r="P444" i="5" s="1"/>
  <c r="S586" i="5"/>
  <c r="G586" i="5" s="1"/>
  <c r="J586" i="5" s="1"/>
  <c r="R587" i="5"/>
  <c r="K586" i="5"/>
  <c r="M586" i="5" s="1"/>
  <c r="F587" i="5"/>
  <c r="L585" i="5"/>
  <c r="C590" i="5"/>
  <c r="T589" i="5"/>
  <c r="N444" i="5" l="1"/>
  <c r="H445" i="5"/>
  <c r="I445" i="5" s="1"/>
  <c r="L586" i="5"/>
  <c r="R588" i="5"/>
  <c r="K587" i="5"/>
  <c r="M587" i="5" s="1"/>
  <c r="S587" i="5"/>
  <c r="G587" i="5" s="1"/>
  <c r="J587" i="5" s="1"/>
  <c r="T590" i="5"/>
  <c r="C591" i="5"/>
  <c r="F588" i="5"/>
  <c r="Q445" i="5" l="1"/>
  <c r="F589" i="5"/>
  <c r="L587" i="5"/>
  <c r="R589" i="5"/>
  <c r="K588" i="5"/>
  <c r="M588" i="5" s="1"/>
  <c r="S588" i="5"/>
  <c r="G588" i="5" s="1"/>
  <c r="J588" i="5" s="1"/>
  <c r="T591" i="5"/>
  <c r="C592" i="5"/>
  <c r="O445" i="5" l="1"/>
  <c r="P445" i="5" s="1"/>
  <c r="H446" i="5"/>
  <c r="I446" i="5" s="1"/>
  <c r="N445" i="5"/>
  <c r="L588" i="5"/>
  <c r="T592" i="5"/>
  <c r="C593" i="5"/>
  <c r="R590" i="5"/>
  <c r="S589" i="5"/>
  <c r="G589" i="5" s="1"/>
  <c r="J589" i="5" s="1"/>
  <c r="K589" i="5"/>
  <c r="M589" i="5" s="1"/>
  <c r="F590" i="5"/>
  <c r="Q446" i="5" l="1"/>
  <c r="H447" i="5"/>
  <c r="I447" i="5" s="1"/>
  <c r="N446" i="5"/>
  <c r="O446" i="5"/>
  <c r="P446" i="5" s="1"/>
  <c r="L589" i="5"/>
  <c r="F591" i="5"/>
  <c r="T593" i="5"/>
  <c r="C594" i="5"/>
  <c r="R591" i="5"/>
  <c r="S590" i="5"/>
  <c r="G590" i="5" s="1"/>
  <c r="J590" i="5" s="1"/>
  <c r="K590" i="5"/>
  <c r="M590" i="5" s="1"/>
  <c r="Q447" i="5" l="1"/>
  <c r="C595" i="5"/>
  <c r="T594" i="5"/>
  <c r="F592" i="5"/>
  <c r="R592" i="5"/>
  <c r="K591" i="5"/>
  <c r="M591" i="5" s="1"/>
  <c r="S591" i="5"/>
  <c r="G591" i="5" s="1"/>
  <c r="J591" i="5" s="1"/>
  <c r="L590" i="5"/>
  <c r="O447" i="5" l="1"/>
  <c r="P447" i="5" s="1"/>
  <c r="N447" i="5"/>
  <c r="H448" i="5"/>
  <c r="I448" i="5" s="1"/>
  <c r="L591" i="5"/>
  <c r="C596" i="5"/>
  <c r="T595" i="5"/>
  <c r="F593" i="5"/>
  <c r="R593" i="5"/>
  <c r="S592" i="5"/>
  <c r="V53" i="5" s="1"/>
  <c r="K592" i="5"/>
  <c r="M592" i="5" s="1"/>
  <c r="Q448" i="5" l="1"/>
  <c r="G592" i="5"/>
  <c r="J592" i="5" s="1"/>
  <c r="L592" i="5"/>
  <c r="F594" i="5"/>
  <c r="T596" i="5"/>
  <c r="C597" i="5"/>
  <c r="S593" i="5"/>
  <c r="G593" i="5" s="1"/>
  <c r="J593" i="5" s="1"/>
  <c r="K593" i="5"/>
  <c r="M593" i="5" s="1"/>
  <c r="R594" i="5"/>
  <c r="N448" i="5" l="1"/>
  <c r="H449" i="5"/>
  <c r="I449" i="5" s="1"/>
  <c r="O448" i="5"/>
  <c r="P448" i="5" s="1"/>
  <c r="Q449" i="5"/>
  <c r="S594" i="5"/>
  <c r="G594" i="5" s="1"/>
  <c r="J594" i="5" s="1"/>
  <c r="R595" i="5"/>
  <c r="K594" i="5"/>
  <c r="M594" i="5" s="1"/>
  <c r="L593" i="5"/>
  <c r="C598" i="5"/>
  <c r="T597" i="5"/>
  <c r="F595" i="5"/>
  <c r="O449" i="5" l="1"/>
  <c r="P449" i="5" s="1"/>
  <c r="N449" i="5"/>
  <c r="H450" i="5"/>
  <c r="I450" i="5" s="1"/>
  <c r="L594" i="5"/>
  <c r="R596" i="5"/>
  <c r="K595" i="5"/>
  <c r="M595" i="5" s="1"/>
  <c r="S595" i="5"/>
  <c r="G595" i="5" s="1"/>
  <c r="J595" i="5" s="1"/>
  <c r="F596" i="5"/>
  <c r="T598" i="5"/>
  <c r="C599" i="5"/>
  <c r="Q450" i="5" l="1"/>
  <c r="H451" i="5"/>
  <c r="Q451" i="5" s="1"/>
  <c r="O450" i="5"/>
  <c r="P450" i="5" s="1"/>
  <c r="N450" i="5"/>
  <c r="L595" i="5"/>
  <c r="R597" i="5"/>
  <c r="K596" i="5"/>
  <c r="M596" i="5" s="1"/>
  <c r="S596" i="5"/>
  <c r="G596" i="5" s="1"/>
  <c r="J596" i="5" s="1"/>
  <c r="T599" i="5"/>
  <c r="C600" i="5"/>
  <c r="F597" i="5"/>
  <c r="N451" i="5" l="1"/>
  <c r="H452" i="5"/>
  <c r="Q452" i="5" s="1"/>
  <c r="O451" i="5"/>
  <c r="P451" i="5" s="1"/>
  <c r="I451" i="5"/>
  <c r="I452" i="5" s="1"/>
  <c r="R598" i="5"/>
  <c r="K597" i="5"/>
  <c r="M597" i="5" s="1"/>
  <c r="S597" i="5"/>
  <c r="G597" i="5" s="1"/>
  <c r="J597" i="5" s="1"/>
  <c r="L596" i="5"/>
  <c r="F598" i="5"/>
  <c r="C601" i="5"/>
  <c r="T600" i="5"/>
  <c r="N452" i="5" l="1"/>
  <c r="H453" i="5"/>
  <c r="Q453" i="5" s="1"/>
  <c r="O452" i="5"/>
  <c r="P452" i="5" s="1"/>
  <c r="R599" i="5"/>
  <c r="S598" i="5"/>
  <c r="G598" i="5" s="1"/>
  <c r="J598" i="5" s="1"/>
  <c r="K598" i="5"/>
  <c r="M598" i="5" s="1"/>
  <c r="F599" i="5"/>
  <c r="L597" i="5"/>
  <c r="T601" i="5"/>
  <c r="C602" i="5"/>
  <c r="I453" i="5" l="1"/>
  <c r="N453" i="5"/>
  <c r="H454" i="5"/>
  <c r="Q454" i="5" s="1"/>
  <c r="O453" i="5"/>
  <c r="P453" i="5" s="1"/>
  <c r="I454" i="5"/>
  <c r="L598" i="5"/>
  <c r="R600" i="5"/>
  <c r="S599" i="5"/>
  <c r="G599" i="5" s="1"/>
  <c r="J599" i="5" s="1"/>
  <c r="K599" i="5"/>
  <c r="M599" i="5" s="1"/>
  <c r="F600" i="5"/>
  <c r="T602" i="5"/>
  <c r="C603" i="5"/>
  <c r="H455" i="5" l="1"/>
  <c r="I455" i="5" s="1"/>
  <c r="N454" i="5"/>
  <c r="O454" i="5"/>
  <c r="P454" i="5" s="1"/>
  <c r="R601" i="5"/>
  <c r="S600" i="5"/>
  <c r="G600" i="5" s="1"/>
  <c r="J600" i="5" s="1"/>
  <c r="K600" i="5"/>
  <c r="M600" i="5" s="1"/>
  <c r="L599" i="5"/>
  <c r="F601" i="5"/>
  <c r="C604" i="5"/>
  <c r="T604" i="5" s="1"/>
  <c r="T603" i="5"/>
  <c r="Q455" i="5" l="1"/>
  <c r="O455" i="5" s="1"/>
  <c r="P455" i="5" s="1"/>
  <c r="H456" i="5"/>
  <c r="I456" i="5" s="1"/>
  <c r="F602" i="5"/>
  <c r="L600" i="5"/>
  <c r="S601" i="5"/>
  <c r="G601" i="5" s="1"/>
  <c r="J601" i="5" s="1"/>
  <c r="K601" i="5"/>
  <c r="M601" i="5" s="1"/>
  <c r="R602" i="5"/>
  <c r="Q456" i="5" l="1"/>
  <c r="N455" i="5"/>
  <c r="H457" i="5"/>
  <c r="I457" i="5" s="1"/>
  <c r="N456" i="5"/>
  <c r="O456" i="5"/>
  <c r="P456" i="5" s="1"/>
  <c r="Q457" i="5"/>
  <c r="F603" i="5"/>
  <c r="L601" i="5"/>
  <c r="R603" i="5"/>
  <c r="S602" i="5"/>
  <c r="G602" i="5" s="1"/>
  <c r="J602" i="5" s="1"/>
  <c r="K602" i="5"/>
  <c r="M602" i="5" s="1"/>
  <c r="O457" i="5" l="1"/>
  <c r="P457" i="5" s="1"/>
  <c r="N457" i="5"/>
  <c r="H458" i="5"/>
  <c r="I458" i="5" s="1"/>
  <c r="L602" i="5"/>
  <c r="F604" i="5"/>
  <c r="R604" i="5"/>
  <c r="K603" i="5"/>
  <c r="M603" i="5" s="1"/>
  <c r="S603" i="5"/>
  <c r="G603" i="5" s="1"/>
  <c r="J603" i="5" s="1"/>
  <c r="Q458" i="5" l="1"/>
  <c r="H459" i="5" s="1"/>
  <c r="I459" i="5" s="1"/>
  <c r="S604" i="5"/>
  <c r="AB21" i="5" s="1"/>
  <c r="K604" i="5"/>
  <c r="M604" i="5" s="1"/>
  <c r="L603" i="5"/>
  <c r="Q459" i="5" l="1"/>
  <c r="O458" i="5"/>
  <c r="P458" i="5" s="1"/>
  <c r="N458" i="5"/>
  <c r="N459" i="5"/>
  <c r="H460" i="5"/>
  <c r="I460" i="5" s="1"/>
  <c r="O459" i="5"/>
  <c r="P459" i="5" s="1"/>
  <c r="Q460" i="5"/>
  <c r="AF21" i="5"/>
  <c r="D6" i="3"/>
  <c r="AE21" i="5"/>
  <c r="AC21" i="5" s="1"/>
  <c r="L604" i="5"/>
  <c r="V54" i="5"/>
  <c r="AD49" i="5"/>
  <c r="M29" i="3" s="1"/>
  <c r="G604" i="5"/>
  <c r="O460" i="5" l="1"/>
  <c r="P460" i="5" s="1"/>
  <c r="N460" i="5"/>
  <c r="H461" i="5"/>
  <c r="Q461" i="5" s="1"/>
  <c r="F6" i="3"/>
  <c r="AE49" i="5"/>
  <c r="M14" i="3" s="1"/>
  <c r="J604" i="5"/>
  <c r="AF49" i="5" s="1"/>
  <c r="O14" i="3" s="1"/>
  <c r="AB22" i="5"/>
  <c r="AC22" i="5" s="1"/>
  <c r="I461" i="5" l="1"/>
  <c r="H462" i="5"/>
  <c r="Q462" i="5" s="1"/>
  <c r="N461" i="5"/>
  <c r="O461" i="5"/>
  <c r="P461" i="5" s="1"/>
  <c r="N462" i="5" l="1"/>
  <c r="O462" i="5"/>
  <c r="P462" i="5" s="1"/>
  <c r="H463" i="5"/>
  <c r="Q463" i="5" s="1"/>
  <c r="I462" i="5"/>
  <c r="I463" i="5" l="1"/>
  <c r="N463" i="5"/>
  <c r="O463" i="5"/>
  <c r="P463" i="5" s="1"/>
  <c r="H464" i="5"/>
  <c r="Q464" i="5" s="1"/>
  <c r="O464" i="5" l="1"/>
  <c r="P464" i="5" s="1"/>
  <c r="H465" i="5"/>
  <c r="Q465" i="5" s="1"/>
  <c r="N464" i="5"/>
  <c r="I464" i="5"/>
  <c r="I465" i="5" s="1"/>
  <c r="N465" i="5" l="1"/>
  <c r="H466" i="5"/>
  <c r="Q466" i="5" s="1"/>
  <c r="O465" i="5"/>
  <c r="P465" i="5" s="1"/>
  <c r="N466" i="5" l="1"/>
  <c r="H467" i="5"/>
  <c r="O466" i="5"/>
  <c r="P466" i="5" s="1"/>
  <c r="Q467" i="5"/>
  <c r="I466" i="5"/>
  <c r="H468" i="5" l="1"/>
  <c r="Q468" i="5" s="1"/>
  <c r="O467" i="5"/>
  <c r="P467" i="5" s="1"/>
  <c r="N467" i="5"/>
  <c r="I467" i="5"/>
  <c r="I468" i="5" l="1"/>
  <c r="N468" i="5"/>
  <c r="H469" i="5"/>
  <c r="Q469" i="5" s="1"/>
  <c r="O468" i="5"/>
  <c r="P468" i="5" s="1"/>
  <c r="O469" i="5" l="1"/>
  <c r="P469" i="5" s="1"/>
  <c r="H470" i="5"/>
  <c r="Q470" i="5" s="1"/>
  <c r="N469" i="5"/>
  <c r="I469" i="5"/>
  <c r="I470" i="5" s="1"/>
  <c r="N470" i="5" l="1"/>
  <c r="H471" i="5"/>
  <c r="I471" i="5" s="1"/>
  <c r="O470" i="5"/>
  <c r="P470" i="5" s="1"/>
  <c r="Q471" i="5"/>
  <c r="H472" i="5" l="1"/>
  <c r="I472" i="5" s="1"/>
  <c r="N471" i="5"/>
  <c r="O471" i="5"/>
  <c r="P471" i="5" s="1"/>
  <c r="Q472" i="5" l="1"/>
  <c r="O472" i="5" s="1"/>
  <c r="P472" i="5" s="1"/>
  <c r="N472" i="5" l="1"/>
  <c r="H473" i="5"/>
  <c r="I473" i="5" s="1"/>
  <c r="Q473" i="5"/>
  <c r="N473" i="5" s="1"/>
  <c r="O473" i="5" l="1"/>
  <c r="P473" i="5" s="1"/>
  <c r="H474" i="5"/>
  <c r="I474" i="5" s="1"/>
  <c r="Q474" i="5"/>
  <c r="N474" i="5" l="1"/>
  <c r="H475" i="5"/>
  <c r="O474" i="5"/>
  <c r="P474" i="5" s="1"/>
  <c r="I475" i="5" l="1"/>
  <c r="Q475" i="5"/>
  <c r="H476" i="5" l="1"/>
  <c r="I476" i="5" s="1"/>
  <c r="N475" i="5"/>
  <c r="O475" i="5"/>
  <c r="P475" i="5" s="1"/>
  <c r="Q476" i="5" l="1"/>
  <c r="H477" i="5" s="1"/>
  <c r="I477" i="5" s="1"/>
  <c r="Q477" i="5" l="1"/>
  <c r="O477" i="5" s="1"/>
  <c r="P477" i="5" s="1"/>
  <c r="O476" i="5"/>
  <c r="P476" i="5" s="1"/>
  <c r="N476" i="5"/>
  <c r="H478" i="5"/>
  <c r="Q478" i="5" s="1"/>
  <c r="N477" i="5"/>
  <c r="I478" i="5" l="1"/>
  <c r="H479" i="5"/>
  <c r="Q479" i="5" s="1"/>
  <c r="N478" i="5"/>
  <c r="O478" i="5"/>
  <c r="P478" i="5" s="1"/>
  <c r="N479" i="5" l="1"/>
  <c r="O479" i="5"/>
  <c r="P479" i="5" s="1"/>
  <c r="H480" i="5"/>
  <c r="Q480" i="5" s="1"/>
  <c r="I479" i="5"/>
  <c r="I480" i="5" s="1"/>
  <c r="O480" i="5" l="1"/>
  <c r="P480" i="5" s="1"/>
  <c r="H481" i="5"/>
  <c r="Q481" i="5" s="1"/>
  <c r="N480" i="5"/>
  <c r="H482" i="5" l="1"/>
  <c r="Q482" i="5" s="1"/>
  <c r="O481" i="5"/>
  <c r="P481" i="5" s="1"/>
  <c r="N481" i="5"/>
  <c r="I481" i="5"/>
  <c r="I482" i="5" l="1"/>
  <c r="O482" i="5"/>
  <c r="P482" i="5" s="1"/>
  <c r="H483" i="5"/>
  <c r="Q483" i="5" s="1"/>
  <c r="N482" i="5"/>
  <c r="N483" i="5" l="1"/>
  <c r="O483" i="5"/>
  <c r="P483" i="5" s="1"/>
  <c r="H484" i="5"/>
  <c r="Q484" i="5" s="1"/>
  <c r="I483" i="5"/>
  <c r="I484" i="5" l="1"/>
  <c r="O484" i="5"/>
  <c r="P484" i="5" s="1"/>
  <c r="H485" i="5"/>
  <c r="I485" i="5" s="1"/>
  <c r="N484" i="5"/>
  <c r="Q485" i="5"/>
  <c r="H486" i="5" l="1"/>
  <c r="Q486" i="5" s="1"/>
  <c r="O485" i="5"/>
  <c r="P485" i="5" s="1"/>
  <c r="N485" i="5"/>
  <c r="I486" i="5" l="1"/>
  <c r="O486" i="5"/>
  <c r="P486" i="5" s="1"/>
  <c r="H487" i="5"/>
  <c r="Q487" i="5" s="1"/>
  <c r="N486" i="5"/>
  <c r="O487" i="5" l="1"/>
  <c r="P487" i="5" s="1"/>
  <c r="H488" i="5"/>
  <c r="Q488" i="5" s="1"/>
  <c r="N487" i="5"/>
  <c r="I487" i="5"/>
  <c r="I488" i="5" s="1"/>
  <c r="O488" i="5" l="1"/>
  <c r="P488" i="5" s="1"/>
  <c r="N488" i="5"/>
  <c r="H489" i="5"/>
  <c r="Q489" i="5" s="1"/>
  <c r="O489" i="5" l="1"/>
  <c r="P489" i="5" s="1"/>
  <c r="N489" i="5"/>
  <c r="H490" i="5"/>
  <c r="Q490" i="5" s="1"/>
  <c r="I489" i="5"/>
  <c r="I490" i="5" l="1"/>
  <c r="H491" i="5"/>
  <c r="Q491" i="5" s="1"/>
  <c r="O490" i="5"/>
  <c r="P490" i="5" s="1"/>
  <c r="N490" i="5"/>
  <c r="O491" i="5" l="1"/>
  <c r="P491" i="5" s="1"/>
  <c r="N491" i="5"/>
  <c r="H492" i="5"/>
  <c r="Q492" i="5" s="1"/>
  <c r="I491" i="5"/>
  <c r="I492" i="5" l="1"/>
  <c r="H493" i="5"/>
  <c r="Q493" i="5" s="1"/>
  <c r="O492" i="5"/>
  <c r="P492" i="5" s="1"/>
  <c r="N492" i="5"/>
  <c r="O493" i="5" l="1"/>
  <c r="P493" i="5" s="1"/>
  <c r="N493" i="5"/>
  <c r="H494" i="5"/>
  <c r="Q494" i="5" s="1"/>
  <c r="I493" i="5"/>
  <c r="I494" i="5" s="1"/>
  <c r="O494" i="5" l="1"/>
  <c r="P494" i="5" s="1"/>
  <c r="H495" i="5"/>
  <c r="Q495" i="5" s="1"/>
  <c r="N494" i="5"/>
  <c r="H496" i="5" l="1"/>
  <c r="Q496" i="5" s="1"/>
  <c r="O495" i="5"/>
  <c r="P495" i="5" s="1"/>
  <c r="N495" i="5"/>
  <c r="I495" i="5"/>
  <c r="I496" i="5" l="1"/>
  <c r="H497" i="5"/>
  <c r="Q497" i="5" s="1"/>
  <c r="O496" i="5"/>
  <c r="P496" i="5" s="1"/>
  <c r="N496" i="5"/>
  <c r="H498" i="5" l="1"/>
  <c r="Q498" i="5" s="1"/>
  <c r="N497" i="5"/>
  <c r="O497" i="5"/>
  <c r="P497" i="5" s="1"/>
  <c r="I497" i="5"/>
  <c r="I498" i="5" l="1"/>
  <c r="N498" i="5"/>
  <c r="O498" i="5"/>
  <c r="P498" i="5" s="1"/>
  <c r="H499" i="5"/>
  <c r="Q499" i="5" s="1"/>
  <c r="O499" i="5" l="1"/>
  <c r="P499" i="5" s="1"/>
  <c r="N499" i="5"/>
  <c r="H500" i="5"/>
  <c r="Q500" i="5" s="1"/>
  <c r="I499" i="5"/>
  <c r="I500" i="5" l="1"/>
  <c r="O500" i="5"/>
  <c r="P500" i="5" s="1"/>
  <c r="N500" i="5"/>
  <c r="H501" i="5"/>
  <c r="Q501" i="5" s="1"/>
  <c r="H502" i="5" l="1"/>
  <c r="Q502" i="5" s="1"/>
  <c r="N501" i="5"/>
  <c r="O501" i="5"/>
  <c r="P501" i="5" s="1"/>
  <c r="I501" i="5"/>
  <c r="I502" i="5" l="1"/>
  <c r="H503" i="5"/>
  <c r="Q503" i="5" s="1"/>
  <c r="O502" i="5"/>
  <c r="P502" i="5" s="1"/>
  <c r="N502" i="5"/>
  <c r="O503" i="5" l="1"/>
  <c r="P503" i="5" s="1"/>
  <c r="N503" i="5"/>
  <c r="H504" i="5"/>
  <c r="Q504" i="5" s="1"/>
  <c r="I503" i="5"/>
  <c r="I504" i="5" s="1"/>
  <c r="O504" i="5" l="1"/>
  <c r="P504" i="5" s="1"/>
  <c r="H505" i="5"/>
  <c r="Q505" i="5" s="1"/>
  <c r="N504" i="5"/>
  <c r="N505" i="5" l="1"/>
  <c r="H506" i="5"/>
  <c r="Q506" i="5" s="1"/>
  <c r="O505" i="5"/>
  <c r="P505" i="5" s="1"/>
  <c r="I505" i="5"/>
  <c r="I506" i="5" s="1"/>
  <c r="H507" i="5" l="1"/>
  <c r="I507" i="5" s="1"/>
  <c r="N506" i="5"/>
  <c r="O506" i="5"/>
  <c r="P506" i="5" s="1"/>
  <c r="Q507" i="5" l="1"/>
  <c r="O507" i="5" s="1"/>
  <c r="P507" i="5" s="1"/>
  <c r="H508" i="5" l="1"/>
  <c r="Q508" i="5" s="1"/>
  <c r="O508" i="5" s="1"/>
  <c r="P508" i="5" s="1"/>
  <c r="N507" i="5"/>
  <c r="I508" i="5" l="1"/>
  <c r="N508" i="5"/>
  <c r="H509" i="5"/>
  <c r="Q509" i="5" s="1"/>
  <c r="I509" i="5" l="1"/>
  <c r="N509" i="5"/>
  <c r="H510" i="5"/>
  <c r="Q510" i="5" s="1"/>
  <c r="O509" i="5"/>
  <c r="P509" i="5" s="1"/>
  <c r="I510" i="5" l="1"/>
  <c r="O510" i="5"/>
  <c r="P510" i="5" s="1"/>
  <c r="H511" i="5"/>
  <c r="N510" i="5"/>
  <c r="I511" i="5" l="1"/>
  <c r="Q511" i="5"/>
  <c r="O511" i="5" l="1"/>
  <c r="P511" i="5" s="1"/>
  <c r="H512" i="5"/>
  <c r="N511" i="5"/>
  <c r="I512" i="5" l="1"/>
  <c r="Q512" i="5"/>
  <c r="H513" i="5" l="1"/>
  <c r="I513" i="5" s="1"/>
  <c r="N512" i="5"/>
  <c r="O512" i="5"/>
  <c r="P512" i="5" s="1"/>
  <c r="Q513" i="5" l="1"/>
  <c r="O513" i="5" l="1"/>
  <c r="P513" i="5" s="1"/>
  <c r="H514" i="5"/>
  <c r="I514" i="5" s="1"/>
  <c r="N513" i="5"/>
  <c r="Q514" i="5"/>
  <c r="O514" i="5" l="1"/>
  <c r="P514" i="5" s="1"/>
  <c r="N514" i="5"/>
  <c r="H515" i="5"/>
  <c r="Q515" i="5" s="1"/>
  <c r="I515" i="5" l="1"/>
  <c r="H516" i="5"/>
  <c r="I516" i="5" s="1"/>
  <c r="N515" i="5"/>
  <c r="O515" i="5"/>
  <c r="P515" i="5" s="1"/>
  <c r="Q516" i="5"/>
  <c r="H517" i="5" l="1"/>
  <c r="I517" i="5" s="1"/>
  <c r="N516" i="5"/>
  <c r="O516" i="5"/>
  <c r="P516" i="5" s="1"/>
  <c r="Q517" i="5" l="1"/>
  <c r="O517" i="5" l="1"/>
  <c r="P517" i="5" s="1"/>
  <c r="N517" i="5"/>
  <c r="H518" i="5"/>
  <c r="I518" i="5" s="1"/>
  <c r="Q518" i="5" l="1"/>
  <c r="N518" i="5"/>
  <c r="O518" i="5"/>
  <c r="P518" i="5" s="1"/>
  <c r="H519" i="5"/>
  <c r="Q519" i="5" s="1"/>
  <c r="I519" i="5"/>
  <c r="O519" i="5" l="1"/>
  <c r="P519" i="5" s="1"/>
  <c r="H520" i="5"/>
  <c r="Q520" i="5" s="1"/>
  <c r="N519" i="5"/>
  <c r="I520" i="5" l="1"/>
  <c r="O520" i="5"/>
  <c r="P520" i="5" s="1"/>
  <c r="H521" i="5"/>
  <c r="I521" i="5" s="1"/>
  <c r="N520" i="5"/>
  <c r="Q521" i="5"/>
  <c r="N521" i="5" l="1"/>
  <c r="O521" i="5"/>
  <c r="P521" i="5" s="1"/>
  <c r="H522" i="5"/>
  <c r="I522" i="5" s="1"/>
  <c r="Q522" i="5" l="1"/>
  <c r="N522" i="5"/>
  <c r="H523" i="5"/>
  <c r="O522" i="5"/>
  <c r="P522" i="5" s="1"/>
  <c r="I523" i="5" l="1"/>
  <c r="Q523" i="5"/>
  <c r="H524" i="5" l="1"/>
  <c r="N523" i="5"/>
  <c r="O523" i="5"/>
  <c r="P523" i="5" s="1"/>
  <c r="I524" i="5" l="1"/>
  <c r="Q524" i="5"/>
  <c r="O524" i="5" l="1"/>
  <c r="P524" i="5" s="1"/>
  <c r="N524" i="5"/>
  <c r="H525" i="5"/>
  <c r="I525" i="5" l="1"/>
  <c r="Q525" i="5"/>
  <c r="H526" i="5" l="1"/>
  <c r="I526" i="5" s="1"/>
  <c r="O525" i="5"/>
  <c r="P525" i="5" s="1"/>
  <c r="N525" i="5"/>
  <c r="Q526" i="5"/>
  <c r="H527" i="5" l="1"/>
  <c r="N526" i="5"/>
  <c r="O526" i="5"/>
  <c r="P526" i="5" s="1"/>
  <c r="I527" i="5" l="1"/>
  <c r="Q527" i="5"/>
  <c r="O527" i="5" l="1"/>
  <c r="P527" i="5" s="1"/>
  <c r="N527" i="5"/>
  <c r="H528" i="5"/>
  <c r="I528" i="5" l="1"/>
  <c r="Q528" i="5"/>
  <c r="H529" i="5" l="1"/>
  <c r="O528" i="5"/>
  <c r="P528" i="5" s="1"/>
  <c r="N528" i="5"/>
  <c r="I529" i="5" l="1"/>
  <c r="Q529" i="5"/>
  <c r="H530" i="5" l="1"/>
  <c r="O529" i="5"/>
  <c r="P529" i="5" s="1"/>
  <c r="N529" i="5"/>
  <c r="I530" i="5" l="1"/>
  <c r="Q530" i="5"/>
  <c r="H531" i="5" l="1"/>
  <c r="O530" i="5"/>
  <c r="P530" i="5" s="1"/>
  <c r="Q531" i="5"/>
  <c r="N530" i="5"/>
  <c r="I531" i="5"/>
  <c r="H532" i="5" l="1"/>
  <c r="O531" i="5"/>
  <c r="P531" i="5" s="1"/>
  <c r="N531" i="5"/>
  <c r="Q532" i="5" l="1"/>
  <c r="I532" i="5"/>
  <c r="H533" i="5" l="1"/>
  <c r="O532" i="5"/>
  <c r="P532" i="5" s="1"/>
  <c r="N532" i="5"/>
  <c r="Q533" i="5" l="1"/>
  <c r="I533" i="5"/>
  <c r="H534" i="5" l="1"/>
  <c r="Q534" i="5" s="1"/>
  <c r="O533" i="5"/>
  <c r="P533" i="5" s="1"/>
  <c r="N533" i="5"/>
  <c r="O534" i="5" l="1"/>
  <c r="P534" i="5" s="1"/>
  <c r="H535" i="5"/>
  <c r="Q535" i="5" s="1"/>
  <c r="N534" i="5"/>
  <c r="I534" i="5"/>
  <c r="I535" i="5" s="1"/>
  <c r="H536" i="5" l="1"/>
  <c r="Q536" i="5" s="1"/>
  <c r="N535" i="5"/>
  <c r="O535" i="5"/>
  <c r="P535" i="5" s="1"/>
  <c r="N536" i="5" l="1"/>
  <c r="O536" i="5"/>
  <c r="P536" i="5" s="1"/>
  <c r="H537" i="5"/>
  <c r="Q537" i="5" s="1"/>
  <c r="I536" i="5"/>
  <c r="I537" i="5" l="1"/>
  <c r="H538" i="5"/>
  <c r="Q538" i="5" s="1"/>
  <c r="N537" i="5"/>
  <c r="O537" i="5"/>
  <c r="P537" i="5" s="1"/>
  <c r="O538" i="5" l="1"/>
  <c r="P538" i="5" s="1"/>
  <c r="H539" i="5"/>
  <c r="Q539" i="5" s="1"/>
  <c r="N538" i="5"/>
  <c r="I538" i="5"/>
  <c r="I539" i="5" s="1"/>
  <c r="O539" i="5" l="1"/>
  <c r="P539" i="5" s="1"/>
  <c r="H540" i="5"/>
  <c r="I540" i="5" s="1"/>
  <c r="N539" i="5"/>
  <c r="Q540" i="5"/>
  <c r="H541" i="5" l="1"/>
  <c r="I541" i="5" s="1"/>
  <c r="N540" i="5"/>
  <c r="O540" i="5"/>
  <c r="P540" i="5" s="1"/>
  <c r="Q541" i="5"/>
  <c r="H542" i="5" l="1"/>
  <c r="Q542" i="5" s="1"/>
  <c r="O541" i="5"/>
  <c r="P541" i="5" s="1"/>
  <c r="N541" i="5"/>
  <c r="I542" i="5" l="1"/>
  <c r="H543" i="5"/>
  <c r="Q543" i="5" s="1"/>
  <c r="O542" i="5"/>
  <c r="P542" i="5" s="1"/>
  <c r="N542" i="5"/>
  <c r="O543" i="5" l="1"/>
  <c r="P543" i="5" s="1"/>
  <c r="H544" i="5"/>
  <c r="Q544" i="5" s="1"/>
  <c r="N543" i="5"/>
  <c r="I543" i="5"/>
  <c r="I544" i="5" s="1"/>
  <c r="N544" i="5" l="1"/>
  <c r="H545" i="5"/>
  <c r="Q545" i="5" s="1"/>
  <c r="O544" i="5"/>
  <c r="P544" i="5" s="1"/>
  <c r="O545" i="5" l="1"/>
  <c r="P545" i="5" s="1"/>
  <c r="N545" i="5"/>
  <c r="H546" i="5"/>
  <c r="Q546" i="5" s="1"/>
  <c r="I545" i="5"/>
  <c r="I546" i="5" l="1"/>
  <c r="N546" i="5"/>
  <c r="H547" i="5"/>
  <c r="Q547" i="5" s="1"/>
  <c r="O546" i="5"/>
  <c r="P546" i="5" s="1"/>
  <c r="I547" i="5"/>
  <c r="N547" i="5" l="1"/>
  <c r="H548" i="5"/>
  <c r="Q548" i="5" s="1"/>
  <c r="O547" i="5"/>
  <c r="P547" i="5" s="1"/>
  <c r="I548" i="5"/>
  <c r="N548" i="5" l="1"/>
  <c r="H549" i="5"/>
  <c r="I549" i="5" s="1"/>
  <c r="O548" i="5"/>
  <c r="P548" i="5" s="1"/>
  <c r="Q549" i="5"/>
  <c r="O549" i="5" l="1"/>
  <c r="P549" i="5" s="1"/>
  <c r="H550" i="5"/>
  <c r="Q550" i="5" s="1"/>
  <c r="O550" i="5" s="1"/>
  <c r="P550" i="5" s="1"/>
  <c r="N549" i="5"/>
  <c r="N550" i="5"/>
  <c r="H551" i="5"/>
  <c r="I550" i="5" l="1"/>
  <c r="I551" i="5" s="1"/>
  <c r="Q551" i="5"/>
  <c r="O551" i="5" l="1"/>
  <c r="P551" i="5" s="1"/>
  <c r="N551" i="5"/>
  <c r="H552" i="5"/>
  <c r="I552" i="5" s="1"/>
  <c r="Q552" i="5" l="1"/>
  <c r="O552" i="5" s="1"/>
  <c r="P552" i="5" s="1"/>
  <c r="N552" i="5" l="1"/>
  <c r="H553" i="5"/>
  <c r="I553" i="5" s="1"/>
  <c r="Q553" i="5" l="1"/>
  <c r="O553" i="5" s="1"/>
  <c r="P553" i="5" s="1"/>
  <c r="N553" i="5" l="1"/>
  <c r="H554" i="5"/>
  <c r="I554" i="5" s="1"/>
  <c r="Q554" i="5" l="1"/>
  <c r="O554" i="5" s="1"/>
  <c r="P554" i="5" s="1"/>
  <c r="N554" i="5" l="1"/>
  <c r="H555" i="5"/>
  <c r="I555" i="5" s="1"/>
  <c r="Q555" i="5" l="1"/>
  <c r="N555" i="5" s="1"/>
  <c r="H556" i="5" l="1"/>
  <c r="I556" i="5" s="1"/>
  <c r="O555" i="5"/>
  <c r="P555" i="5" s="1"/>
  <c r="Q556" i="5" l="1"/>
  <c r="H557" i="5" l="1"/>
  <c r="I557" i="5" s="1"/>
  <c r="N556" i="5"/>
  <c r="O556" i="5"/>
  <c r="P556" i="5" s="1"/>
  <c r="Q557" i="5" l="1"/>
  <c r="H558" i="5" l="1"/>
  <c r="I558" i="5" s="1"/>
  <c r="N557" i="5"/>
  <c r="O557" i="5"/>
  <c r="P557" i="5" s="1"/>
  <c r="Q558" i="5" l="1"/>
  <c r="N558" i="5" l="1"/>
  <c r="O558" i="5"/>
  <c r="P558" i="5" s="1"/>
  <c r="H559" i="5"/>
  <c r="I559" i="5" s="1"/>
  <c r="Q559" i="5" l="1"/>
  <c r="O559" i="5"/>
  <c r="P559" i="5" s="1"/>
  <c r="N559" i="5"/>
  <c r="H560" i="5"/>
  <c r="I560" i="5" l="1"/>
  <c r="Q560" i="5"/>
  <c r="O560" i="5" l="1"/>
  <c r="P560" i="5" s="1"/>
  <c r="N560" i="5"/>
  <c r="H561" i="5"/>
  <c r="Q561" i="5" s="1"/>
  <c r="I561" i="5" l="1"/>
  <c r="N561" i="5"/>
  <c r="H562" i="5"/>
  <c r="Q562" i="5" s="1"/>
  <c r="O561" i="5"/>
  <c r="P561" i="5" s="1"/>
  <c r="I562" i="5" l="1"/>
  <c r="N562" i="5"/>
  <c r="O562" i="5"/>
  <c r="P562" i="5" s="1"/>
  <c r="H563" i="5"/>
  <c r="Q563" i="5" s="1"/>
  <c r="I563" i="5" l="1"/>
  <c r="N563" i="5"/>
  <c r="O563" i="5"/>
  <c r="P563" i="5" s="1"/>
  <c r="H564" i="5"/>
  <c r="Q564" i="5" s="1"/>
  <c r="I564" i="5" l="1"/>
  <c r="H565" i="5"/>
  <c r="Q565" i="5" s="1"/>
  <c r="O564" i="5"/>
  <c r="P564" i="5" s="1"/>
  <c r="N564" i="5"/>
  <c r="N565" i="5" l="1"/>
  <c r="H566" i="5"/>
  <c r="Q566" i="5" s="1"/>
  <c r="O565" i="5"/>
  <c r="P565" i="5" s="1"/>
  <c r="I565" i="5"/>
  <c r="I566" i="5" s="1"/>
  <c r="O566" i="5" l="1"/>
  <c r="P566" i="5" s="1"/>
  <c r="H567" i="5"/>
  <c r="Q567" i="5" s="1"/>
  <c r="N566" i="5"/>
  <c r="I567" i="5" l="1"/>
  <c r="N567" i="5"/>
  <c r="H568" i="5"/>
  <c r="I568" i="5" s="1"/>
  <c r="O567" i="5"/>
  <c r="P567" i="5" s="1"/>
  <c r="Q568" i="5"/>
  <c r="N568" i="5" s="1"/>
  <c r="O568" i="5"/>
  <c r="P568" i="5" s="1"/>
  <c r="H569" i="5"/>
  <c r="Q569" i="5" l="1"/>
  <c r="I569" i="5"/>
  <c r="H570" i="5" l="1"/>
  <c r="Q570" i="5" s="1"/>
  <c r="O569" i="5"/>
  <c r="P569" i="5" s="1"/>
  <c r="N569" i="5"/>
  <c r="I570" i="5" l="1"/>
  <c r="N570" i="5"/>
  <c r="H571" i="5"/>
  <c r="Q571" i="5" s="1"/>
  <c r="O570" i="5"/>
  <c r="P570" i="5" s="1"/>
  <c r="N571" i="5" l="1"/>
  <c r="O571" i="5"/>
  <c r="P571" i="5" s="1"/>
  <c r="H572" i="5"/>
  <c r="Q572" i="5" s="1"/>
  <c r="I571" i="5"/>
  <c r="I572" i="5" l="1"/>
  <c r="H573" i="5"/>
  <c r="O572" i="5"/>
  <c r="P572" i="5" s="1"/>
  <c r="N572" i="5"/>
  <c r="I573" i="5" l="1"/>
  <c r="Q573" i="5"/>
  <c r="O573" i="5" l="1"/>
  <c r="P573" i="5" s="1"/>
  <c r="H574" i="5"/>
  <c r="I574" i="5" s="1"/>
  <c r="N573" i="5"/>
  <c r="Q574" i="5" l="1"/>
  <c r="H575" i="5" l="1"/>
  <c r="I575" i="5" s="1"/>
  <c r="O574" i="5"/>
  <c r="P574" i="5" s="1"/>
  <c r="N574" i="5"/>
  <c r="Q575" i="5" l="1"/>
  <c r="N575" i="5" l="1"/>
  <c r="H576" i="5"/>
  <c r="I576" i="5" s="1"/>
  <c r="O575" i="5"/>
  <c r="P575" i="5" s="1"/>
  <c r="AB23" i="5"/>
  <c r="AC23" i="5" s="1"/>
  <c r="Q576" i="5" l="1"/>
  <c r="H577" i="5" l="1"/>
  <c r="I577" i="5" s="1"/>
  <c r="O576" i="5"/>
  <c r="P576" i="5" s="1"/>
  <c r="N576" i="5"/>
  <c r="Q577" i="5" l="1"/>
  <c r="O577" i="5" s="1"/>
  <c r="P577" i="5" s="1"/>
  <c r="N577" i="5" l="1"/>
  <c r="H578" i="5"/>
  <c r="I578" i="5" s="1"/>
  <c r="Q578" i="5" l="1"/>
  <c r="N578" i="5" s="1"/>
  <c r="H579" i="5"/>
  <c r="I579" i="5" s="1"/>
  <c r="O578" i="5"/>
  <c r="P578" i="5" s="1"/>
  <c r="Q579" i="5"/>
  <c r="O579" i="5" l="1"/>
  <c r="P579" i="5" s="1"/>
  <c r="H580" i="5"/>
  <c r="I580" i="5" s="1"/>
  <c r="N579" i="5"/>
  <c r="Q580" i="5" l="1"/>
  <c r="N580" i="5" l="1"/>
  <c r="H581" i="5"/>
  <c r="O580" i="5"/>
  <c r="P580" i="5" s="1"/>
  <c r="Q581" i="5" l="1"/>
  <c r="I581" i="5"/>
  <c r="H582" i="5" l="1"/>
  <c r="Q582" i="5" s="1"/>
  <c r="N581" i="5"/>
  <c r="O581" i="5"/>
  <c r="P581" i="5" s="1"/>
  <c r="N582" i="5" l="1"/>
  <c r="O582" i="5"/>
  <c r="P582" i="5" s="1"/>
  <c r="H583" i="5"/>
  <c r="Q583" i="5" s="1"/>
  <c r="I582" i="5"/>
  <c r="I583" i="5" l="1"/>
  <c r="O583" i="5"/>
  <c r="P583" i="5" s="1"/>
  <c r="H584" i="5"/>
  <c r="N583" i="5"/>
  <c r="I584" i="5" l="1"/>
  <c r="Q584" i="5"/>
  <c r="O584" i="5" l="1"/>
  <c r="P584" i="5" s="1"/>
  <c r="H585" i="5"/>
  <c r="I585" i="5" s="1"/>
  <c r="N584" i="5"/>
  <c r="Q585" i="5" l="1"/>
  <c r="H586" i="5" l="1"/>
  <c r="I586" i="5" s="1"/>
  <c r="N585" i="5"/>
  <c r="O585" i="5"/>
  <c r="P585" i="5" s="1"/>
  <c r="Q586" i="5" l="1"/>
  <c r="H587" i="5" l="1"/>
  <c r="I587" i="5" s="1"/>
  <c r="O586" i="5"/>
  <c r="P586" i="5" s="1"/>
  <c r="N586" i="5"/>
  <c r="Q587" i="5" l="1"/>
  <c r="N587" i="5" s="1"/>
  <c r="H588" i="5" l="1"/>
  <c r="I588" i="5" s="1"/>
  <c r="O587" i="5"/>
  <c r="P587" i="5" s="1"/>
  <c r="Q588" i="5" l="1"/>
  <c r="H589" i="5" l="1"/>
  <c r="I589" i="5" s="1"/>
  <c r="N588" i="5"/>
  <c r="O588" i="5"/>
  <c r="P588" i="5" s="1"/>
  <c r="Q589" i="5" l="1"/>
  <c r="H590" i="5" l="1"/>
  <c r="I590" i="5" s="1"/>
  <c r="N589" i="5"/>
  <c r="O589" i="5"/>
  <c r="P589" i="5" s="1"/>
  <c r="Q590" i="5" l="1"/>
  <c r="N590" i="5" l="1"/>
  <c r="H591" i="5"/>
  <c r="I591" i="5" s="1"/>
  <c r="O590" i="5"/>
  <c r="P590" i="5" s="1"/>
  <c r="Q591" i="5"/>
  <c r="H592" i="5" l="1"/>
  <c r="I592" i="5" s="1"/>
  <c r="O591" i="5"/>
  <c r="P591" i="5" s="1"/>
  <c r="N591" i="5"/>
  <c r="Q592" i="5" l="1"/>
  <c r="N592" i="5" l="1"/>
  <c r="H593" i="5"/>
  <c r="I593" i="5" s="1"/>
  <c r="O592" i="5"/>
  <c r="P592" i="5" s="1"/>
  <c r="Q593" i="5"/>
  <c r="O593" i="5" l="1"/>
  <c r="P593" i="5" s="1"/>
  <c r="H594" i="5"/>
  <c r="I594" i="5" s="1"/>
  <c r="N593" i="5"/>
  <c r="Q594" i="5" l="1"/>
  <c r="H595" i="5" s="1"/>
  <c r="I595" i="5" s="1"/>
  <c r="N594" i="5" l="1"/>
  <c r="O594" i="5"/>
  <c r="P594" i="5" s="1"/>
  <c r="Q595" i="5"/>
  <c r="N595" i="5" s="1"/>
  <c r="O595" i="5"/>
  <c r="P595" i="5" s="1"/>
  <c r="H596" i="5"/>
  <c r="I596" i="5" s="1"/>
  <c r="Q596" i="5" l="1"/>
  <c r="H597" i="5" s="1"/>
  <c r="I597" i="5" s="1"/>
  <c r="O596" i="5" l="1"/>
  <c r="P596" i="5" s="1"/>
  <c r="N596" i="5"/>
  <c r="Q597" i="5"/>
  <c r="N597" i="5" s="1"/>
  <c r="H598" i="5" l="1"/>
  <c r="Q598" i="5" s="1"/>
  <c r="O598" i="5" s="1"/>
  <c r="P598" i="5" s="1"/>
  <c r="O597" i="5"/>
  <c r="P597" i="5" s="1"/>
  <c r="N598" i="5" l="1"/>
  <c r="H599" i="5"/>
  <c r="Q599" i="5" s="1"/>
  <c r="N599" i="5" s="1"/>
  <c r="I598" i="5"/>
  <c r="O599" i="5"/>
  <c r="P599" i="5" s="1"/>
  <c r="I599" i="5"/>
  <c r="H600" i="5" l="1"/>
  <c r="I600" i="5"/>
  <c r="Q600" i="5"/>
  <c r="O600" i="5" l="1"/>
  <c r="P600" i="5" s="1"/>
  <c r="N600" i="5"/>
  <c r="H601" i="5"/>
  <c r="I601" i="5" s="1"/>
  <c r="Q601" i="5" l="1"/>
  <c r="O601" i="5" s="1"/>
  <c r="P601" i="5" s="1"/>
  <c r="H602" i="5" l="1"/>
  <c r="I602" i="5" s="1"/>
  <c r="N601" i="5"/>
  <c r="Q602" i="5" l="1"/>
  <c r="H603" i="5" l="1"/>
  <c r="I603" i="5" s="1"/>
  <c r="O602" i="5"/>
  <c r="P602" i="5" s="1"/>
  <c r="N602" i="5"/>
  <c r="Q603" i="5" l="1"/>
  <c r="O603" i="5" l="1"/>
  <c r="P603" i="5" s="1"/>
  <c r="H604" i="5"/>
  <c r="I604" i="5" s="1"/>
  <c r="N603" i="5"/>
  <c r="Q604" i="5"/>
  <c r="O604" i="5" l="1"/>
  <c r="P604" i="5" s="1"/>
  <c r="N604" i="5"/>
</calcChain>
</file>

<file path=xl/sharedStrings.xml><?xml version="1.0" encoding="utf-8"?>
<sst xmlns="http://schemas.openxmlformats.org/spreadsheetml/2006/main" count="257" uniqueCount="185">
  <si>
    <t>Inflação</t>
  </si>
  <si>
    <t>Anos</t>
  </si>
  <si>
    <t>Mês</t>
  </si>
  <si>
    <t>Ano</t>
  </si>
  <si>
    <t>Depósito</t>
  </si>
  <si>
    <t>Acumulado</t>
  </si>
  <si>
    <t>Juros</t>
  </si>
  <si>
    <t>Valor Total</t>
  </si>
  <si>
    <t>Valor Presente</t>
  </si>
  <si>
    <t>Gráfico Patrimônio</t>
  </si>
  <si>
    <t>Taxa da Aplicação</t>
  </si>
  <si>
    <t>Período de Aplicação</t>
  </si>
  <si>
    <t>Crescimento Salário</t>
  </si>
  <si>
    <t>Planejamento Financeiro</t>
  </si>
  <si>
    <t>Sim</t>
  </si>
  <si>
    <t>Corrigir Aportes pela inflação?</t>
  </si>
  <si>
    <t>Corrigir Patrimônio pela inflação?</t>
  </si>
  <si>
    <t>Anual</t>
  </si>
  <si>
    <t>Mensal</t>
  </si>
  <si>
    <t>Meses</t>
  </si>
  <si>
    <t>Começar planejamento</t>
  </si>
  <si>
    <t>Este mês</t>
  </si>
  <si>
    <t>Mês Atual</t>
  </si>
  <si>
    <t>Incluir Imposto de Renda?</t>
  </si>
  <si>
    <t>Dados Gráfico</t>
  </si>
  <si>
    <t>Name Manager</t>
  </si>
  <si>
    <t xml:space="preserve"> ='HC Investimentos - Planejador Financeiro.xlsx'!total</t>
  </si>
  <si>
    <t>A %</t>
  </si>
  <si>
    <t>J %</t>
  </si>
  <si>
    <t>I %</t>
  </si>
  <si>
    <t>Aportes</t>
  </si>
  <si>
    <t>Quanto você possui hoje que será destinado para aplicações?</t>
  </si>
  <si>
    <t>Faça com que seus aportes crescam na mesma medida da inflação esperada</t>
  </si>
  <si>
    <t>%J = %A</t>
  </si>
  <si>
    <t>J = A</t>
  </si>
  <si>
    <t>Patrimônio</t>
  </si>
  <si>
    <t>Juros R</t>
  </si>
  <si>
    <t>Acumulado R</t>
  </si>
  <si>
    <t>JR %</t>
  </si>
  <si>
    <t>% Aportes</t>
  </si>
  <si>
    <t>Juros %</t>
  </si>
  <si>
    <t>% A</t>
  </si>
  <si>
    <t>% J</t>
  </si>
  <si>
    <t>Valor</t>
  </si>
  <si>
    <t>Auxiliar - Dados de 5 em 5 anos</t>
  </si>
  <si>
    <t>Auxiliar - Dados Principais de Análise</t>
  </si>
  <si>
    <t>Valor Nominal</t>
  </si>
  <si>
    <t>Capital Inicial + Aportes</t>
  </si>
  <si>
    <t>Juros Acumulados Nominal</t>
  </si>
  <si>
    <t>Juros Acumulados Real</t>
  </si>
  <si>
    <t>1 Milhão em</t>
  </si>
  <si>
    <t>Auxiliar - Quando irá alcançar?</t>
  </si>
  <si>
    <t>Auxiliar - Valores no final do planejamento</t>
  </si>
  <si>
    <t xml:space="preserve"> ='HC Investimentos - Planejador Financeiro.xlsx'!Total</t>
  </si>
  <si>
    <t xml:space="preserve"> ='HC Investimentos - Planejador Financeiro.xlsx'!Presente</t>
  </si>
  <si>
    <t xml:space="preserve"> =Calc!$R$5:OFFSET(Calc!$R$5;Calc!$AB$5;0)</t>
  </si>
  <si>
    <t xml:space="preserve"> =Calc!$Q$5:OFFSET(Calc!$Q$5;Calc!$AB$5;0)</t>
  </si>
  <si>
    <t>Nome planilha</t>
  </si>
  <si>
    <t>Match</t>
  </si>
  <si>
    <t>Auxiliar - Dados para Auxiliar 5 em 5 anos</t>
  </si>
  <si>
    <t>Offset Mês</t>
  </si>
  <si>
    <t>Offset ano</t>
  </si>
  <si>
    <t xml:space="preserve"> ='HC Investimentos - Planejador Financeiro.xlsx'!Data</t>
  </si>
  <si>
    <t xml:space="preserve"> =Calc!$U$5:OFFSET(Calc!$U$5;Calc!$AC$4;0)</t>
  </si>
  <si>
    <t>Data_Anual</t>
  </si>
  <si>
    <t>Data_Mensal</t>
  </si>
  <si>
    <t>Valor_Total</t>
  </si>
  <si>
    <t>Valor_Presente</t>
  </si>
  <si>
    <t xml:space="preserve"> =Calc!$V$5:OFFSET(Calc!$V$5;Calc!$AC$6;0)</t>
  </si>
  <si>
    <t>Patrimônio_Anual</t>
  </si>
  <si>
    <t xml:space="preserve"> =Calc!$X$5:OFFSET(Calc!$X$5;Calc!$AC$6;0)</t>
  </si>
  <si>
    <t xml:space="preserve"> ='HC Investimentos - Planejador Financeiro.xlsx'!Data_Anual</t>
  </si>
  <si>
    <t xml:space="preserve"> ='HC Investimentos - Planejador Financeiro.xlsx'!Patrimônio_Anual</t>
  </si>
  <si>
    <t>% de juros sobre o total</t>
  </si>
  <si>
    <t>% de capital próprio sobre o total</t>
  </si>
  <si>
    <t>Capital Inicial + Aportes:</t>
  </si>
  <si>
    <t>Valor ganho em Juros:</t>
  </si>
  <si>
    <t>Distribuição % Aportes e % Juros no Patrimônio</t>
  </si>
  <si>
    <t>Evolução do Patrimônio</t>
  </si>
  <si>
    <t>Alcançará R$ 1 Milhão em:</t>
  </si>
  <si>
    <t>Auxiliar - Variáveis</t>
  </si>
  <si>
    <t>Patrimônio Real</t>
  </si>
  <si>
    <t>Patrimônio Nominal</t>
  </si>
  <si>
    <t>Com IR</t>
  </si>
  <si>
    <t>Sem IR</t>
  </si>
  <si>
    <t>Com Crescimento Salárial</t>
  </si>
  <si>
    <t>Sem Crescimento Salárial</t>
  </si>
  <si>
    <t>Todas Variáveis</t>
  </si>
  <si>
    <t>Evolução do Patrimônio de 5 em 5 anos</t>
  </si>
  <si>
    <t xml:space="preserve"> ='Calc (2)'!$X$5:OFFSET('Calc (2)'!$X$5;'Calc (2)'!$AC$6;0)</t>
  </si>
  <si>
    <t xml:space="preserve"> ='Calc (2)'!$V$5:OFFSET('Calc (2)'!$V$5;'Calc (2)'!$AC$6;0)</t>
  </si>
  <si>
    <t xml:space="preserve"> ='HC Investimentos - Planejador Financeiro.xlsx'!Data_Anual2</t>
  </si>
  <si>
    <t xml:space="preserve"> ='HC Investimentos - Planejador Financeiro.xlsx'!Patrimônio_Anual2</t>
  </si>
  <si>
    <t>Auxiliar</t>
  </si>
  <si>
    <t>Referências para name manager e gráficos</t>
  </si>
  <si>
    <t>Defina o tempo de aplicação de seus investimentos. Prazo máximo = 50 anos.</t>
  </si>
  <si>
    <t>Estime a inflação para a simulação - Meta do Banco Central = 4,5% a.a.</t>
  </si>
  <si>
    <t>Quanto você consegue juntar para adicionar ao seu planejamento?</t>
  </si>
  <si>
    <t>Defina se começará suas aplicações neste mês ou somente no próximo.</t>
  </si>
  <si>
    <t>Inclua o efeito da inflação nos seu planejamento - Adequado para resultados reais</t>
  </si>
  <si>
    <r>
      <t xml:space="preserve">Taxa de crescimento </t>
    </r>
    <r>
      <rPr>
        <u/>
        <sz val="11"/>
        <color indexed="55"/>
        <rFont val="Calibri"/>
        <family val="2"/>
      </rPr>
      <t>anual</t>
    </r>
    <r>
      <rPr>
        <sz val="11"/>
        <color indexed="55"/>
        <rFont val="Calibri"/>
        <family val="2"/>
      </rPr>
      <t xml:space="preserve"> dos aportes para seguir crescimento salarial. Padrão = 5%</t>
    </r>
  </si>
  <si>
    <t>Considere o IR como custo de transação. 15% é adequado para o longo prazo</t>
  </si>
  <si>
    <t>k = Mil  |  1.000 k = 1 milhão</t>
  </si>
  <si>
    <t xml:space="preserve"> ='Calc (3)'!$X$5:OFFSET('Calc (3)'!$X$5;'Calc (3)'!$AC$6;0)</t>
  </si>
  <si>
    <t xml:space="preserve"> ='Calc (3)'!$v$5:OFFSET('Calc (3)'!$v$5;'Calc (3)'!$AC$6;0)</t>
  </si>
  <si>
    <t xml:space="preserve"> ='HC Investimentos - Planejador Financeiro.xlsx'!Data_Anual3</t>
  </si>
  <si>
    <t xml:space="preserve"> ='HC Investimentos - Planejador Financeiro.xlsx'!Patrimônio_Anual3</t>
  </si>
  <si>
    <t>Data_Anual_2</t>
  </si>
  <si>
    <t>Patrimônio_Anual_2</t>
  </si>
  <si>
    <t>Data_Anual_3</t>
  </si>
  <si>
    <t>Patrimônio_Anual_3</t>
  </si>
  <si>
    <t>Patrimônio Efetivo</t>
  </si>
  <si>
    <t>Juros Efetivos</t>
  </si>
  <si>
    <t>Check Box</t>
  </si>
  <si>
    <t>Este Mês</t>
  </si>
  <si>
    <t>=Calc!$AF$27</t>
  </si>
  <si>
    <t>Capital_Inicial</t>
  </si>
  <si>
    <t>=Calc!$AD$26</t>
  </si>
  <si>
    <t>Crescimento_Salário</t>
  </si>
  <si>
    <t>=Calc!$AF$35</t>
  </si>
  <si>
    <t>=Calc!$X$5:OFFSET(Calc!$X$5;Calc!$AC$6;0)</t>
  </si>
  <si>
    <t>='Calc (2)'!$X$5:OFFSET('Calc (2)'!$X$5;'Calc (2)'!$AC$6;0)</t>
  </si>
  <si>
    <t>='Calc (3)'!$X$5:OFFSET('Calc (3)'!$X$5;'Calc (3)'!$AC$6;0)</t>
  </si>
  <si>
    <t>=Calc!$U$5:OFFSET(Calc!$U$5;Calc!$AC$4;0)</t>
  </si>
  <si>
    <t>=Calc!$AF$30</t>
  </si>
  <si>
    <t>Mês_Atual</t>
  </si>
  <si>
    <t>=Calc!$AF$4</t>
  </si>
  <si>
    <t>=Calc!$V$5:OFFSET(Calc!$V$5;Calc!$AC$6;0)</t>
  </si>
  <si>
    <t>='Calc (2)'!$V$5:OFFSET('Calc (2)'!$V$5;'Calc (2)'!$AC$6;0)</t>
  </si>
  <si>
    <t>='Calc (3)'!$V$5:OFFSET('Calc (3)'!$V$5;'Calc (3)'!$AC$6;0)</t>
  </si>
  <si>
    <t>Período</t>
  </si>
  <si>
    <t>=Calc!$AF$29</t>
  </si>
  <si>
    <t>Taxa</t>
  </si>
  <si>
    <t>=Calc!$AF$28</t>
  </si>
  <si>
    <t>=Calc!$R$5:OFFSET(Calc!$R$5;Calc!$AC$4;0)</t>
  </si>
  <si>
    <t>=Calc!$Q$5:OFFSET(Calc!$Q$5;Calc!$AC$4;0)</t>
  </si>
  <si>
    <t>Name Manager (Apertando F3)</t>
  </si>
  <si>
    <t>DATA</t>
  </si>
  <si>
    <t>IPCA</t>
  </si>
  <si>
    <t>IGPM</t>
  </si>
  <si>
    <t>Poupança</t>
  </si>
  <si>
    <t>CDI</t>
  </si>
  <si>
    <t>IRF-M</t>
  </si>
  <si>
    <t>IMA-S</t>
  </si>
  <si>
    <t>IMA-C</t>
  </si>
  <si>
    <t>IMA-B</t>
  </si>
  <si>
    <t>IMA - Geral</t>
  </si>
  <si>
    <t>IMA-Geral ex-C</t>
  </si>
  <si>
    <t>DÓLAR</t>
  </si>
  <si>
    <t>EURO</t>
  </si>
  <si>
    <t>OURO</t>
  </si>
  <si>
    <t>IBOV</t>
  </si>
  <si>
    <t>SMLL</t>
  </si>
  <si>
    <t>Dados Históricos</t>
  </si>
  <si>
    <t>Rentabilidade esperada através da alocação da carteira previamente definida</t>
  </si>
  <si>
    <t>IRF-M 1</t>
  </si>
  <si>
    <t>IRF-M 1+</t>
  </si>
  <si>
    <t>IMA-C 5</t>
  </si>
  <si>
    <t xml:space="preserve"> IMA-C 5+</t>
  </si>
  <si>
    <t>IMA-B 5</t>
  </si>
  <si>
    <t>IMA-B 5+</t>
  </si>
  <si>
    <t>link</t>
  </si>
  <si>
    <t>Atualização &gt;</t>
  </si>
  <si>
    <t>Retornos Mensais Históricos a partir do plano Real, em julho/1994</t>
  </si>
  <si>
    <r>
      <rPr>
        <b/>
        <sz val="12"/>
        <color theme="6" tint="-0.249977111117893"/>
        <rFont val="Arial"/>
        <family val="2"/>
      </rPr>
      <t>% Aportes</t>
    </r>
    <r>
      <rPr>
        <b/>
        <sz val="12"/>
        <color indexed="59"/>
        <rFont val="Arial"/>
        <family val="2"/>
      </rPr>
      <t xml:space="preserve"> </t>
    </r>
    <r>
      <rPr>
        <b/>
        <sz val="12"/>
        <rFont val="Arial"/>
        <family val="2"/>
      </rPr>
      <t>|</t>
    </r>
    <r>
      <rPr>
        <b/>
        <sz val="12"/>
        <color indexed="59"/>
        <rFont val="Arial"/>
        <family val="2"/>
      </rPr>
      <t xml:space="preserve"> </t>
    </r>
    <r>
      <rPr>
        <b/>
        <sz val="12"/>
        <color theme="9" tint="-0.249977111117893"/>
        <rFont val="Arial"/>
        <family val="2"/>
      </rPr>
      <t>Juros %</t>
    </r>
  </si>
  <si>
    <t>***Aportes têm maior imporância no início do que no final</t>
  </si>
  <si>
    <t>***Valores tomam a forma de uma exponencial ao longo do tempo</t>
  </si>
  <si>
    <t>Aportes (mensal)</t>
  </si>
  <si>
    <t>Retorno Nominal Esperado (ao ano)</t>
  </si>
  <si>
    <t>Primeiro Aporte</t>
  </si>
  <si>
    <t>Retorno Esperado/Inflação</t>
  </si>
  <si>
    <t>Período de Aplicação (em anos)</t>
  </si>
  <si>
    <t>n</t>
  </si>
  <si>
    <t>i</t>
  </si>
  <si>
    <t>pmt</t>
  </si>
  <si>
    <t xml:space="preserve">p </t>
  </si>
  <si>
    <t>começo</t>
  </si>
  <si>
    <t>inflação?</t>
  </si>
  <si>
    <t>Taxa de crescimento dos aportes (ao ano)</t>
  </si>
  <si>
    <t>aportes pela inflação</t>
  </si>
  <si>
    <t>IR</t>
  </si>
  <si>
    <t>Dias</t>
  </si>
  <si>
    <t>Você prefere 1 milhão de reais hoje, ou ter 1 centavo dobrando a cada dia?</t>
  </si>
  <si>
    <t>DESAFIO DO R$ 0,01</t>
  </si>
  <si>
    <t>Plano do Milhão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</si>
</sst>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(* #,##0.00_);_(* \(#,##0.00\);_(* &quot;-&quot;??_);_(@_)"/>
    <numFmt numFmtId="164" formatCode="_-&quot;R$&quot;\ * #,##0.00_-;\-&quot;R$&quot;\ * #,##0.00_-;_-&quot;R$&quot;\ * &quot;-&quot;??_-;_-@_-"/>
    <numFmt numFmtId="165" formatCode="_([$€]* #,##0.00_);_([$€]* \(#,##0.00\);_([$€]* &quot;-&quot;??_);_(@_)"/>
    <numFmt numFmtId="166" formatCode="[$-416]mmm\-yy;@"/>
    <numFmt numFmtId="167" formatCode="&quot;R$ &quot;#,##0"/>
    <numFmt numFmtId="168" formatCode="&quot;R$ &quot;#,##0.00"/>
    <numFmt numFmtId="169" formatCode="mmmm/yyyy"/>
    <numFmt numFmtId="170" formatCode="yyyy"/>
    <numFmt numFmtId="171" formatCode="0.0%"/>
  </numFmts>
  <fonts count="74" x14ac:knownFonts="1">
    <font>
      <sz val="11"/>
      <color theme="1"/>
      <name val="Calibri"/>
      <family val="2"/>
      <scheme val="minor"/>
    </font>
    <font>
      <sz val="10"/>
      <name val="MS Sans Serif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8"/>
      <color indexed="62"/>
      <name val="Cambria"/>
      <family val="2"/>
    </font>
    <font>
      <sz val="11"/>
      <color indexed="55"/>
      <name val="Calibri"/>
      <family val="2"/>
    </font>
    <font>
      <u/>
      <sz val="11"/>
      <color indexed="55"/>
      <name val="Calibri"/>
      <family val="2"/>
    </font>
    <font>
      <u/>
      <sz val="10"/>
      <color indexed="12"/>
      <name val="Arial"/>
      <family val="2"/>
    </font>
    <font>
      <u/>
      <sz val="10"/>
      <color indexed="63"/>
      <name val="Arial"/>
      <family val="2"/>
    </font>
    <font>
      <sz val="11"/>
      <color theme="1"/>
      <name val="Calibri"/>
      <family val="2"/>
      <scheme val="minor"/>
    </font>
    <font>
      <b/>
      <sz val="14"/>
      <color rgb="FF0070C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0070C0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0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sz val="10"/>
      <color theme="1" tint="0.249977111117893"/>
      <name val="Calibri"/>
      <family val="2"/>
      <scheme val="minor"/>
    </font>
    <font>
      <sz val="10"/>
      <color theme="1" tint="0.499984740745262"/>
      <name val="Calibri"/>
      <family val="2"/>
      <scheme val="minor"/>
    </font>
    <font>
      <sz val="10"/>
      <color rgb="FF0070C0"/>
      <name val="Calibri"/>
      <family val="2"/>
      <scheme val="minor"/>
    </font>
    <font>
      <sz val="10"/>
      <color theme="1" tint="0.499984740745262"/>
      <name val="Arial"/>
      <family val="2"/>
    </font>
    <font>
      <i/>
      <sz val="11"/>
      <color theme="1" tint="0.499984740745262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3"/>
      <color rgb="FF0070C0"/>
      <name val="Calibri"/>
      <family val="2"/>
      <scheme val="minor"/>
    </font>
    <font>
      <b/>
      <sz val="10"/>
      <color theme="6" tint="-0.499984740745262"/>
      <name val="Calibri"/>
      <family val="2"/>
      <scheme val="minor"/>
    </font>
    <font>
      <sz val="10"/>
      <color theme="8" tint="-0.249977111117893"/>
      <name val="Calibri"/>
      <family val="2"/>
      <scheme val="minor"/>
    </font>
    <font>
      <b/>
      <sz val="10"/>
      <color rgb="FF7030A0"/>
      <name val="Calibri"/>
      <family val="2"/>
      <scheme val="minor"/>
    </font>
    <font>
      <b/>
      <sz val="10"/>
      <color theme="1" tint="0.249977111117893"/>
      <name val="Calibri"/>
      <family val="2"/>
      <scheme val="minor"/>
    </font>
    <font>
      <b/>
      <sz val="10"/>
      <color theme="1" tint="0.499984740745262"/>
      <name val="Calibri"/>
      <family val="2"/>
      <scheme val="minor"/>
    </font>
    <font>
      <b/>
      <sz val="12"/>
      <color rgb="FF283214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sz val="12"/>
      <color rgb="FF0070C0"/>
      <name val="Calibri"/>
      <family val="2"/>
      <scheme val="minor"/>
    </font>
    <font>
      <sz val="10"/>
      <color theme="4" tint="0.39997558519241921"/>
      <name val="Calibri"/>
      <family val="2"/>
      <scheme val="minor"/>
    </font>
    <font>
      <sz val="8"/>
      <color theme="4" tint="0.59999389629810485"/>
      <name val="Calibri"/>
      <family val="2"/>
      <scheme val="minor"/>
    </font>
    <font>
      <sz val="11"/>
      <name val="Calibri"/>
      <family val="2"/>
      <scheme val="minor"/>
    </font>
    <font>
      <b/>
      <sz val="13"/>
      <name val="Calibri"/>
      <family val="2"/>
      <scheme val="minor"/>
    </font>
    <font>
      <sz val="12"/>
      <name val="Calibri"/>
      <family val="2"/>
      <scheme val="minor"/>
    </font>
    <font>
      <u/>
      <sz val="10"/>
      <color theme="4" tint="0.59999389629810485"/>
      <name val="Arial"/>
      <family val="2"/>
    </font>
    <font>
      <sz val="11"/>
      <color theme="1" tint="0.34998626667073579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1" tint="0.249977111117893"/>
      <name val="Arial"/>
      <family val="2"/>
    </font>
    <font>
      <b/>
      <sz val="12"/>
      <color rgb="FF283214"/>
      <name val="Arial"/>
      <family val="2"/>
    </font>
    <font>
      <b/>
      <sz val="12"/>
      <color indexed="59"/>
      <name val="Arial"/>
      <family val="2"/>
    </font>
    <font>
      <b/>
      <sz val="10"/>
      <color theme="0"/>
      <name val="Arial"/>
      <family val="2"/>
    </font>
    <font>
      <b/>
      <sz val="12"/>
      <color theme="9" tint="-0.249977111117893"/>
      <name val="Arial"/>
      <family val="2"/>
    </font>
    <font>
      <b/>
      <sz val="12"/>
      <name val="Arial"/>
      <family val="2"/>
    </font>
    <font>
      <b/>
      <sz val="12"/>
      <color theme="6" tint="-0.249977111117893"/>
      <name val="Arial"/>
      <family val="2"/>
    </font>
    <font>
      <sz val="11"/>
      <color theme="1"/>
      <name val="Arial"/>
      <family val="2"/>
    </font>
    <font>
      <b/>
      <sz val="13"/>
      <name val="Arial"/>
      <family val="2"/>
    </font>
    <font>
      <sz val="11"/>
      <name val="Arial"/>
      <family val="2"/>
    </font>
    <font>
      <b/>
      <sz val="18"/>
      <name val="Arial"/>
      <family val="2"/>
    </font>
    <font>
      <b/>
      <sz val="16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sz val="8"/>
      <name val="Calibri"/>
      <family val="2"/>
      <scheme val="minor"/>
    </font>
    <font>
      <sz val="13"/>
      <color theme="1"/>
      <name val="Arial"/>
      <family val="2"/>
    </font>
    <font>
      <sz val="11"/>
      <color rgb="FF000000"/>
      <name val="Calibri"/>
      <family val="2"/>
    </font>
    <font>
      <b/>
      <sz val="11"/>
      <color theme="1"/>
      <name val="Arial"/>
      <family val="2"/>
    </font>
    <font>
      <b/>
      <sz val="11"/>
      <color theme="9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9"/>
        <bgColor indexed="64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7" tint="0.39997558519241921"/>
        <bgColor indexed="64"/>
      </patternFill>
    </fill>
  </fills>
  <borders count="5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medium">
        <color indexed="23"/>
      </top>
      <bottom style="thin">
        <color indexed="23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23"/>
      </top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/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/>
      <diagonal/>
    </border>
    <border>
      <left/>
      <right style="thin">
        <color theme="0" tint="-0.14999847407452621"/>
      </right>
      <top/>
      <bottom/>
      <diagonal/>
    </border>
    <border>
      <left/>
      <right style="thin">
        <color theme="0" tint="-0.14999847407452621"/>
      </right>
      <top/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/>
      <top/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 style="thin">
        <color theme="2"/>
      </bottom>
      <diagonal/>
    </border>
    <border>
      <left/>
      <right/>
      <top style="thin">
        <color theme="2"/>
      </top>
      <bottom style="thin">
        <color theme="2"/>
      </bottom>
      <diagonal/>
    </border>
    <border>
      <left style="thin">
        <color theme="0" tint="-0.14999847407452621"/>
      </left>
      <right style="thin">
        <color theme="2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2"/>
      </right>
      <top style="thin">
        <color theme="0" tint="-0.14999847407452621"/>
      </top>
      <bottom style="thin">
        <color theme="2"/>
      </bottom>
      <diagonal/>
    </border>
    <border>
      <left style="thin">
        <color theme="0" tint="-0.14999847407452621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0" tint="-0.14999847407452621"/>
      </left>
      <right style="thin">
        <color theme="2"/>
      </right>
      <top/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2"/>
      </bottom>
      <diagonal/>
    </border>
    <border>
      <left/>
      <right style="thin">
        <color theme="0" tint="-0.14999847407452621"/>
      </right>
      <top style="thin">
        <color theme="2"/>
      </top>
      <bottom style="thin">
        <color theme="2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2"/>
      </bottom>
      <diagonal/>
    </border>
    <border>
      <left style="thin">
        <color theme="0" tint="-0.14999847407452621"/>
      </left>
      <right/>
      <top style="thin">
        <color theme="2"/>
      </top>
      <bottom style="thin">
        <color theme="2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2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2"/>
      </top>
      <bottom style="thin">
        <color theme="2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/>
      <diagonal/>
    </border>
    <border>
      <left/>
      <right/>
      <top style="thin">
        <color theme="0" tint="-0.14999847407452621"/>
      </top>
      <bottom/>
      <diagonal/>
    </border>
    <border>
      <left/>
      <right/>
      <top/>
      <bottom style="thin">
        <color theme="2"/>
      </bottom>
      <diagonal/>
    </border>
    <border>
      <left/>
      <right style="thin">
        <color theme="0" tint="-0.14999847407452621"/>
      </right>
      <top/>
      <bottom style="thin">
        <color theme="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 tint="-0.14999847407452621"/>
      </right>
      <top style="thin">
        <color indexed="64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indexed="64"/>
      </top>
      <bottom style="thin">
        <color theme="0" tint="-0.14999847407452621"/>
      </bottom>
      <diagonal/>
    </border>
    <border>
      <left/>
      <right style="thin">
        <color indexed="64"/>
      </right>
      <top style="thin">
        <color indexed="64"/>
      </top>
      <bottom style="thin">
        <color theme="0" tint="-0.14999847407452621"/>
      </bottom>
      <diagonal/>
    </border>
    <border>
      <left style="thin">
        <color indexed="64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indexed="64"/>
      </left>
      <right style="thin">
        <color theme="0" tint="-0.14999847407452621"/>
      </right>
      <top/>
      <bottom/>
      <diagonal/>
    </border>
    <border>
      <left style="thin">
        <color indexed="64"/>
      </left>
      <right style="thin">
        <color theme="0" tint="-0.14999847407452621"/>
      </right>
      <top/>
      <bottom style="thin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indexed="64"/>
      </bottom>
      <diagonal/>
    </border>
    <border>
      <left/>
      <right style="thin">
        <color theme="0" tint="-0.14999847407452621"/>
      </right>
      <top/>
      <bottom style="thin">
        <color indexed="64"/>
      </bottom>
      <diagonal/>
    </border>
    <border>
      <left style="thin">
        <color theme="0" tint="-0.14999847407452621"/>
      </left>
      <right style="thin">
        <color indexed="64"/>
      </right>
      <top style="thin">
        <color indexed="64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indexed="64"/>
      </right>
      <top style="thin">
        <color theme="0" tint="-0.14999847407452621"/>
      </top>
      <bottom/>
      <diagonal/>
    </border>
    <border>
      <left style="thin">
        <color theme="0" tint="-0.14999847407452621"/>
      </left>
      <right style="thin">
        <color indexed="64"/>
      </right>
      <top/>
      <bottom/>
      <diagonal/>
    </border>
    <border>
      <left style="thin">
        <color theme="0" tint="-0.14999847407452621"/>
      </left>
      <right style="thin">
        <color indexed="64"/>
      </right>
      <top/>
      <bottom style="thin">
        <color indexed="64"/>
      </bottom>
      <diagonal/>
    </border>
  </borders>
  <cellStyleXfs count="56">
    <xf numFmtId="0" fontId="0" fillId="0" borderId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4" borderId="0" applyNumberFormat="0" applyBorder="0" applyAlignment="0" applyProtection="0"/>
    <xf numFmtId="0" fontId="3" fillId="2" borderId="0" applyNumberFormat="0" applyBorder="0" applyAlignment="0" applyProtection="0"/>
    <xf numFmtId="0" fontId="3" fillId="12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8" borderId="0" applyNumberFormat="0" applyBorder="0" applyAlignment="0" applyProtection="0"/>
    <xf numFmtId="0" fontId="3" fillId="12" borderId="0" applyNumberFormat="0" applyBorder="0" applyAlignment="0" applyProtection="0"/>
    <xf numFmtId="0" fontId="3" fillId="14" borderId="0" applyNumberFormat="0" applyBorder="0" applyAlignment="0" applyProtection="0"/>
    <xf numFmtId="0" fontId="4" fillId="16" borderId="0" applyNumberFormat="0" applyBorder="0" applyAlignment="0" applyProtection="0"/>
    <xf numFmtId="0" fontId="4" fillId="10" borderId="0" applyNumberFormat="0" applyBorder="0" applyAlignment="0" applyProtection="0"/>
    <xf numFmtId="0" fontId="4" fillId="13" borderId="0" applyNumberFormat="0" applyBorder="0" applyAlignment="0" applyProtection="0"/>
    <xf numFmtId="0" fontId="4" fillId="17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5" fillId="7" borderId="0" applyNumberFormat="0" applyBorder="0" applyAlignment="0" applyProtection="0"/>
    <xf numFmtId="0" fontId="6" fillId="9" borderId="1" applyNumberFormat="0" applyAlignment="0" applyProtection="0"/>
    <xf numFmtId="0" fontId="7" fillId="20" borderId="2" applyNumberFormat="0" applyAlignment="0" applyProtection="0"/>
    <xf numFmtId="0" fontId="8" fillId="0" borderId="3" applyNumberFormat="0" applyFill="0" applyAlignment="0" applyProtection="0"/>
    <xf numFmtId="43" fontId="2" fillId="0" borderId="0" applyFont="0" applyFill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17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9" fillId="2" borderId="1" applyNumberFormat="0" applyAlignment="0" applyProtection="0"/>
    <xf numFmtId="165" fontId="2" fillId="0" borderId="0" applyFon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23" fillId="0" borderId="0" applyNumberFormat="0" applyFill="0" applyBorder="0" applyAlignment="0" applyProtection="0">
      <alignment vertical="top"/>
      <protection locked="0"/>
    </xf>
    <xf numFmtId="0" fontId="10" fillId="6" borderId="0" applyNumberFormat="0" applyBorder="0" applyAlignment="0" applyProtection="0"/>
    <xf numFmtId="0" fontId="11" fillId="11" borderId="0" applyNumberFormat="0" applyBorder="0" applyAlignment="0" applyProtection="0"/>
    <xf numFmtId="0" fontId="2" fillId="0" borderId="0"/>
    <xf numFmtId="0" fontId="2" fillId="0" borderId="0"/>
    <xf numFmtId="0" fontId="1" fillId="0" borderId="0"/>
    <xf numFmtId="0" fontId="3" fillId="3" borderId="5" applyNumberFormat="0" applyFont="0" applyAlignment="0" applyProtection="0"/>
    <xf numFmtId="0" fontId="3" fillId="25" borderId="15" applyNumberFormat="0" applyFont="0" applyAlignment="0" applyProtection="0"/>
    <xf numFmtId="9" fontId="24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2" fillId="9" borderId="6" applyNumberFormat="0" applyAlignment="0" applyProtection="0"/>
    <xf numFmtId="40" fontId="1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7" applyNumberFormat="0" applyFill="0" applyAlignment="0" applyProtection="0"/>
    <xf numFmtId="0" fontId="17" fillId="0" borderId="4" applyNumberFormat="0" applyFill="0" applyAlignment="0" applyProtection="0"/>
    <xf numFmtId="0" fontId="18" fillId="0" borderId="8" applyNumberFormat="0" applyFill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4" fillId="0" borderId="0"/>
    <xf numFmtId="0" fontId="54" fillId="0" borderId="0"/>
    <xf numFmtId="164" fontId="24" fillId="0" borderId="0" applyFont="0" applyFill="0" applyBorder="0" applyAlignment="0" applyProtection="0"/>
  </cellStyleXfs>
  <cellXfs count="226">
    <xf numFmtId="0" fontId="0" fillId="0" borderId="0" xfId="0"/>
    <xf numFmtId="0" fontId="25" fillId="0" borderId="0" xfId="0" applyFont="1"/>
    <xf numFmtId="0" fontId="26" fillId="0" borderId="0" xfId="0" applyFont="1"/>
    <xf numFmtId="0" fontId="27" fillId="0" borderId="0" xfId="0" applyFont="1"/>
    <xf numFmtId="40" fontId="28" fillId="26" borderId="9" xfId="44" applyFont="1" applyFill="1" applyBorder="1" applyAlignment="1" applyProtection="1">
      <alignment horizontal="center" vertical="center"/>
    </xf>
    <xf numFmtId="0" fontId="29" fillId="0" borderId="0" xfId="0" applyFont="1" applyAlignment="1">
      <alignment horizontal="center"/>
    </xf>
    <xf numFmtId="40" fontId="30" fillId="24" borderId="16" xfId="44" applyFont="1" applyFill="1" applyBorder="1" applyProtection="1"/>
    <xf numFmtId="40" fontId="30" fillId="24" borderId="17" xfId="44" applyFont="1" applyFill="1" applyBorder="1" applyProtection="1"/>
    <xf numFmtId="0" fontId="31" fillId="24" borderId="16" xfId="38" applyFont="1" applyFill="1" applyBorder="1" applyAlignment="1" applyProtection="1">
      <alignment horizontal="center"/>
    </xf>
    <xf numFmtId="0" fontId="31" fillId="24" borderId="17" xfId="38" applyFont="1" applyFill="1" applyBorder="1" applyAlignment="1" applyProtection="1">
      <alignment horizontal="center"/>
    </xf>
    <xf numFmtId="40" fontId="32" fillId="24" borderId="16" xfId="44" applyFont="1" applyFill="1" applyBorder="1" applyProtection="1"/>
    <xf numFmtId="40" fontId="32" fillId="24" borderId="16" xfId="44" applyFont="1" applyFill="1" applyBorder="1" applyAlignment="1" applyProtection="1">
      <alignment horizontal="center"/>
    </xf>
    <xf numFmtId="9" fontId="32" fillId="24" borderId="16" xfId="42" applyFont="1" applyFill="1" applyBorder="1" applyAlignment="1" applyProtection="1">
      <alignment horizontal="center"/>
    </xf>
    <xf numFmtId="40" fontId="32" fillId="24" borderId="17" xfId="44" applyFont="1" applyFill="1" applyBorder="1" applyProtection="1"/>
    <xf numFmtId="40" fontId="32" fillId="24" borderId="17" xfId="44" applyFont="1" applyFill="1" applyBorder="1" applyAlignment="1" applyProtection="1">
      <alignment horizontal="center"/>
    </xf>
    <xf numFmtId="9" fontId="32" fillId="24" borderId="17" xfId="42" applyFont="1" applyFill="1" applyBorder="1" applyAlignment="1" applyProtection="1">
      <alignment horizontal="center"/>
    </xf>
    <xf numFmtId="0" fontId="26" fillId="0" borderId="0" xfId="0" applyNumberFormat="1" applyFont="1"/>
    <xf numFmtId="166" fontId="33" fillId="0" borderId="16" xfId="0" applyNumberFormat="1" applyFont="1" applyBorder="1" applyAlignment="1">
      <alignment horizontal="center"/>
    </xf>
    <xf numFmtId="166" fontId="33" fillId="0" borderId="17" xfId="0" applyNumberFormat="1" applyFont="1" applyBorder="1" applyAlignment="1">
      <alignment horizontal="center"/>
    </xf>
    <xf numFmtId="166" fontId="34" fillId="0" borderId="18" xfId="0" applyNumberFormat="1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33" fillId="0" borderId="18" xfId="0" applyFont="1" applyBorder="1" applyAlignment="1">
      <alignment horizontal="center"/>
    </xf>
    <xf numFmtId="10" fontId="29" fillId="0" borderId="0" xfId="0" applyNumberFormat="1" applyFont="1" applyAlignment="1">
      <alignment horizontal="center"/>
    </xf>
    <xf numFmtId="0" fontId="35" fillId="27" borderId="0" xfId="0" applyFont="1" applyFill="1"/>
    <xf numFmtId="166" fontId="33" fillId="0" borderId="0" xfId="0" applyNumberFormat="1" applyFont="1" applyBorder="1" applyAlignment="1">
      <alignment horizontal="center"/>
    </xf>
    <xf numFmtId="166" fontId="33" fillId="0" borderId="18" xfId="0" applyNumberFormat="1" applyFont="1" applyBorder="1" applyAlignment="1">
      <alignment horizontal="center"/>
    </xf>
    <xf numFmtId="0" fontId="33" fillId="0" borderId="0" xfId="0" applyFont="1" applyBorder="1" applyAlignment="1">
      <alignment horizontal="left" indent="1"/>
    </xf>
    <xf numFmtId="9" fontId="32" fillId="24" borderId="17" xfId="42" applyNumberFormat="1" applyFont="1" applyFill="1" applyBorder="1" applyAlignment="1" applyProtection="1">
      <alignment horizontal="center"/>
    </xf>
    <xf numFmtId="0" fontId="0" fillId="0" borderId="0" xfId="0" applyAlignment="1">
      <alignment horizontal="left" indent="1"/>
    </xf>
    <xf numFmtId="0" fontId="26" fillId="0" borderId="0" xfId="0" applyFont="1" applyBorder="1" applyAlignment="1">
      <alignment horizontal="left" vertical="center" indent="1"/>
    </xf>
    <xf numFmtId="0" fontId="0" fillId="0" borderId="0" xfId="0" applyAlignment="1">
      <alignment horizontal="center"/>
    </xf>
    <xf numFmtId="0" fontId="0" fillId="0" borderId="18" xfId="0" applyBorder="1"/>
    <xf numFmtId="0" fontId="36" fillId="0" borderId="0" xfId="0" applyFont="1" applyAlignment="1">
      <alignment horizontal="left" indent="1"/>
    </xf>
    <xf numFmtId="0" fontId="0" fillId="0" borderId="18" xfId="0" applyBorder="1" applyAlignment="1">
      <alignment horizontal="left" indent="1"/>
    </xf>
    <xf numFmtId="0" fontId="0" fillId="0" borderId="18" xfId="0" applyBorder="1" applyAlignment="1">
      <alignment horizontal="center"/>
    </xf>
    <xf numFmtId="0" fontId="0" fillId="0" borderId="0" xfId="0" applyBorder="1"/>
    <xf numFmtId="0" fontId="37" fillId="0" borderId="0" xfId="0" applyFont="1" applyAlignment="1">
      <alignment vertical="center"/>
    </xf>
    <xf numFmtId="0" fontId="37" fillId="0" borderId="18" xfId="0" applyFont="1" applyBorder="1" applyAlignment="1">
      <alignment vertical="center"/>
    </xf>
    <xf numFmtId="0" fontId="26" fillId="0" borderId="0" xfId="0" applyFont="1" applyBorder="1" applyProtection="1"/>
    <xf numFmtId="3" fontId="38" fillId="28" borderId="19" xfId="0" applyNumberFormat="1" applyFont="1" applyFill="1" applyBorder="1" applyAlignment="1">
      <alignment horizontal="center" vertical="center"/>
    </xf>
    <xf numFmtId="0" fontId="26" fillId="0" borderId="0" xfId="0" applyFont="1" applyAlignment="1">
      <alignment horizontal="center"/>
    </xf>
    <xf numFmtId="0" fontId="30" fillId="27" borderId="0" xfId="38" applyFont="1" applyFill="1" applyBorder="1" applyAlignment="1" applyProtection="1">
      <alignment horizontal="center"/>
    </xf>
    <xf numFmtId="38" fontId="30" fillId="27" borderId="0" xfId="38" applyNumberFormat="1" applyFont="1" applyFill="1" applyBorder="1" applyAlignment="1" applyProtection="1"/>
    <xf numFmtId="0" fontId="39" fillId="28" borderId="20" xfId="0" applyFont="1" applyFill="1" applyBorder="1" applyAlignment="1">
      <alignment horizontal="right" vertical="top"/>
    </xf>
    <xf numFmtId="0" fontId="39" fillId="28" borderId="21" xfId="0" applyFont="1" applyFill="1" applyBorder="1" applyAlignment="1">
      <alignment horizontal="right" vertical="top"/>
    </xf>
    <xf numFmtId="0" fontId="40" fillId="0" borderId="0" xfId="0" applyFont="1" applyAlignment="1">
      <alignment horizontal="left"/>
    </xf>
    <xf numFmtId="0" fontId="26" fillId="28" borderId="17" xfId="0" applyFont="1" applyFill="1" applyBorder="1" applyAlignment="1">
      <alignment horizontal="center"/>
    </xf>
    <xf numFmtId="0" fontId="26" fillId="28" borderId="23" xfId="0" applyFont="1" applyFill="1" applyBorder="1" applyAlignment="1">
      <alignment horizontal="center"/>
    </xf>
    <xf numFmtId="40" fontId="41" fillId="27" borderId="18" xfId="44" applyFont="1" applyFill="1" applyBorder="1" applyAlignment="1" applyProtection="1">
      <alignment horizontal="center"/>
    </xf>
    <xf numFmtId="10" fontId="41" fillId="0" borderId="18" xfId="0" applyNumberFormat="1" applyFont="1" applyBorder="1" applyAlignment="1">
      <alignment horizontal="center"/>
    </xf>
    <xf numFmtId="0" fontId="33" fillId="0" borderId="18" xfId="0" applyFont="1" applyBorder="1"/>
    <xf numFmtId="10" fontId="41" fillId="27" borderId="18" xfId="42" applyNumberFormat="1" applyFont="1" applyFill="1" applyBorder="1" applyAlignment="1" applyProtection="1">
      <alignment horizontal="right"/>
    </xf>
    <xf numFmtId="3" fontId="33" fillId="0" borderId="18" xfId="0" applyNumberFormat="1" applyFont="1" applyBorder="1" applyAlignment="1" applyProtection="1">
      <alignment horizontal="left" indent="1"/>
    </xf>
    <xf numFmtId="10" fontId="42" fillId="27" borderId="18" xfId="42" applyNumberFormat="1" applyFont="1" applyFill="1" applyBorder="1" applyAlignment="1" applyProtection="1">
      <alignment horizontal="center"/>
    </xf>
    <xf numFmtId="0" fontId="33" fillId="0" borderId="22" xfId="0" applyFont="1" applyBorder="1" applyProtection="1"/>
    <xf numFmtId="0" fontId="26" fillId="0" borderId="22" xfId="0" applyFont="1" applyBorder="1"/>
    <xf numFmtId="0" fontId="26" fillId="28" borderId="24" xfId="0" applyFont="1" applyFill="1" applyBorder="1" applyAlignment="1">
      <alignment horizontal="center"/>
    </xf>
    <xf numFmtId="3" fontId="31" fillId="24" borderId="16" xfId="38" applyNumberFormat="1" applyFont="1" applyFill="1" applyBorder="1" applyAlignment="1" applyProtection="1">
      <alignment horizontal="center"/>
    </xf>
    <xf numFmtId="3" fontId="31" fillId="24" borderId="17" xfId="38" applyNumberFormat="1" applyFont="1" applyFill="1" applyBorder="1" applyAlignment="1" applyProtection="1">
      <alignment horizontal="center"/>
    </xf>
    <xf numFmtId="0" fontId="33" fillId="0" borderId="25" xfId="0" applyFont="1" applyBorder="1" applyAlignment="1">
      <alignment horizontal="center"/>
    </xf>
    <xf numFmtId="166" fontId="33" fillId="0" borderId="25" xfId="0" applyNumberFormat="1" applyFont="1" applyBorder="1" applyAlignment="1">
      <alignment horizontal="center"/>
    </xf>
    <xf numFmtId="0" fontId="33" fillId="0" borderId="26" xfId="0" applyFont="1" applyBorder="1" applyAlignment="1">
      <alignment horizontal="center"/>
    </xf>
    <xf numFmtId="166" fontId="33" fillId="0" borderId="26" xfId="0" applyNumberFormat="1" applyFont="1" applyBorder="1" applyAlignment="1">
      <alignment horizontal="center"/>
    </xf>
    <xf numFmtId="0" fontId="26" fillId="28" borderId="27" xfId="0" applyFont="1" applyFill="1" applyBorder="1" applyAlignment="1">
      <alignment horizontal="center"/>
    </xf>
    <xf numFmtId="0" fontId="33" fillId="0" borderId="28" xfId="0" applyFont="1" applyBorder="1" applyAlignment="1">
      <alignment horizontal="center"/>
    </xf>
    <xf numFmtId="0" fontId="33" fillId="0" borderId="29" xfId="0" applyFont="1" applyBorder="1" applyAlignment="1">
      <alignment horizontal="center"/>
    </xf>
    <xf numFmtId="0" fontId="33" fillId="0" borderId="30" xfId="0" applyFont="1" applyBorder="1" applyAlignment="1">
      <alignment horizontal="center"/>
    </xf>
    <xf numFmtId="167" fontId="32" fillId="0" borderId="25" xfId="0" applyNumberFormat="1" applyFont="1" applyBorder="1" applyAlignment="1" applyProtection="1">
      <alignment horizontal="center"/>
    </xf>
    <xf numFmtId="167" fontId="32" fillId="0" borderId="26" xfId="0" applyNumberFormat="1" applyFont="1" applyBorder="1" applyAlignment="1" applyProtection="1">
      <alignment horizontal="center"/>
    </xf>
    <xf numFmtId="167" fontId="32" fillId="0" borderId="18" xfId="0" applyNumberFormat="1" applyFont="1" applyBorder="1" applyAlignment="1" applyProtection="1">
      <alignment horizontal="center"/>
    </xf>
    <xf numFmtId="10" fontId="32" fillId="0" borderId="25" xfId="41" applyNumberFormat="1" applyFont="1" applyBorder="1" applyAlignment="1">
      <alignment horizontal="center"/>
    </xf>
    <xf numFmtId="10" fontId="32" fillId="0" borderId="31" xfId="41" applyNumberFormat="1" applyFont="1" applyBorder="1" applyAlignment="1">
      <alignment horizontal="center"/>
    </xf>
    <xf numFmtId="10" fontId="32" fillId="0" borderId="26" xfId="41" applyNumberFormat="1" applyFont="1" applyBorder="1" applyAlignment="1">
      <alignment horizontal="center"/>
    </xf>
    <xf numFmtId="10" fontId="32" fillId="0" borderId="32" xfId="41" applyNumberFormat="1" applyFont="1" applyBorder="1" applyAlignment="1">
      <alignment horizontal="center"/>
    </xf>
    <xf numFmtId="10" fontId="32" fillId="0" borderId="18" xfId="41" applyNumberFormat="1" applyFont="1" applyBorder="1" applyAlignment="1">
      <alignment horizontal="center"/>
    </xf>
    <xf numFmtId="10" fontId="32" fillId="0" borderId="22" xfId="41" applyNumberFormat="1" applyFont="1" applyBorder="1" applyAlignment="1">
      <alignment horizontal="center"/>
    </xf>
    <xf numFmtId="0" fontId="32" fillId="28" borderId="22" xfId="0" applyFont="1" applyFill="1" applyBorder="1" applyAlignment="1">
      <alignment horizontal="right"/>
    </xf>
    <xf numFmtId="167" fontId="32" fillId="0" borderId="22" xfId="0" applyNumberFormat="1" applyFont="1" applyBorder="1" applyProtection="1"/>
    <xf numFmtId="0" fontId="32" fillId="28" borderId="18" xfId="0" applyFont="1" applyFill="1" applyBorder="1" applyAlignment="1">
      <alignment horizontal="center"/>
    </xf>
    <xf numFmtId="0" fontId="32" fillId="28" borderId="22" xfId="0" applyFont="1" applyFill="1" applyBorder="1" applyAlignment="1" applyProtection="1">
      <alignment horizontal="right"/>
    </xf>
    <xf numFmtId="2" fontId="33" fillId="0" borderId="18" xfId="0" applyNumberFormat="1" applyFont="1" applyBorder="1"/>
    <xf numFmtId="0" fontId="26" fillId="0" borderId="18" xfId="0" applyFont="1" applyBorder="1"/>
    <xf numFmtId="0" fontId="33" fillId="28" borderId="33" xfId="0" applyFont="1" applyFill="1" applyBorder="1" applyAlignment="1">
      <alignment horizontal="right"/>
    </xf>
    <xf numFmtId="0" fontId="26" fillId="28" borderId="34" xfId="0" applyFont="1" applyFill="1" applyBorder="1" applyAlignment="1">
      <alignment horizontal="center"/>
    </xf>
    <xf numFmtId="0" fontId="32" fillId="28" borderId="25" xfId="0" applyFont="1" applyFill="1" applyBorder="1" applyAlignment="1">
      <alignment horizontal="center"/>
    </xf>
    <xf numFmtId="0" fontId="32" fillId="28" borderId="31" xfId="0" applyFont="1" applyFill="1" applyBorder="1" applyAlignment="1">
      <alignment horizontal="right"/>
    </xf>
    <xf numFmtId="40" fontId="41" fillId="27" borderId="25" xfId="44" applyFont="1" applyFill="1" applyBorder="1" applyAlignment="1" applyProtection="1">
      <alignment horizontal="right"/>
    </xf>
    <xf numFmtId="0" fontId="26" fillId="0" borderId="25" xfId="0" applyFont="1" applyBorder="1" applyProtection="1"/>
    <xf numFmtId="0" fontId="26" fillId="0" borderId="31" xfId="0" applyFont="1" applyBorder="1" applyProtection="1"/>
    <xf numFmtId="0" fontId="26" fillId="28" borderId="35" xfId="0" applyFont="1" applyFill="1" applyBorder="1" applyAlignment="1">
      <alignment horizontal="center"/>
    </xf>
    <xf numFmtId="0" fontId="32" fillId="28" borderId="26" xfId="0" applyFont="1" applyFill="1" applyBorder="1" applyAlignment="1">
      <alignment horizontal="center"/>
    </xf>
    <xf numFmtId="0" fontId="32" fillId="28" borderId="32" xfId="0" applyFont="1" applyFill="1" applyBorder="1" applyAlignment="1">
      <alignment horizontal="right"/>
    </xf>
    <xf numFmtId="40" fontId="41" fillId="27" borderId="26" xfId="44" applyFont="1" applyFill="1" applyBorder="1" applyAlignment="1" applyProtection="1">
      <alignment horizontal="right"/>
    </xf>
    <xf numFmtId="3" fontId="33" fillId="0" borderId="26" xfId="0" applyNumberFormat="1" applyFont="1" applyBorder="1" applyAlignment="1" applyProtection="1">
      <alignment horizontal="left" indent="1"/>
    </xf>
    <xf numFmtId="40" fontId="42" fillId="27" borderId="26" xfId="44" applyFont="1" applyFill="1" applyBorder="1" applyAlignment="1" applyProtection="1">
      <alignment horizontal="center"/>
    </xf>
    <xf numFmtId="0" fontId="33" fillId="0" borderId="32" xfId="0" applyFont="1" applyBorder="1" applyProtection="1"/>
    <xf numFmtId="10" fontId="41" fillId="27" borderId="26" xfId="42" applyNumberFormat="1" applyFont="1" applyFill="1" applyBorder="1" applyAlignment="1" applyProtection="1">
      <alignment horizontal="right"/>
    </xf>
    <xf numFmtId="10" fontId="42" fillId="27" borderId="26" xfId="42" applyNumberFormat="1" applyFont="1" applyFill="1" applyBorder="1" applyAlignment="1" applyProtection="1">
      <alignment horizontal="center"/>
    </xf>
    <xf numFmtId="38" fontId="41" fillId="27" borderId="26" xfId="44" applyNumberFormat="1" applyFont="1" applyFill="1" applyBorder="1" applyAlignment="1" applyProtection="1">
      <alignment horizontal="right"/>
    </xf>
    <xf numFmtId="38" fontId="42" fillId="27" borderId="26" xfId="44" applyNumberFormat="1" applyFont="1" applyFill="1" applyBorder="1" applyAlignment="1" applyProtection="1">
      <alignment horizontal="center"/>
    </xf>
    <xf numFmtId="38" fontId="41" fillId="27" borderId="25" xfId="44" applyNumberFormat="1" applyFont="1" applyFill="1" applyBorder="1" applyAlignment="1" applyProtection="1">
      <alignment horizontal="right"/>
    </xf>
    <xf numFmtId="38" fontId="43" fillId="27" borderId="25" xfId="44" applyNumberFormat="1" applyFont="1" applyFill="1" applyBorder="1" applyAlignment="1" applyProtection="1">
      <alignment horizontal="center"/>
    </xf>
    <xf numFmtId="0" fontId="26" fillId="0" borderId="25" xfId="0" applyFont="1" applyBorder="1"/>
    <xf numFmtId="0" fontId="26" fillId="0" borderId="31" xfId="0" applyFont="1" applyBorder="1"/>
    <xf numFmtId="0" fontId="32" fillId="28" borderId="32" xfId="0" applyFont="1" applyFill="1" applyBorder="1" applyAlignment="1" applyProtection="1">
      <alignment horizontal="right"/>
    </xf>
    <xf numFmtId="40" fontId="41" fillId="27" borderId="26" xfId="44" applyFont="1" applyFill="1" applyBorder="1" applyAlignment="1" applyProtection="1">
      <alignment horizontal="center"/>
    </xf>
    <xf numFmtId="0" fontId="33" fillId="0" borderId="26" xfId="0" applyFont="1" applyBorder="1"/>
    <xf numFmtId="38" fontId="41" fillId="27" borderId="26" xfId="44" applyNumberFormat="1" applyFont="1" applyFill="1" applyBorder="1" applyAlignment="1" applyProtection="1">
      <alignment horizontal="center"/>
    </xf>
    <xf numFmtId="0" fontId="26" fillId="0" borderId="32" xfId="0" applyFont="1" applyBorder="1" applyProtection="1"/>
    <xf numFmtId="0" fontId="26" fillId="0" borderId="26" xfId="0" applyFont="1" applyBorder="1"/>
    <xf numFmtId="0" fontId="26" fillId="0" borderId="32" xfId="0" applyFont="1" applyBorder="1"/>
    <xf numFmtId="0" fontId="33" fillId="0" borderId="26" xfId="0" applyFont="1" applyBorder="1" applyAlignment="1" applyProtection="1">
      <alignment horizontal="left" indent="1"/>
    </xf>
    <xf numFmtId="0" fontId="33" fillId="28" borderId="36" xfId="0" applyFont="1" applyFill="1" applyBorder="1" applyAlignment="1" applyProtection="1">
      <alignment horizontal="right"/>
    </xf>
    <xf numFmtId="0" fontId="33" fillId="0" borderId="25" xfId="0" applyFont="1" applyBorder="1"/>
    <xf numFmtId="0" fontId="33" fillId="28" borderId="37" xfId="0" applyFont="1" applyFill="1" applyBorder="1" applyAlignment="1">
      <alignment horizontal="right"/>
    </xf>
    <xf numFmtId="2" fontId="33" fillId="0" borderId="26" xfId="0" applyNumberFormat="1" applyFont="1" applyBorder="1"/>
    <xf numFmtId="167" fontId="32" fillId="0" borderId="31" xfId="0" applyNumberFormat="1" applyFont="1" applyBorder="1" applyProtection="1"/>
    <xf numFmtId="167" fontId="32" fillId="0" borderId="32" xfId="0" applyNumberFormat="1" applyFont="1" applyBorder="1" applyProtection="1"/>
    <xf numFmtId="40" fontId="33" fillId="24" borderId="16" xfId="44" applyFont="1" applyFill="1" applyBorder="1" applyProtection="1"/>
    <xf numFmtId="40" fontId="33" fillId="24" borderId="17" xfId="44" applyFont="1" applyFill="1" applyBorder="1" applyProtection="1"/>
    <xf numFmtId="170" fontId="33" fillId="0" borderId="17" xfId="0" applyNumberFormat="1" applyFont="1" applyBorder="1" applyAlignment="1">
      <alignment horizontal="center"/>
    </xf>
    <xf numFmtId="166" fontId="33" fillId="0" borderId="23" xfId="0" applyNumberFormat="1" applyFont="1" applyBorder="1" applyAlignment="1">
      <alignment horizontal="center"/>
    </xf>
    <xf numFmtId="170" fontId="33" fillId="0" borderId="23" xfId="0" applyNumberFormat="1" applyFont="1" applyBorder="1" applyAlignment="1">
      <alignment horizontal="center"/>
    </xf>
    <xf numFmtId="0" fontId="32" fillId="28" borderId="19" xfId="0" applyFont="1" applyFill="1" applyBorder="1" applyAlignment="1" applyProtection="1">
      <alignment horizontal="center"/>
    </xf>
    <xf numFmtId="0" fontId="32" fillId="0" borderId="23" xfId="0" applyFont="1" applyBorder="1" applyAlignment="1" applyProtection="1">
      <alignment horizontal="center"/>
    </xf>
    <xf numFmtId="38" fontId="32" fillId="0" borderId="23" xfId="0" applyNumberFormat="1" applyFont="1" applyBorder="1" applyAlignment="1" applyProtection="1">
      <alignment horizontal="center"/>
    </xf>
    <xf numFmtId="170" fontId="33" fillId="0" borderId="16" xfId="0" applyNumberFormat="1" applyFont="1" applyBorder="1" applyAlignment="1">
      <alignment horizontal="center"/>
    </xf>
    <xf numFmtId="0" fontId="0" fillId="0" borderId="21" xfId="0" applyBorder="1"/>
    <xf numFmtId="0" fontId="0" fillId="0" borderId="0" xfId="0" applyFill="1" applyBorder="1"/>
    <xf numFmtId="0" fontId="0" fillId="27" borderId="0" xfId="0" applyFill="1"/>
    <xf numFmtId="0" fontId="32" fillId="27" borderId="0" xfId="0" applyFont="1" applyFill="1" applyBorder="1" applyAlignment="1">
      <alignment vertical="center"/>
    </xf>
    <xf numFmtId="0" fontId="39" fillId="27" borderId="0" xfId="0" applyFont="1" applyFill="1" applyBorder="1" applyAlignment="1">
      <alignment horizontal="right" vertical="top"/>
    </xf>
    <xf numFmtId="0" fontId="0" fillId="27" borderId="0" xfId="0" applyFill="1" applyBorder="1"/>
    <xf numFmtId="168" fontId="25" fillId="0" borderId="0" xfId="0" applyNumberFormat="1" applyFont="1" applyFill="1" applyBorder="1" applyAlignment="1">
      <alignment vertical="center"/>
    </xf>
    <xf numFmtId="0" fontId="44" fillId="27" borderId="0" xfId="0" applyFont="1" applyFill="1" applyBorder="1" applyAlignment="1">
      <alignment vertical="center"/>
    </xf>
    <xf numFmtId="0" fontId="33" fillId="0" borderId="0" xfId="0" applyFont="1"/>
    <xf numFmtId="0" fontId="32" fillId="28" borderId="31" xfId="0" applyFont="1" applyFill="1" applyBorder="1" applyAlignment="1">
      <alignment horizontal="left"/>
    </xf>
    <xf numFmtId="0" fontId="32" fillId="28" borderId="32" xfId="0" applyFont="1" applyFill="1" applyBorder="1" applyAlignment="1">
      <alignment horizontal="left"/>
    </xf>
    <xf numFmtId="0" fontId="32" fillId="28" borderId="22" xfId="0" applyFont="1" applyFill="1" applyBorder="1" applyAlignment="1">
      <alignment horizontal="left"/>
    </xf>
    <xf numFmtId="0" fontId="32" fillId="28" borderId="34" xfId="0" applyFont="1" applyFill="1" applyBorder="1" applyAlignment="1">
      <alignment horizontal="left"/>
    </xf>
    <xf numFmtId="0" fontId="32" fillId="28" borderId="35" xfId="0" applyFont="1" applyFill="1" applyBorder="1" applyAlignment="1">
      <alignment horizontal="left"/>
    </xf>
    <xf numFmtId="0" fontId="32" fillId="28" borderId="24" xfId="0" applyFont="1" applyFill="1" applyBorder="1" applyAlignment="1">
      <alignment horizontal="left"/>
    </xf>
    <xf numFmtId="0" fontId="0" fillId="0" borderId="40" xfId="0" applyBorder="1"/>
    <xf numFmtId="0" fontId="0" fillId="0" borderId="22" xfId="0" applyBorder="1"/>
    <xf numFmtId="0" fontId="45" fillId="0" borderId="0" xfId="0" applyFont="1"/>
    <xf numFmtId="3" fontId="46" fillId="28" borderId="19" xfId="0" applyNumberFormat="1" applyFont="1" applyFill="1" applyBorder="1" applyAlignment="1">
      <alignment horizontal="center" vertical="center"/>
    </xf>
    <xf numFmtId="0" fontId="46" fillId="0" borderId="18" xfId="0" applyFont="1" applyBorder="1"/>
    <xf numFmtId="0" fontId="46" fillId="0" borderId="0" xfId="0" applyFont="1"/>
    <xf numFmtId="0" fontId="47" fillId="0" borderId="0" xfId="0" applyFont="1" applyAlignment="1">
      <alignment horizontal="center" vertical="center"/>
    </xf>
    <xf numFmtId="0" fontId="48" fillId="0" borderId="0" xfId="0" applyFont="1" applyAlignment="1">
      <alignment horizontal="right" indent="2"/>
    </xf>
    <xf numFmtId="0" fontId="0" fillId="0" borderId="41" xfId="0" applyBorder="1"/>
    <xf numFmtId="0" fontId="31" fillId="0" borderId="25" xfId="0" applyFont="1" applyBorder="1"/>
    <xf numFmtId="4" fontId="33" fillId="0" borderId="0" xfId="0" applyNumberFormat="1" applyFont="1" applyAlignment="1">
      <alignment horizontal="center"/>
    </xf>
    <xf numFmtId="4" fontId="33" fillId="0" borderId="31" xfId="0" applyNumberFormat="1" applyFont="1" applyBorder="1" applyAlignment="1">
      <alignment horizontal="center"/>
    </xf>
    <xf numFmtId="0" fontId="33" fillId="0" borderId="22" xfId="0" applyFont="1" applyBorder="1" applyAlignment="1">
      <alignment horizontal="center"/>
    </xf>
    <xf numFmtId="0" fontId="30" fillId="29" borderId="10" xfId="0" applyFont="1" applyFill="1" applyBorder="1" applyAlignment="1">
      <alignment horizontal="center"/>
    </xf>
    <xf numFmtId="17" fontId="30" fillId="0" borderId="11" xfId="0" applyNumberFormat="1" applyFont="1" applyBorder="1" applyAlignment="1">
      <alignment horizontal="center"/>
    </xf>
    <xf numFmtId="10" fontId="30" fillId="0" borderId="0" xfId="41" applyNumberFormat="1" applyFont="1" applyAlignment="1">
      <alignment horizontal="center"/>
    </xf>
    <xf numFmtId="17" fontId="30" fillId="0" borderId="12" xfId="0" applyNumberFormat="1" applyFont="1" applyBorder="1" applyAlignment="1">
      <alignment horizontal="center"/>
    </xf>
    <xf numFmtId="10" fontId="30" fillId="0" borderId="13" xfId="41" applyNumberFormat="1" applyFont="1" applyBorder="1" applyAlignment="1">
      <alignment horizontal="center"/>
    </xf>
    <xf numFmtId="10" fontId="30" fillId="0" borderId="0" xfId="41" applyNumberFormat="1" applyFont="1" applyBorder="1" applyAlignment="1">
      <alignment horizontal="center"/>
    </xf>
    <xf numFmtId="0" fontId="49" fillId="0" borderId="0" xfId="0" applyFont="1"/>
    <xf numFmtId="3" fontId="51" fillId="28" borderId="19" xfId="0" applyNumberFormat="1" applyFont="1" applyFill="1" applyBorder="1" applyAlignment="1">
      <alignment horizontal="center" vertical="center"/>
    </xf>
    <xf numFmtId="0" fontId="30" fillId="26" borderId="14" xfId="0" applyFont="1" applyFill="1" applyBorder="1" applyAlignment="1">
      <alignment horizontal="left" indent="1"/>
    </xf>
    <xf numFmtId="0" fontId="52" fillId="0" borderId="0" xfId="32" applyFont="1" applyAlignment="1" applyProtection="1">
      <alignment horizontal="center"/>
    </xf>
    <xf numFmtId="0" fontId="45" fillId="0" borderId="0" xfId="0" applyFont="1" applyAlignment="1">
      <alignment horizontal="right"/>
    </xf>
    <xf numFmtId="0" fontId="30" fillId="0" borderId="0" xfId="0" applyFont="1" applyFill="1" applyAlignment="1">
      <alignment horizontal="right" vertical="center" indent="2"/>
    </xf>
    <xf numFmtId="0" fontId="50" fillId="0" borderId="18" xfId="0" applyFont="1" applyBorder="1"/>
    <xf numFmtId="0" fontId="56" fillId="28" borderId="44" xfId="0" applyFont="1" applyFill="1" applyBorder="1" applyAlignment="1">
      <alignment horizontal="center" vertical="center"/>
    </xf>
    <xf numFmtId="0" fontId="58" fillId="30" borderId="45" xfId="0" applyFont="1" applyFill="1" applyBorder="1" applyAlignment="1">
      <alignment horizontal="center" vertical="center"/>
    </xf>
    <xf numFmtId="3" fontId="55" fillId="0" borderId="46" xfId="0" applyNumberFormat="1" applyFont="1" applyBorder="1" applyAlignment="1">
      <alignment horizontal="center"/>
    </xf>
    <xf numFmtId="10" fontId="55" fillId="31" borderId="11" xfId="0" applyNumberFormat="1" applyFont="1" applyFill="1" applyBorder="1" applyAlignment="1">
      <alignment horizontal="center" vertical="center"/>
    </xf>
    <xf numFmtId="3" fontId="55" fillId="0" borderId="47" xfId="0" applyNumberFormat="1" applyFont="1" applyBorder="1" applyAlignment="1">
      <alignment horizontal="center"/>
    </xf>
    <xf numFmtId="3" fontId="55" fillId="0" borderId="48" xfId="0" applyNumberFormat="1" applyFont="1" applyBorder="1" applyAlignment="1">
      <alignment horizontal="center"/>
    </xf>
    <xf numFmtId="0" fontId="39" fillId="28" borderId="50" xfId="0" applyFont="1" applyFill="1" applyBorder="1" applyAlignment="1">
      <alignment horizontal="right" vertical="top"/>
    </xf>
    <xf numFmtId="10" fontId="55" fillId="31" borderId="12" xfId="0" applyNumberFormat="1" applyFont="1" applyFill="1" applyBorder="1" applyAlignment="1">
      <alignment horizontal="center" vertical="center"/>
    </xf>
    <xf numFmtId="0" fontId="58" fillId="32" borderId="44" xfId="0" applyFont="1" applyFill="1" applyBorder="1" applyAlignment="1">
      <alignment horizontal="center" vertical="center"/>
    </xf>
    <xf numFmtId="10" fontId="55" fillId="33" borderId="38" xfId="0" applyNumberFormat="1" applyFont="1" applyFill="1" applyBorder="1" applyAlignment="1">
      <alignment horizontal="center" vertical="center"/>
    </xf>
    <xf numFmtId="10" fontId="55" fillId="33" borderId="49" xfId="0" applyNumberFormat="1" applyFont="1" applyFill="1" applyBorder="1" applyAlignment="1">
      <alignment horizontal="center" vertical="center"/>
    </xf>
    <xf numFmtId="0" fontId="55" fillId="34" borderId="43" xfId="0" applyFont="1" applyFill="1" applyBorder="1" applyAlignment="1">
      <alignment horizontal="center"/>
    </xf>
    <xf numFmtId="167" fontId="55" fillId="27" borderId="52" xfId="38" applyNumberFormat="1" applyFont="1" applyFill="1" applyBorder="1" applyAlignment="1" applyProtection="1">
      <alignment horizontal="center"/>
    </xf>
    <xf numFmtId="167" fontId="55" fillId="27" borderId="53" xfId="38" applyNumberFormat="1" applyFont="1" applyFill="1" applyBorder="1" applyAlignment="1" applyProtection="1">
      <alignment horizontal="center"/>
    </xf>
    <xf numFmtId="167" fontId="55" fillId="27" borderId="54" xfId="38" applyNumberFormat="1" applyFont="1" applyFill="1" applyBorder="1" applyAlignment="1" applyProtection="1">
      <alignment horizontal="center"/>
    </xf>
    <xf numFmtId="0" fontId="55" fillId="34" borderId="51" xfId="0" applyFont="1" applyFill="1" applyBorder="1" applyAlignment="1">
      <alignment horizontal="center"/>
    </xf>
    <xf numFmtId="0" fontId="62" fillId="0" borderId="0" xfId="0" applyFont="1"/>
    <xf numFmtId="0" fontId="63" fillId="0" borderId="18" xfId="0" applyFont="1" applyBorder="1"/>
    <xf numFmtId="0" fontId="64" fillId="0" borderId="18" xfId="0" applyFont="1" applyBorder="1"/>
    <xf numFmtId="0" fontId="64" fillId="0" borderId="0" xfId="0" applyFont="1"/>
    <xf numFmtId="0" fontId="60" fillId="27" borderId="0" xfId="38" applyFont="1" applyFill="1" applyBorder="1" applyAlignment="1" applyProtection="1"/>
    <xf numFmtId="0" fontId="62" fillId="0" borderId="40" xfId="0" applyFont="1" applyBorder="1"/>
    <xf numFmtId="0" fontId="65" fillId="0" borderId="18" xfId="0" applyFont="1" applyBorder="1"/>
    <xf numFmtId="0" fontId="65" fillId="0" borderId="0" xfId="0" applyFont="1" applyBorder="1"/>
    <xf numFmtId="0" fontId="64" fillId="0" borderId="0" xfId="0" applyFont="1" applyAlignment="1">
      <alignment horizontal="left" indent="3"/>
    </xf>
    <xf numFmtId="0" fontId="64" fillId="0" borderId="39" xfId="0" applyFont="1" applyBorder="1"/>
    <xf numFmtId="0" fontId="63" fillId="27" borderId="0" xfId="0" applyFont="1" applyFill="1" applyBorder="1" applyAlignment="1">
      <alignment horizontal="left" vertical="center"/>
    </xf>
    <xf numFmtId="0" fontId="60" fillId="0" borderId="0" xfId="0" applyFont="1"/>
    <xf numFmtId="0" fontId="64" fillId="0" borderId="0" xfId="0" applyFont="1" applyAlignment="1">
      <alignment horizontal="left" vertical="center"/>
    </xf>
    <xf numFmtId="0" fontId="64" fillId="0" borderId="0" xfId="0" applyFont="1" applyAlignment="1">
      <alignment horizontal="center"/>
    </xf>
    <xf numFmtId="0" fontId="63" fillId="0" borderId="0" xfId="0" applyFont="1" applyBorder="1" applyAlignment="1">
      <alignment horizontal="left" vertical="center"/>
    </xf>
    <xf numFmtId="0" fontId="2" fillId="0" borderId="0" xfId="0" applyFont="1" applyFill="1" applyAlignment="1">
      <alignment vertical="center"/>
    </xf>
    <xf numFmtId="0" fontId="60" fillId="27" borderId="0" xfId="38" applyFont="1" applyFill="1" applyBorder="1" applyAlignment="1" applyProtection="1">
      <alignment horizontal="left" vertical="center"/>
    </xf>
    <xf numFmtId="168" fontId="66" fillId="28" borderId="42" xfId="0" applyNumberFormat="1" applyFont="1" applyFill="1" applyBorder="1" applyAlignment="1">
      <alignment horizontal="center" vertical="center"/>
    </xf>
    <xf numFmtId="169" fontId="67" fillId="28" borderId="42" xfId="0" applyNumberFormat="1" applyFont="1" applyFill="1" applyBorder="1" applyAlignment="1">
      <alignment horizontal="center" vertical="center"/>
    </xf>
    <xf numFmtId="0" fontId="64" fillId="0" borderId="0" xfId="0" applyFont="1" applyBorder="1"/>
    <xf numFmtId="168" fontId="60" fillId="28" borderId="42" xfId="0" applyNumberFormat="1" applyFont="1" applyFill="1" applyBorder="1" applyAlignment="1">
      <alignment horizontal="center" vertical="center"/>
    </xf>
    <xf numFmtId="10" fontId="60" fillId="28" borderId="42" xfId="41" applyNumberFormat="1" applyFont="1" applyFill="1" applyBorder="1" applyAlignment="1">
      <alignment horizontal="center"/>
    </xf>
    <xf numFmtId="0" fontId="68" fillId="0" borderId="0" xfId="0" applyFont="1" applyFill="1" applyAlignment="1">
      <alignment horizontal="left" vertical="center"/>
    </xf>
    <xf numFmtId="0" fontId="68" fillId="0" borderId="0" xfId="0" applyFont="1" applyFill="1" applyAlignment="1">
      <alignment horizontal="left" vertical="center" indent="1"/>
    </xf>
    <xf numFmtId="0" fontId="69" fillId="0" borderId="0" xfId="0" applyFont="1"/>
    <xf numFmtId="0" fontId="68" fillId="0" borderId="0" xfId="0" applyFont="1"/>
    <xf numFmtId="9" fontId="26" fillId="0" borderId="0" xfId="0" applyNumberFormat="1" applyFont="1"/>
    <xf numFmtId="10" fontId="26" fillId="0" borderId="0" xfId="0" applyNumberFormat="1" applyFont="1"/>
    <xf numFmtId="3" fontId="51" fillId="0" borderId="0" xfId="0" applyNumberFormat="1" applyFont="1" applyFill="1" applyBorder="1" applyAlignment="1">
      <alignment horizontal="center" vertical="center"/>
    </xf>
    <xf numFmtId="171" fontId="26" fillId="0" borderId="0" xfId="0" applyNumberFormat="1" applyFont="1"/>
    <xf numFmtId="0" fontId="46" fillId="0" borderId="0" xfId="0" applyFont="1" applyFill="1" applyBorder="1"/>
    <xf numFmtId="167" fontId="63" fillId="28" borderId="42" xfId="0" applyNumberFormat="1" applyFont="1" applyFill="1" applyBorder="1" applyAlignment="1">
      <alignment horizontal="center" vertical="center"/>
    </xf>
    <xf numFmtId="0" fontId="70" fillId="0" borderId="18" xfId="0" applyFont="1" applyBorder="1"/>
    <xf numFmtId="0" fontId="70" fillId="0" borderId="0" xfId="0" applyFont="1"/>
    <xf numFmtId="10" fontId="63" fillId="28" borderId="42" xfId="41" applyNumberFormat="1" applyFont="1" applyFill="1" applyBorder="1" applyAlignment="1">
      <alignment horizontal="center" vertical="center"/>
    </xf>
    <xf numFmtId="3" fontId="63" fillId="28" borderId="42" xfId="0" applyNumberFormat="1" applyFont="1" applyFill="1" applyBorder="1" applyAlignment="1">
      <alignment horizontal="center" vertical="center"/>
    </xf>
    <xf numFmtId="0" fontId="73" fillId="35" borderId="42" xfId="0" applyFont="1" applyFill="1" applyBorder="1" applyAlignment="1">
      <alignment horizontal="center"/>
    </xf>
    <xf numFmtId="0" fontId="72" fillId="36" borderId="42" xfId="0" applyFont="1" applyFill="1" applyBorder="1" applyAlignment="1">
      <alignment horizontal="center"/>
    </xf>
    <xf numFmtId="164" fontId="72" fillId="36" borderId="42" xfId="55" applyFont="1" applyFill="1" applyBorder="1" applyAlignment="1">
      <alignment horizontal="center"/>
    </xf>
    <xf numFmtId="164" fontId="72" fillId="36" borderId="42" xfId="0" applyNumberFormat="1" applyFont="1" applyFill="1" applyBorder="1" applyAlignment="1">
      <alignment horizontal="center"/>
    </xf>
    <xf numFmtId="0" fontId="72" fillId="0" borderId="0" xfId="0" applyFont="1"/>
    <xf numFmtId="0" fontId="53" fillId="0" borderId="0" xfId="0" applyFont="1" applyFill="1" applyBorder="1" applyAlignment="1">
      <alignment horizontal="center"/>
    </xf>
  </cellXfs>
  <cellStyles count="56">
    <cellStyle name="20% - Ênfase1" xfId="1" xr:uid="{00000000-0005-0000-0000-000000000000}"/>
    <cellStyle name="20% - Ênfase2" xfId="2" xr:uid="{00000000-0005-0000-0000-000001000000}"/>
    <cellStyle name="20% - Ênfase3" xfId="3" xr:uid="{00000000-0005-0000-0000-000002000000}"/>
    <cellStyle name="20% - Ênfase4" xfId="4" xr:uid="{00000000-0005-0000-0000-000003000000}"/>
    <cellStyle name="20% - Ênfase5" xfId="5" xr:uid="{00000000-0005-0000-0000-000004000000}"/>
    <cellStyle name="20% - Ênfase6" xfId="6" xr:uid="{00000000-0005-0000-0000-000005000000}"/>
    <cellStyle name="40% - Ênfase1" xfId="7" xr:uid="{00000000-0005-0000-0000-000006000000}"/>
    <cellStyle name="40% - Ênfase2" xfId="8" xr:uid="{00000000-0005-0000-0000-000007000000}"/>
    <cellStyle name="40% - Ênfase3" xfId="9" xr:uid="{00000000-0005-0000-0000-000008000000}"/>
    <cellStyle name="40% - Ênfase4" xfId="10" xr:uid="{00000000-0005-0000-0000-000009000000}"/>
    <cellStyle name="40% - Ênfase5" xfId="11" xr:uid="{00000000-0005-0000-0000-00000A000000}"/>
    <cellStyle name="40% - Ênfase6" xfId="12" xr:uid="{00000000-0005-0000-0000-00000B000000}"/>
    <cellStyle name="60% - Ênfase1" xfId="13" xr:uid="{00000000-0005-0000-0000-00000C000000}"/>
    <cellStyle name="60% - Ênfase2" xfId="14" xr:uid="{00000000-0005-0000-0000-00000D000000}"/>
    <cellStyle name="60% - Ênfase3" xfId="15" xr:uid="{00000000-0005-0000-0000-00000E000000}"/>
    <cellStyle name="60% - Ênfase4" xfId="16" xr:uid="{00000000-0005-0000-0000-00000F000000}"/>
    <cellStyle name="60% - Ênfase5" xfId="17" xr:uid="{00000000-0005-0000-0000-000010000000}"/>
    <cellStyle name="60% - Ênfase6" xfId="18" xr:uid="{00000000-0005-0000-0000-000011000000}"/>
    <cellStyle name="Bom" xfId="19" xr:uid="{00000000-0005-0000-0000-000012000000}"/>
    <cellStyle name="Cálculo" xfId="20" xr:uid="{00000000-0005-0000-0000-000013000000}"/>
    <cellStyle name="Célula de Verificação" xfId="21" xr:uid="{00000000-0005-0000-0000-000014000000}"/>
    <cellStyle name="Célula Vinculada" xfId="22" xr:uid="{00000000-0005-0000-0000-000015000000}"/>
    <cellStyle name="Comma 2" xfId="23" xr:uid="{00000000-0005-0000-0000-000016000000}"/>
    <cellStyle name="Ênfase1" xfId="24" xr:uid="{00000000-0005-0000-0000-000017000000}"/>
    <cellStyle name="Ênfase2" xfId="25" xr:uid="{00000000-0005-0000-0000-000018000000}"/>
    <cellStyle name="Ênfase3" xfId="26" xr:uid="{00000000-0005-0000-0000-000019000000}"/>
    <cellStyle name="Ênfase4" xfId="27" xr:uid="{00000000-0005-0000-0000-00001A000000}"/>
    <cellStyle name="Ênfase5" xfId="28" xr:uid="{00000000-0005-0000-0000-00001B000000}"/>
    <cellStyle name="Ênfase6" xfId="29" xr:uid="{00000000-0005-0000-0000-00001C000000}"/>
    <cellStyle name="Entrada" xfId="30" xr:uid="{00000000-0005-0000-0000-00001D000000}"/>
    <cellStyle name="Euro" xfId="31" xr:uid="{00000000-0005-0000-0000-00001E000000}"/>
    <cellStyle name="Hiperligação" xfId="32" builtinId="8"/>
    <cellStyle name="Hyperlink 2" xfId="33" xr:uid="{00000000-0005-0000-0000-000020000000}"/>
    <cellStyle name="Incorreto" xfId="34" xr:uid="{00000000-0005-0000-0000-000021000000}"/>
    <cellStyle name="Moeda" xfId="55" builtinId="4"/>
    <cellStyle name="Neutra" xfId="35" xr:uid="{00000000-0005-0000-0000-000023000000}"/>
    <cellStyle name="Normal" xfId="0" builtinId="0"/>
    <cellStyle name="Normal 2" xfId="36" xr:uid="{00000000-0005-0000-0000-000025000000}"/>
    <cellStyle name="Normal 2 2" xfId="53" xr:uid="{00000000-0005-0000-0000-000026000000}"/>
    <cellStyle name="Normal 3" xfId="37" xr:uid="{00000000-0005-0000-0000-000027000000}"/>
    <cellStyle name="Normal 4" xfId="54" xr:uid="{00000000-0005-0000-0000-000028000000}"/>
    <cellStyle name="Normal_Simulador de Patrimonio" xfId="38" xr:uid="{00000000-0005-0000-0000-00002A000000}"/>
    <cellStyle name="Nota" xfId="39" xr:uid="{00000000-0005-0000-0000-00002B000000}"/>
    <cellStyle name="Nota 2" xfId="40" xr:uid="{00000000-0005-0000-0000-00002C000000}"/>
    <cellStyle name="Percent 2" xfId="42" xr:uid="{00000000-0005-0000-0000-00002E000000}"/>
    <cellStyle name="Percentagem" xfId="41" builtinId="5"/>
    <cellStyle name="Saída" xfId="43" xr:uid="{00000000-0005-0000-0000-00002F000000}"/>
    <cellStyle name="Separador de milhares_Simulador de Patrimonio" xfId="44" xr:uid="{00000000-0005-0000-0000-000030000000}"/>
    <cellStyle name="Texto de Aviso" xfId="45" xr:uid="{00000000-0005-0000-0000-000031000000}"/>
    <cellStyle name="Texto Explicativo" xfId="46" xr:uid="{00000000-0005-0000-0000-000032000000}"/>
    <cellStyle name="Título" xfId="47" xr:uid="{00000000-0005-0000-0000-000033000000}"/>
    <cellStyle name="Título 1" xfId="48" xr:uid="{00000000-0005-0000-0000-000034000000}"/>
    <cellStyle name="Título 2" xfId="49" xr:uid="{00000000-0005-0000-0000-000035000000}"/>
    <cellStyle name="Título 3" xfId="50" xr:uid="{00000000-0005-0000-0000-000036000000}"/>
    <cellStyle name="Título 4" xfId="51" xr:uid="{00000000-0005-0000-0000-000037000000}"/>
    <cellStyle name="Título_Simulador de Patrimonio" xfId="52" xr:uid="{00000000-0005-0000-0000-000038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2F2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6021505376344606E-3"/>
          <c:y val="0"/>
          <c:w val="0.99139784946236298"/>
          <c:h val="1"/>
        </c:manualLayout>
      </c:layout>
      <c:barChart>
        <c:barDir val="bar"/>
        <c:grouping val="stacked"/>
        <c:varyColors val="0"/>
        <c:ser>
          <c:idx val="1"/>
          <c:order val="0"/>
          <c:tx>
            <c:strRef>
              <c:f>PAINEL!$M$4</c:f>
              <c:strCache>
                <c:ptCount val="1"/>
                <c:pt idx="0">
                  <c:v>% Aportes</c:v>
                </c:pt>
              </c:strCache>
            </c:strRef>
          </c:tx>
          <c:spPr>
            <a:solidFill>
              <a:srgbClr val="00B050">
                <a:alpha val="50196"/>
              </a:srgbClr>
            </a:solidFill>
            <a:ln w="25400">
              <a:solidFill>
                <a:schemeClr val="tx1"/>
              </a:solidFill>
            </a:ln>
          </c:spPr>
          <c:invertIfNegative val="0"/>
          <c:val>
            <c:numRef>
              <c:f>PAINEL!$M$5:$M$14</c:f>
              <c:numCache>
                <c:formatCode>0.00%</c:formatCode>
                <c:ptCount val="10"/>
                <c:pt idx="0">
                  <c:v>0.77176055776741503</c:v>
                </c:pt>
                <c:pt idx="1">
                  <c:v>0.61638516360325368</c:v>
                </c:pt>
                <c:pt idx="2">
                  <c:v>0.48918726725953277</c:v>
                </c:pt>
                <c:pt idx="3">
                  <c:v>0.38452934942459871</c:v>
                </c:pt>
                <c:pt idx="4">
                  <c:v>0.29926127623150561</c:v>
                </c:pt>
                <c:pt idx="5">
                  <c:v>0.2306611122267134</c:v>
                </c:pt>
                <c:pt idx="6">
                  <c:v>0.17617538633010382</c:v>
                </c:pt>
                <c:pt idx="7">
                  <c:v>0.13342922545840741</c:v>
                </c:pt>
                <c:pt idx="8">
                  <c:v>0.10027518722776203</c:v>
                </c:pt>
                <c:pt idx="9">
                  <c:v>7.4829373354437984E-2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D8-4075-A2B7-9C31CA849925}"/>
            </c:ext>
          </c:extLst>
        </c:ser>
        <c:ser>
          <c:idx val="0"/>
          <c:order val="1"/>
          <c:tx>
            <c:strRef>
              <c:f>PAINEL!$O$4</c:f>
              <c:strCache>
                <c:ptCount val="1"/>
                <c:pt idx="0">
                  <c:v>Juros %</c:v>
                </c:pt>
              </c:strCache>
            </c:strRef>
          </c:tx>
          <c:spPr>
            <a:solidFill>
              <a:schemeClr val="accent6">
                <a:alpha val="74902"/>
              </a:schemeClr>
            </a:solidFill>
            <a:ln w="25400">
              <a:solidFill>
                <a:schemeClr val="tx1"/>
              </a:solidFill>
            </a:ln>
          </c:spPr>
          <c:invertIfNegative val="0"/>
          <c:cat>
            <c:numRef>
              <c:f>PAINEL!$L$5:$L$14</c:f>
              <c:numCache>
                <c:formatCode>#,##0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cat>
          <c:val>
            <c:numRef>
              <c:f>PAINEL!$O$5:$O$14</c:f>
              <c:numCache>
                <c:formatCode>0.00%</c:formatCode>
                <c:ptCount val="10"/>
                <c:pt idx="0">
                  <c:v>0.22823944223258497</c:v>
                </c:pt>
                <c:pt idx="1">
                  <c:v>0.38361483639674632</c:v>
                </c:pt>
                <c:pt idx="2">
                  <c:v>0.51081273274046723</c:v>
                </c:pt>
                <c:pt idx="3">
                  <c:v>0.61547065057540129</c:v>
                </c:pt>
                <c:pt idx="4">
                  <c:v>0.70073872376849433</c:v>
                </c:pt>
                <c:pt idx="5">
                  <c:v>0.76933888777328663</c:v>
                </c:pt>
                <c:pt idx="6">
                  <c:v>0.82382461366989612</c:v>
                </c:pt>
                <c:pt idx="7">
                  <c:v>0.86657077454159259</c:v>
                </c:pt>
                <c:pt idx="8">
                  <c:v>0.89972481277223793</c:v>
                </c:pt>
                <c:pt idx="9">
                  <c:v>0.92517062664556204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D8-4075-A2B7-9C31CA8499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94971512"/>
        <c:axId val="2094974424"/>
      </c:barChart>
      <c:catAx>
        <c:axId val="2094971512"/>
        <c:scaling>
          <c:orientation val="maxMin"/>
        </c:scaling>
        <c:delete val="1"/>
        <c:axPos val="l"/>
        <c:majorTickMark val="out"/>
        <c:minorTickMark val="none"/>
        <c:tickLblPos val="nextTo"/>
        <c:crossAx val="2094974424"/>
        <c:crosses val="autoZero"/>
        <c:auto val="1"/>
        <c:lblAlgn val="ctr"/>
        <c:lblOffset val="100"/>
        <c:noMultiLvlLbl val="0"/>
      </c:catAx>
      <c:valAx>
        <c:axId val="2094974424"/>
        <c:scaling>
          <c:orientation val="minMax"/>
          <c:max val="1"/>
        </c:scaling>
        <c:delete val="1"/>
        <c:axPos val="t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0.00%" sourceLinked="1"/>
        <c:majorTickMark val="out"/>
        <c:minorTickMark val="none"/>
        <c:tickLblPos val="nextTo"/>
        <c:crossAx val="2094971512"/>
        <c:crosses val="autoZero"/>
        <c:crossBetween val="between"/>
        <c:majorUnit val="0.5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printSettings>
    <c:headerFooter alignWithMargins="0"/>
    <c:pageMargins b="0.750000000000002" l="0.70000000000000095" r="0.70000000000000095" t="0.750000000000002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5516597278532299E-3"/>
          <c:y val="0"/>
          <c:w val="0.99139784946236298"/>
          <c:h val="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PAINEL!$M$19</c:f>
              <c:strCache>
                <c:ptCount val="1"/>
                <c:pt idx="0">
                  <c:v>Patrimônio</c:v>
                </c:pt>
              </c:strCache>
            </c:strRef>
          </c:tx>
          <c:spPr>
            <a:solidFill>
              <a:srgbClr val="FFFF00">
                <a:alpha val="74902"/>
              </a:srgbClr>
            </a:solidFill>
            <a:ln w="25400">
              <a:solidFill>
                <a:schemeClr val="tx1"/>
              </a:solidFill>
            </a:ln>
          </c:spPr>
          <c:invertIfNegative val="0"/>
          <c:val>
            <c:numRef>
              <c:f>PAINEL!$M$20:$M$29</c:f>
              <c:numCache>
                <c:formatCode>"R$ "#,##0</c:formatCode>
                <c:ptCount val="10"/>
                <c:pt idx="0">
                  <c:v>220275.57419076186</c:v>
                </c:pt>
                <c:pt idx="1">
                  <c:v>470485.04267157085</c:v>
                </c:pt>
                <c:pt idx="2">
                  <c:v>838124.8397916276</c:v>
                </c:pt>
                <c:pt idx="3">
                  <c:v>1378308.3158491813</c:v>
                </c:pt>
                <c:pt idx="4">
                  <c:v>2172015.0638439646</c:v>
                </c:pt>
                <c:pt idx="5">
                  <c:v>3338230.6734183193</c:v>
                </c:pt>
                <c:pt idx="6">
                  <c:v>5051784.0121683441</c:v>
                </c:pt>
                <c:pt idx="7">
                  <c:v>7569556.0438881321</c:v>
                </c:pt>
                <c:pt idx="8">
                  <c:v>11268989.181075795</c:v>
                </c:pt>
                <c:pt idx="9">
                  <c:v>16704670.157789914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65-4389-B76A-5225737743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2094998936"/>
        <c:axId val="2095001944"/>
      </c:barChart>
      <c:catAx>
        <c:axId val="2094998936"/>
        <c:scaling>
          <c:orientation val="maxMin"/>
        </c:scaling>
        <c:delete val="1"/>
        <c:axPos val="l"/>
        <c:majorTickMark val="out"/>
        <c:minorTickMark val="none"/>
        <c:tickLblPos val="nextTo"/>
        <c:crossAx val="2095001944"/>
        <c:crosses val="autoZero"/>
        <c:auto val="1"/>
        <c:lblAlgn val="ctr"/>
        <c:lblOffset val="100"/>
        <c:noMultiLvlLbl val="0"/>
      </c:catAx>
      <c:valAx>
        <c:axId val="2095001944"/>
        <c:scaling>
          <c:orientation val="minMax"/>
        </c:scaling>
        <c:delete val="1"/>
        <c:axPos val="t"/>
        <c:numFmt formatCode="&quot;R$ &quot;#,##0" sourceLinked="1"/>
        <c:majorTickMark val="out"/>
        <c:minorTickMark val="none"/>
        <c:tickLblPos val="nextTo"/>
        <c:crossAx val="209499893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printSettings>
    <c:headerFooter alignWithMargins="0"/>
    <c:pageMargins b="0.750000000000002" l="0.70000000000000095" r="0.70000000000000095" t="0.750000000000002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5637199525648295E-2"/>
          <c:y val="8.51176727909011E-2"/>
          <c:w val="0.87735228492584005"/>
          <c:h val="0.7203298337707829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'BANCO DE DADOS'!$V$4</c:f>
              <c:strCache>
                <c:ptCount val="1"/>
                <c:pt idx="0">
                  <c:v>Patrimônio</c:v>
                </c:pt>
              </c:strCache>
            </c:strRef>
          </c:tx>
          <c:spPr>
            <a:solidFill>
              <a:schemeClr val="tx2">
                <a:lumMod val="75000"/>
                <a:alpha val="74902"/>
              </a:schemeClr>
            </a:solidFill>
            <a:ln w="25400">
              <a:solidFill>
                <a:schemeClr val="tx1"/>
              </a:solidFill>
            </a:ln>
          </c:spPr>
          <c:invertIfNegative val="0"/>
          <c:dLbls>
            <c:dLbl>
              <c:idx val="17"/>
              <c:layout>
                <c:manualLayout>
                  <c:x val="-1.2206822503569732E-16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36B-4562-9053-95FC96EF468D}"/>
                </c:ext>
              </c:extLst>
            </c:dLbl>
            <c:numFmt formatCode="#,##0,\ \k" sourceLinked="0"/>
            <c:spPr>
              <a:solidFill>
                <a:schemeClr val="bg1"/>
              </a:solidFill>
              <a:ln w="25400">
                <a:noFill/>
              </a:ln>
            </c:spPr>
            <c:txPr>
              <a:bodyPr rot="-5400000" vert="horz"/>
              <a:lstStyle/>
              <a:p>
                <a:pPr algn="ctr" rtl="1">
                  <a:defRPr sz="1000" b="0" i="0" u="none" strike="noStrike" baseline="0">
                    <a:solidFill>
                      <a:srgbClr val="80808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[0]!Data_Anual</c:f>
              <c:numCache>
                <c:formatCode>yyyy</c:formatCode>
                <c:ptCount val="30"/>
                <c:pt idx="0">
                  <c:v>44743</c:v>
                </c:pt>
                <c:pt idx="1">
                  <c:v>45108</c:v>
                </c:pt>
                <c:pt idx="2">
                  <c:v>45474</c:v>
                </c:pt>
                <c:pt idx="3">
                  <c:v>45839</c:v>
                </c:pt>
                <c:pt idx="4">
                  <c:v>46204</c:v>
                </c:pt>
                <c:pt idx="5">
                  <c:v>46569</c:v>
                </c:pt>
                <c:pt idx="6">
                  <c:v>46935</c:v>
                </c:pt>
                <c:pt idx="7">
                  <c:v>47300</c:v>
                </c:pt>
                <c:pt idx="8">
                  <c:v>47665</c:v>
                </c:pt>
                <c:pt idx="9">
                  <c:v>48030</c:v>
                </c:pt>
                <c:pt idx="10">
                  <c:v>48396</c:v>
                </c:pt>
                <c:pt idx="11">
                  <c:v>48761</c:v>
                </c:pt>
                <c:pt idx="12">
                  <c:v>49126</c:v>
                </c:pt>
                <c:pt idx="13">
                  <c:v>49491</c:v>
                </c:pt>
                <c:pt idx="14">
                  <c:v>49857</c:v>
                </c:pt>
                <c:pt idx="15">
                  <c:v>50222</c:v>
                </c:pt>
                <c:pt idx="16">
                  <c:v>50587</c:v>
                </c:pt>
                <c:pt idx="17">
                  <c:v>50952</c:v>
                </c:pt>
                <c:pt idx="18">
                  <c:v>51318</c:v>
                </c:pt>
                <c:pt idx="19">
                  <c:v>51683</c:v>
                </c:pt>
                <c:pt idx="20">
                  <c:v>52048</c:v>
                </c:pt>
                <c:pt idx="21">
                  <c:v>52413</c:v>
                </c:pt>
                <c:pt idx="22">
                  <c:v>52779</c:v>
                </c:pt>
                <c:pt idx="23">
                  <c:v>53144</c:v>
                </c:pt>
                <c:pt idx="24">
                  <c:v>53509</c:v>
                </c:pt>
                <c:pt idx="25">
                  <c:v>53874</c:v>
                </c:pt>
                <c:pt idx="26">
                  <c:v>54240</c:v>
                </c:pt>
                <c:pt idx="27">
                  <c:v>54605</c:v>
                </c:pt>
                <c:pt idx="28">
                  <c:v>54970</c:v>
                </c:pt>
                <c:pt idx="29">
                  <c:v>55335</c:v>
                </c:pt>
              </c:numCache>
            </c:numRef>
          </c:cat>
          <c:val>
            <c:numRef>
              <c:f>[0]!Patrimônio_Anual</c:f>
              <c:numCache>
                <c:formatCode>#,##0.00_);[Red]\(#,##0.00\)</c:formatCode>
                <c:ptCount val="30"/>
                <c:pt idx="0">
                  <c:v>79013.964301325177</c:v>
                </c:pt>
                <c:pt idx="1">
                  <c:v>110362.85440646166</c:v>
                </c:pt>
                <c:pt idx="2">
                  <c:v>144219.65572000906</c:v>
                </c:pt>
                <c:pt idx="3">
                  <c:v>180785.00113864025</c:v>
                </c:pt>
                <c:pt idx="4">
                  <c:v>220275.57419076186</c:v>
                </c:pt>
                <c:pt idx="5">
                  <c:v>262925.39308705321</c:v>
                </c:pt>
                <c:pt idx="6">
                  <c:v>308987.19749504788</c:v>
                </c:pt>
                <c:pt idx="7">
                  <c:v>358733.94625568209</c:v>
                </c:pt>
                <c:pt idx="8">
                  <c:v>412460.43491716706</c:v>
                </c:pt>
                <c:pt idx="9">
                  <c:v>470485.04267157085</c:v>
                </c:pt>
                <c:pt idx="10">
                  <c:v>533151.61904632684</c:v>
                </c:pt>
                <c:pt idx="11">
                  <c:v>600831.52153106325</c:v>
                </c:pt>
                <c:pt idx="12">
                  <c:v>673925.81621457869</c:v>
                </c:pt>
                <c:pt idx="13">
                  <c:v>752867.65447277518</c:v>
                </c:pt>
                <c:pt idx="14">
                  <c:v>838124.8397916276</c:v>
                </c:pt>
                <c:pt idx="15">
                  <c:v>930202.59993598808</c:v>
                </c:pt>
                <c:pt idx="16">
                  <c:v>1029646.5808918972</c:v>
                </c:pt>
                <c:pt idx="17">
                  <c:v>1137046.0803242791</c:v>
                </c:pt>
                <c:pt idx="18">
                  <c:v>1253037.5397112514</c:v>
                </c:pt>
                <c:pt idx="19">
                  <c:v>1378308.3158491813</c:v>
                </c:pt>
                <c:pt idx="20">
                  <c:v>1513600.7540781461</c:v>
                </c:pt>
                <c:pt idx="21">
                  <c:v>1659716.587365428</c:v>
                </c:pt>
                <c:pt idx="22">
                  <c:v>1817521.6873156922</c:v>
                </c:pt>
                <c:pt idx="23">
                  <c:v>1987951.1952619771</c:v>
                </c:pt>
                <c:pt idx="24">
                  <c:v>2172015.0638439646</c:v>
                </c:pt>
                <c:pt idx="25">
                  <c:v>2370804.041912511</c:v>
                </c:pt>
                <c:pt idx="26">
                  <c:v>2585496.1382265412</c:v>
                </c:pt>
                <c:pt idx="27">
                  <c:v>2817363.6022456945</c:v>
                </c:pt>
                <c:pt idx="28">
                  <c:v>3067780.4633863801</c:v>
                </c:pt>
                <c:pt idx="29">
                  <c:v>3338230.6734183193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FF-491C-AEAE-B18E95CA7C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2094147096"/>
        <c:axId val="2094143608"/>
      </c:barChart>
      <c:dateAx>
        <c:axId val="2094147096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nextTo"/>
        <c:spPr>
          <a:ln w="9525">
            <a:noFill/>
          </a:ln>
        </c:spPr>
        <c:txPr>
          <a:bodyPr rot="-5400000" vert="horz"/>
          <a:lstStyle/>
          <a:p>
            <a:pPr>
              <a:defRPr sz="1000" b="1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094143608"/>
        <c:crosses val="autoZero"/>
        <c:auto val="1"/>
        <c:lblOffset val="100"/>
        <c:baseTimeUnit val="years"/>
      </c:dateAx>
      <c:valAx>
        <c:axId val="2094143608"/>
        <c:scaling>
          <c:orientation val="minMax"/>
        </c:scaling>
        <c:delete val="0"/>
        <c:axPos val="l"/>
        <c:majorGridlines>
          <c:spPr>
            <a:ln w="1270">
              <a:solidFill>
                <a:schemeClr val="bg2">
                  <a:lumMod val="75000"/>
                </a:schemeClr>
              </a:solidFill>
              <a:prstDash val="solid"/>
            </a:ln>
          </c:spPr>
        </c:majorGridlines>
        <c:numFmt formatCode="#,##0,\ \K" sourceLinked="0"/>
        <c:majorTickMark val="out"/>
        <c:minorTickMark val="none"/>
        <c:tickLblPos val="nextTo"/>
        <c:spPr>
          <a:ln w="9525">
            <a:noFill/>
          </a:ln>
        </c:spPr>
        <c:txPr>
          <a:bodyPr/>
          <a:lstStyle/>
          <a:p>
            <a:pPr>
              <a:defRPr b="1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094147096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printSettings>
    <c:headerFooter alignWithMargins="0"/>
    <c:pageMargins b="0.750000000000003" l="0.70000000000000095" r="0.70000000000000095" t="0.750000000000003" header="0.3" footer="0.3"/>
    <c:pageSetup/>
  </c:printSettings>
</c:chartSpace>
</file>

<file path=xl/ctrlProps/ctrlProp1.xml><?xml version="1.0" encoding="utf-8"?>
<formControlPr xmlns="http://schemas.microsoft.com/office/spreadsheetml/2009/9/main" objectType="CheckBox" fmlaLink="#REF!" lockText="1" noThreeD="1"/>
</file>

<file path=xl/ctrlProps/ctrlProp2.xml><?xml version="1.0" encoding="utf-8"?>
<formControlPr xmlns="http://schemas.microsoft.com/office/spreadsheetml/2009/9/main" objectType="CheckBox" fmlaLink="#REF!" lockText="1" noThreeD="1"/>
</file>

<file path=xl/ctrlProps/ctrlProp3.xml><?xml version="1.0" encoding="utf-8"?>
<formControlPr xmlns="http://schemas.microsoft.com/office/spreadsheetml/2009/9/main" objectType="CheckBox" fmlaLink="#REF!" lockText="1" noThreeD="1"/>
</file>

<file path=xl/ctrlProps/ctrlProp4.xml><?xml version="1.0" encoding="utf-8"?>
<formControlPr xmlns="http://schemas.microsoft.com/office/spreadsheetml/2009/9/main" objectType="CheckBox" fmlaLink="#REF!" lockText="1" noThreeD="1"/>
</file>

<file path=xl/ctrlProps/ctrlProp5.xml><?xml version="1.0" encoding="utf-8"?>
<formControlPr xmlns="http://schemas.microsoft.com/office/spreadsheetml/2009/9/main" objectType="CheckBox" fmlaLink="#REF!" lockText="1" noThreeD="1"/>
</file>

<file path=xl/ctrlProps/ctrlProp6.xml><?xml version="1.0" encoding="utf-8"?>
<formControlPr xmlns="http://schemas.microsoft.com/office/spreadsheetml/2009/9/main" objectType="CheckBox" fmlaLink="#REF!" lockText="1" noThreeD="1"/>
</file>

<file path=xl/ctrlProps/ctrlProp7.xml><?xml version="1.0" encoding="utf-8"?>
<formControlPr xmlns="http://schemas.microsoft.com/office/spreadsheetml/2009/9/main" objectType="CheckBox" fmlaLink="'ANEXO DE APOIO'!$I$13" lockText="1" noThreeD="1"/>
</file>

<file path=xl/ctrlProps/ctrlProp8.xml><?xml version="1.0" encoding="utf-8"?>
<formControlPr xmlns="http://schemas.microsoft.com/office/spreadsheetml/2009/9/main" objectType="CheckBox" fmlaLink="'ANEXO DE APOIO'!$I$14" lockText="1" noThreeD="1"/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PAINEL!A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hyperlink" Target="#'Desafio do 1 centavo'!A1"/><Relationship Id="rId4" Type="http://schemas.openxmlformats.org/officeDocument/2006/relationships/hyperlink" Target="#INPUTS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INPUTS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9525</xdr:colOff>
      <xdr:row>0</xdr:row>
      <xdr:rowOff>120650</xdr:rowOff>
    </xdr:from>
    <xdr:to>
      <xdr:col>15</xdr:col>
      <xdr:colOff>323507</xdr:colOff>
      <xdr:row>1</xdr:row>
      <xdr:rowOff>181196</xdr:rowOff>
    </xdr:to>
    <xdr:sp macro="[0]!GoTo_Alocacao_Hide_Dados_Historicos" textlink="">
      <xdr:nvSpPr>
        <xdr:cNvPr id="2" name="Rounded Rectangl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6600825" y="123825"/>
          <a:ext cx="1343025" cy="247649"/>
        </a:xfrm>
        <a:prstGeom prst="roundRect">
          <a:avLst/>
        </a:prstGeom>
        <a:solidFill>
          <a:schemeClr val="bg1">
            <a:lumMod val="95000"/>
          </a:schemeClr>
        </a:solidFill>
        <a:ln>
          <a:solidFill>
            <a:schemeClr val="accent2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pt-BR" sz="1000" b="1">
              <a:solidFill>
                <a:sysClr val="windowText" lastClr="000000"/>
              </a:solidFill>
            </a:rPr>
            <a:t>Voltar para Alocação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33</xdr:row>
          <xdr:rowOff>0</xdr:rowOff>
        </xdr:from>
        <xdr:to>
          <xdr:col>13</xdr:col>
          <xdr:colOff>104775</xdr:colOff>
          <xdr:row>38</xdr:row>
          <xdr:rowOff>76200</xdr:rowOff>
        </xdr:to>
        <xdr:sp macro="" textlink="">
          <xdr:nvSpPr>
            <xdr:cNvPr id="2088" name="Check Box 40" hidden="1">
              <a:extLst>
                <a:ext uri="{63B3BB69-23CF-44E3-9099-C40C66FF867C}">
                  <a14:compatExt spid="_x0000_s2088"/>
                </a:ext>
                <a:ext uri="{FF2B5EF4-FFF2-40B4-BE49-F238E27FC236}">
                  <a16:creationId xmlns:a16="http://schemas.microsoft.com/office/drawing/2014/main" id="{00000000-0008-0000-0100-00002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kk</a:t>
              </a:r>
            </a:p>
          </xdr:txBody>
        </xdr:sp>
        <xdr:clientData/>
      </xdr:twoCellAnchor>
    </mc:Choice>
    <mc:Fallback/>
  </mc:AlternateContent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381000" y="581025"/>
          <a:ext cx="276225" cy="266700"/>
        </a:xfrm>
        <a:prstGeom prst="ellipse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0" tIns="0" rIns="0" bIns="0" rtlCol="0" anchor="ctr"/>
        <a:lstStyle/>
        <a:p>
          <a:pPr marL="0" indent="0" algn="ctr"/>
          <a:r>
            <a:rPr lang="pt-BR" sz="1200" b="1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1</a:t>
          </a:r>
        </a:p>
      </xdr:txBody>
    </xdr:sp>
    <xdr:clientData/>
  </xdr:twoCellAnchor>
  <xdr:twoCellAnchor>
    <xdr:from>
      <xdr:col>1</xdr:col>
      <xdr:colOff>0</xdr:colOff>
      <xdr:row>6</xdr:row>
      <xdr:rowOff>0</xdr:rowOff>
    </xdr:from>
    <xdr:to>
      <xdr:col>2</xdr:col>
      <xdr:colOff>0</xdr:colOff>
      <xdr:row>7</xdr:row>
      <xdr:rowOff>0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609600" y="647700"/>
          <a:ext cx="304800" cy="266700"/>
        </a:xfrm>
        <a:prstGeom prst="ellipse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0" tIns="0" rIns="0" bIns="0" rtlCol="0" anchor="ctr"/>
        <a:lstStyle/>
        <a:p>
          <a:pPr marL="0" indent="0" algn="ctr"/>
          <a:r>
            <a:rPr lang="pt-BR" sz="1200" b="1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2</a:t>
          </a:r>
        </a:p>
      </xdr:txBody>
    </xdr:sp>
    <xdr:clientData/>
  </xdr:twoCellAnchor>
  <xdr:twoCellAnchor>
    <xdr:from>
      <xdr:col>1</xdr:col>
      <xdr:colOff>0</xdr:colOff>
      <xdr:row>9</xdr:row>
      <xdr:rowOff>0</xdr:rowOff>
    </xdr:from>
    <xdr:to>
      <xdr:col>2</xdr:col>
      <xdr:colOff>0</xdr:colOff>
      <xdr:row>10</xdr:row>
      <xdr:rowOff>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609600" y="1104900"/>
          <a:ext cx="304800" cy="266700"/>
        </a:xfrm>
        <a:prstGeom prst="ellipse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0" tIns="0" rIns="0" bIns="0" rtlCol="0" anchor="ctr"/>
        <a:lstStyle/>
        <a:p>
          <a:pPr marL="0" indent="0" algn="ctr"/>
          <a:r>
            <a:rPr lang="pt-BR" sz="1200" b="1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3</a:t>
          </a:r>
        </a:p>
      </xdr:txBody>
    </xdr:sp>
    <xdr:clientData/>
  </xdr:twoCellAnchor>
  <xdr:twoCellAnchor>
    <xdr:from>
      <xdr:col>1</xdr:col>
      <xdr:colOff>0</xdr:colOff>
      <xdr:row>12</xdr:row>
      <xdr:rowOff>0</xdr:rowOff>
    </xdr:from>
    <xdr:to>
      <xdr:col>2</xdr:col>
      <xdr:colOff>0</xdr:colOff>
      <xdr:row>13</xdr:row>
      <xdr:rowOff>0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/>
      </xdr:nvSpPr>
      <xdr:spPr>
        <a:xfrm>
          <a:off x="609600" y="1562100"/>
          <a:ext cx="304800" cy="266700"/>
        </a:xfrm>
        <a:prstGeom prst="ellipse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0" tIns="0" rIns="0" bIns="0" rtlCol="0" anchor="ctr"/>
        <a:lstStyle/>
        <a:p>
          <a:pPr marL="0" indent="0" algn="ctr"/>
          <a:r>
            <a:rPr lang="pt-BR" sz="1200" b="1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4</a:t>
          </a:r>
        </a:p>
      </xdr:txBody>
    </xdr:sp>
    <xdr:clientData/>
  </xdr:twoCellAnchor>
  <xdr:twoCellAnchor>
    <xdr:from>
      <xdr:col>1</xdr:col>
      <xdr:colOff>0</xdr:colOff>
      <xdr:row>15</xdr:row>
      <xdr:rowOff>0</xdr:rowOff>
    </xdr:from>
    <xdr:to>
      <xdr:col>2</xdr:col>
      <xdr:colOff>0</xdr:colOff>
      <xdr:row>15</xdr:row>
      <xdr:rowOff>0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/>
      </xdr:nvSpPr>
      <xdr:spPr>
        <a:xfrm>
          <a:off x="609600" y="1790700"/>
          <a:ext cx="304800" cy="266700"/>
        </a:xfrm>
        <a:prstGeom prst="ellipse">
          <a:avLst/>
        </a:prstGeom>
        <a:solidFill>
          <a:schemeClr val="tx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</a:rPr>
            <a:t>5</a:t>
          </a:r>
        </a:p>
      </xdr:txBody>
    </xdr:sp>
    <xdr:clientData/>
  </xdr:twoCellAnchor>
  <xdr:twoCellAnchor>
    <xdr:from>
      <xdr:col>1</xdr:col>
      <xdr:colOff>0</xdr:colOff>
      <xdr:row>15</xdr:row>
      <xdr:rowOff>0</xdr:rowOff>
    </xdr:from>
    <xdr:to>
      <xdr:col>2</xdr:col>
      <xdr:colOff>0</xdr:colOff>
      <xdr:row>15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/>
      </xdr:nvSpPr>
      <xdr:spPr>
        <a:xfrm>
          <a:off x="609600" y="2171700"/>
          <a:ext cx="304800" cy="266700"/>
        </a:xfrm>
        <a:prstGeom prst="ellipse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</a:rPr>
            <a:t>6</a:t>
          </a:r>
        </a:p>
      </xdr:txBody>
    </xdr:sp>
    <xdr:clientData/>
  </xdr:twoCellAnchor>
  <xdr:twoCellAnchor>
    <xdr:from>
      <xdr:col>1</xdr:col>
      <xdr:colOff>0</xdr:colOff>
      <xdr:row>15</xdr:row>
      <xdr:rowOff>0</xdr:rowOff>
    </xdr:from>
    <xdr:to>
      <xdr:col>2</xdr:col>
      <xdr:colOff>0</xdr:colOff>
      <xdr:row>16</xdr:row>
      <xdr:rowOff>0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/>
      </xdr:nvSpPr>
      <xdr:spPr>
        <a:xfrm>
          <a:off x="609600" y="2019300"/>
          <a:ext cx="276225" cy="266700"/>
        </a:xfrm>
        <a:prstGeom prst="ellipse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0" tIns="0" rIns="0" bIns="0" rtlCol="0" anchor="ctr"/>
        <a:lstStyle/>
        <a:p>
          <a:pPr marL="0" indent="0" algn="ctr"/>
          <a:r>
            <a:rPr lang="pt-BR" sz="1200" b="1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5</a:t>
          </a:r>
        </a:p>
      </xdr:txBody>
    </xdr:sp>
    <xdr:clientData/>
  </xdr:twoCellAnchor>
  <xdr:twoCellAnchor>
    <xdr:from>
      <xdr:col>3</xdr:col>
      <xdr:colOff>9492</xdr:colOff>
      <xdr:row>3</xdr:row>
      <xdr:rowOff>0</xdr:rowOff>
    </xdr:from>
    <xdr:to>
      <xdr:col>4</xdr:col>
      <xdr:colOff>104869</xdr:colOff>
      <xdr:row>4</xdr:row>
      <xdr:rowOff>11617</xdr:rowOff>
    </xdr:to>
    <xdr:sp macro="" textlink="'BANCO DE DADOS'!AC26">
      <xdr:nvSpPr>
        <xdr:cNvPr id="11" name="Rounded Rectangle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/>
      </xdr:nvSpPr>
      <xdr:spPr>
        <a:xfrm>
          <a:off x="917168" y="593912"/>
          <a:ext cx="2829613" cy="280558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0" tIns="0" rIns="0" bIns="0" rtlCol="0" anchor="ctr"/>
        <a:lstStyle/>
        <a:p>
          <a:pPr marL="0" indent="0" algn="ctr"/>
          <a:fld id="{E3B905AD-6BB2-4E4A-B4C0-FF262892BA27}" type="TxLink">
            <a:rPr lang="pt-BR" sz="1100" b="1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pPr marL="0" indent="0" algn="ctr"/>
            <a:t>Primeiro Aporte</a:t>
          </a:fld>
          <a:endParaRPr lang="pt-BR" sz="1100" b="1">
            <a:solidFill>
              <a:sysClr val="windowText" lastClr="000000"/>
            </a:solidFill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3</xdr:col>
      <xdr:colOff>9492</xdr:colOff>
      <xdr:row>6</xdr:row>
      <xdr:rowOff>0</xdr:rowOff>
    </xdr:from>
    <xdr:to>
      <xdr:col>4</xdr:col>
      <xdr:colOff>104869</xdr:colOff>
      <xdr:row>7</xdr:row>
      <xdr:rowOff>11617</xdr:rowOff>
    </xdr:to>
    <xdr:sp macro="" textlink="'BANCO DE DADOS'!AC27">
      <xdr:nvSpPr>
        <xdr:cNvPr id="13" name="Rounded Rectangle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>
        <a:xfrm>
          <a:off x="917168" y="1176618"/>
          <a:ext cx="2829613" cy="280558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0" tIns="0" rIns="0" bIns="0" rtlCol="0" anchor="ctr"/>
        <a:lstStyle/>
        <a:p>
          <a:pPr marL="0" indent="0" algn="ctr"/>
          <a:fld id="{CBC83CB2-DEF1-48E0-9E03-D48307B7F4B0}" type="TxLink">
            <a:rPr lang="pt-BR" sz="1100" b="1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pPr marL="0" indent="0" algn="ctr"/>
            <a:t>Aportes (mensal)</a:t>
          </a:fld>
          <a:endParaRPr lang="pt-BR" sz="1100" b="1">
            <a:solidFill>
              <a:sysClr val="windowText" lastClr="000000"/>
            </a:solidFill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3</xdr:col>
      <xdr:colOff>9492</xdr:colOff>
      <xdr:row>9</xdr:row>
      <xdr:rowOff>0</xdr:rowOff>
    </xdr:from>
    <xdr:to>
      <xdr:col>4</xdr:col>
      <xdr:colOff>104869</xdr:colOff>
      <xdr:row>10</xdr:row>
      <xdr:rowOff>11617</xdr:rowOff>
    </xdr:to>
    <xdr:sp macro="" textlink="'BANCO DE DADOS'!AC28">
      <xdr:nvSpPr>
        <xdr:cNvPr id="14" name="Rounded Rectangle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/>
      </xdr:nvSpPr>
      <xdr:spPr>
        <a:xfrm>
          <a:off x="917168" y="1759324"/>
          <a:ext cx="2829613" cy="280558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0" tIns="0" rIns="0" bIns="0" rtlCol="0" anchor="ctr"/>
        <a:lstStyle/>
        <a:p>
          <a:pPr algn="ctr"/>
          <a:fld id="{B9E9E4B4-681F-4CF1-A589-6335B501F8F1}" type="TxLink">
            <a:rPr lang="pt-BR" sz="1100" b="1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pPr algn="ctr"/>
            <a:t>Retorno Nominal Esperado (ao ano)</a:t>
          </a:fld>
          <a:endParaRPr lang="pt-BR" sz="1100" b="1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3</xdr:col>
      <xdr:colOff>9492</xdr:colOff>
      <xdr:row>11</xdr:row>
      <xdr:rowOff>156881</xdr:rowOff>
    </xdr:from>
    <xdr:to>
      <xdr:col>4</xdr:col>
      <xdr:colOff>104869</xdr:colOff>
      <xdr:row>13</xdr:row>
      <xdr:rowOff>11616</xdr:rowOff>
    </xdr:to>
    <xdr:sp macro="" textlink="'BANCO DE DADOS'!AC29">
      <xdr:nvSpPr>
        <xdr:cNvPr id="15" name="Rounded Rectangle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/>
      </xdr:nvSpPr>
      <xdr:spPr>
        <a:xfrm>
          <a:off x="917168" y="2342028"/>
          <a:ext cx="2829613" cy="280559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0" tIns="0" rIns="0" bIns="0" rtlCol="0" anchor="ctr"/>
        <a:lstStyle/>
        <a:p>
          <a:pPr algn="ctr"/>
          <a:fld id="{5C08CD34-CFA2-41D7-B23B-7063BC574DF2}" type="TxLink">
            <a:rPr lang="pt-BR" sz="1100" b="1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pPr algn="ctr"/>
            <a:t>Período de Aplicação (em anos)</a:t>
          </a:fld>
          <a:endParaRPr lang="pt-BR" sz="1100" b="1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3</xdr:col>
      <xdr:colOff>9492</xdr:colOff>
      <xdr:row>15</xdr:row>
      <xdr:rowOff>0</xdr:rowOff>
    </xdr:from>
    <xdr:to>
      <xdr:col>4</xdr:col>
      <xdr:colOff>104869</xdr:colOff>
      <xdr:row>16</xdr:row>
      <xdr:rowOff>11617</xdr:rowOff>
    </xdr:to>
    <xdr:sp macro="" textlink="'BANCO DE DADOS'!AC30">
      <xdr:nvSpPr>
        <xdr:cNvPr id="16" name="Rounded Rectangle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/>
      </xdr:nvSpPr>
      <xdr:spPr>
        <a:xfrm>
          <a:off x="917168" y="2924735"/>
          <a:ext cx="2829613" cy="280558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0" tIns="0" rIns="0" bIns="0" rtlCol="0" anchor="ctr"/>
        <a:lstStyle/>
        <a:p>
          <a:pPr algn="ctr"/>
          <a:fld id="{D8C8E0D9-2ED7-410D-B988-BA5129ADD0FB}" type="TxLink">
            <a:rPr lang="pt-BR" sz="1100" b="1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pPr algn="ctr"/>
            <a:t>Inflação</a:t>
          </a:fld>
          <a:endParaRPr lang="pt-BR" sz="1100" b="1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2</xdr:col>
      <xdr:colOff>104775</xdr:colOff>
      <xdr:row>23</xdr:row>
      <xdr:rowOff>56597</xdr:rowOff>
    </xdr:from>
    <xdr:to>
      <xdr:col>5</xdr:col>
      <xdr:colOff>9526</xdr:colOff>
      <xdr:row>25</xdr:row>
      <xdr:rowOff>66675</xdr:rowOff>
    </xdr:to>
    <xdr:sp macro="[0]!GoTo_Resultados" textlink="">
      <xdr:nvSpPr>
        <xdr:cNvPr id="33" name="TextBox 3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SpPr txBox="1"/>
      </xdr:nvSpPr>
      <xdr:spPr bwMode="auto">
        <a:xfrm>
          <a:off x="895350" y="4609547"/>
          <a:ext cx="2867026" cy="429178"/>
        </a:xfrm>
        <a:prstGeom prst="rect">
          <a:avLst/>
        </a:prstGeom>
        <a:solidFill>
          <a:srgbClr val="92D05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ctr">
          <a:noAutofit/>
        </a:bodyPr>
        <a:lstStyle/>
        <a:p>
          <a:pPr lvl="0" algn="ctr"/>
          <a:r>
            <a:rPr lang="en-US" sz="1800" b="1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Calcular</a:t>
          </a:r>
          <a:r>
            <a:rPr lang="en-US" sz="1800" b="1" baseline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 Resultado</a:t>
          </a:r>
          <a:endParaRPr lang="en-US" sz="1200" b="1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525781</xdr:colOff>
          <xdr:row>41</xdr:row>
          <xdr:rowOff>9524</xdr:rowOff>
        </xdr:from>
        <xdr:to>
          <xdr:col>15</xdr:col>
          <xdr:colOff>571500</xdr:colOff>
          <xdr:row>41</xdr:row>
          <xdr:rowOff>104775</xdr:rowOff>
        </xdr:to>
        <xdr:grpSp>
          <xdr:nvGrpSpPr>
            <xdr:cNvPr id="3" name="Agrupar 2">
              <a:extLst>
                <a:ext uri="{FF2B5EF4-FFF2-40B4-BE49-F238E27FC236}">
                  <a16:creationId xmlns:a16="http://schemas.microsoft.com/office/drawing/2014/main" id="{00000000-0008-0000-0100-000003000000}"/>
                </a:ext>
              </a:extLst>
            </xdr:cNvPr>
            <xdr:cNvGrpSpPr/>
          </xdr:nvGrpSpPr>
          <xdr:grpSpPr>
            <a:xfrm>
              <a:off x="9567727" y="6867524"/>
              <a:ext cx="45719" cy="95251"/>
              <a:chOff x="7591640" y="5758141"/>
              <a:chExt cx="5400460" cy="805278"/>
            </a:xfrm>
          </xdr:grpSpPr>
          <xdr:sp macro="" textlink="">
            <xdr:nvSpPr>
              <xdr:cNvPr id="2096" name="Check Box 48" hidden="1">
                <a:extLst>
                  <a:ext uri="{63B3BB69-23CF-44E3-9099-C40C66FF867C}">
                    <a14:compatExt spid="_x0000_s2096"/>
                  </a:ext>
                  <a:ext uri="{FF2B5EF4-FFF2-40B4-BE49-F238E27FC236}">
                    <a16:creationId xmlns:a16="http://schemas.microsoft.com/office/drawing/2014/main" id="{00000000-0008-0000-0100-000030080000}"/>
                  </a:ext>
                </a:extLst>
              </xdr:cNvPr>
              <xdr:cNvSpPr/>
            </xdr:nvSpPr>
            <xdr:spPr bwMode="auto">
              <a:xfrm flipV="1">
                <a:off x="7591640" y="6387486"/>
                <a:ext cx="314325" cy="175933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2099" name="Check Box 51" hidden="1">
                <a:extLst>
                  <a:ext uri="{63B3BB69-23CF-44E3-9099-C40C66FF867C}">
                    <a14:compatExt spid="_x0000_s2099"/>
                  </a:ext>
                  <a:ext uri="{FF2B5EF4-FFF2-40B4-BE49-F238E27FC236}">
                    <a16:creationId xmlns:a16="http://schemas.microsoft.com/office/drawing/2014/main" id="{00000000-0008-0000-0100-000033080000}"/>
                  </a:ext>
                </a:extLst>
              </xdr:cNvPr>
              <xdr:cNvSpPr/>
            </xdr:nvSpPr>
            <xdr:spPr bwMode="auto">
              <a:xfrm flipV="1">
                <a:off x="12677775" y="5758141"/>
                <a:ext cx="314325" cy="175933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xdr:twoCellAnchor>
    <xdr:from>
      <xdr:col>1</xdr:col>
      <xdr:colOff>9525</xdr:colOff>
      <xdr:row>18</xdr:row>
      <xdr:rowOff>9525</xdr:rowOff>
    </xdr:from>
    <xdr:to>
      <xdr:col>2</xdr:col>
      <xdr:colOff>9525</xdr:colOff>
      <xdr:row>19</xdr:row>
      <xdr:rowOff>9525</xdr:rowOff>
    </xdr:to>
    <xdr:sp macro="" textlink="">
      <xdr:nvSpPr>
        <xdr:cNvPr id="64" name="Oval 8">
          <a:extLst>
            <a:ext uri="{FF2B5EF4-FFF2-40B4-BE49-F238E27FC236}">
              <a16:creationId xmlns:a16="http://schemas.microsoft.com/office/drawing/2014/main" id="{00000000-0008-0000-0100-000040000000}"/>
            </a:ext>
          </a:extLst>
        </xdr:cNvPr>
        <xdr:cNvSpPr/>
      </xdr:nvSpPr>
      <xdr:spPr>
        <a:xfrm>
          <a:off x="523875" y="3057525"/>
          <a:ext cx="276225" cy="266700"/>
        </a:xfrm>
        <a:prstGeom prst="ellipse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0" tIns="0" rIns="0" bIns="0" rtlCol="0" anchor="ctr"/>
        <a:lstStyle/>
        <a:p>
          <a:pPr marL="0" indent="0" algn="ctr"/>
          <a:r>
            <a:rPr lang="pt-BR" sz="1200" b="1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6</a:t>
          </a:r>
        </a:p>
      </xdr:txBody>
    </xdr:sp>
    <xdr:clientData/>
  </xdr:twoCellAnchor>
  <xdr:twoCellAnchor>
    <xdr:from>
      <xdr:col>3</xdr:col>
      <xdr:colOff>2241</xdr:colOff>
      <xdr:row>17</xdr:row>
      <xdr:rowOff>156881</xdr:rowOff>
    </xdr:from>
    <xdr:to>
      <xdr:col>4</xdr:col>
      <xdr:colOff>105129</xdr:colOff>
      <xdr:row>19</xdr:row>
      <xdr:rowOff>21553</xdr:rowOff>
    </xdr:to>
    <xdr:sp macro="" textlink="'BANCO DE DADOS'!AC34">
      <xdr:nvSpPr>
        <xdr:cNvPr id="65" name="Rounded Rectangle 27">
          <a:extLst>
            <a:ext uri="{FF2B5EF4-FFF2-40B4-BE49-F238E27FC236}">
              <a16:creationId xmlns:a16="http://schemas.microsoft.com/office/drawing/2014/main" id="{00000000-0008-0000-0100-000041000000}"/>
            </a:ext>
          </a:extLst>
        </xdr:cNvPr>
        <xdr:cNvSpPr/>
      </xdr:nvSpPr>
      <xdr:spPr>
        <a:xfrm>
          <a:off x="909917" y="3507440"/>
          <a:ext cx="2837124" cy="290495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0" tIns="0" rIns="0" bIns="0" rtlCol="0" anchor="ctr"/>
        <a:lstStyle/>
        <a:p>
          <a:pPr algn="ctr"/>
          <a:fld id="{0CA3CEFA-CFB0-442B-96CD-86D398EECC56}" type="TxLink">
            <a:rPr lang="pt-BR" sz="1100" b="1" i="0" u="none" strike="noStrike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pPr algn="ctr"/>
            <a:t>Taxa de crescimento dos aportes (ao ano)</a:t>
          </a:fld>
          <a:endParaRPr lang="pt-BR" sz="1100" b="1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</xdr:col>
      <xdr:colOff>9525</xdr:colOff>
      <xdr:row>21</xdr:row>
      <xdr:rowOff>9525</xdr:rowOff>
    </xdr:from>
    <xdr:to>
      <xdr:col>2</xdr:col>
      <xdr:colOff>9525</xdr:colOff>
      <xdr:row>22</xdr:row>
      <xdr:rowOff>9525</xdr:rowOff>
    </xdr:to>
    <xdr:sp macro="" textlink="">
      <xdr:nvSpPr>
        <xdr:cNvPr id="66" name="Oval 8">
          <a:extLst>
            <a:ext uri="{FF2B5EF4-FFF2-40B4-BE49-F238E27FC236}">
              <a16:creationId xmlns:a16="http://schemas.microsoft.com/office/drawing/2014/main" id="{00000000-0008-0000-0100-000042000000}"/>
            </a:ext>
          </a:extLst>
        </xdr:cNvPr>
        <xdr:cNvSpPr/>
      </xdr:nvSpPr>
      <xdr:spPr>
        <a:xfrm>
          <a:off x="523875" y="4143375"/>
          <a:ext cx="276225" cy="266700"/>
        </a:xfrm>
        <a:prstGeom prst="ellipse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0" tIns="0" rIns="0" bIns="0" rtlCol="0" anchor="ctr"/>
        <a:lstStyle/>
        <a:p>
          <a:pPr marL="0" indent="0" algn="ctr"/>
          <a:r>
            <a:rPr lang="pt-BR" sz="1200" b="1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7</a:t>
          </a:r>
        </a:p>
      </xdr:txBody>
    </xdr:sp>
    <xdr:clientData/>
  </xdr:twoCellAnchor>
  <xdr:twoCellAnchor>
    <xdr:from>
      <xdr:col>2</xdr:col>
      <xdr:colOff>95250</xdr:colOff>
      <xdr:row>21</xdr:row>
      <xdr:rowOff>9525</xdr:rowOff>
    </xdr:from>
    <xdr:to>
      <xdr:col>4</xdr:col>
      <xdr:colOff>104774</xdr:colOff>
      <xdr:row>22</xdr:row>
      <xdr:rowOff>11206</xdr:rowOff>
    </xdr:to>
    <xdr:sp macro="" textlink="'BANCO DE DADOS'!AC36">
      <xdr:nvSpPr>
        <xdr:cNvPr id="67" name="Rounded Rectangle 28">
          <a:extLst>
            <a:ext uri="{FF2B5EF4-FFF2-40B4-BE49-F238E27FC236}">
              <a16:creationId xmlns:a16="http://schemas.microsoft.com/office/drawing/2014/main" id="{00000000-0008-0000-0100-000043000000}"/>
            </a:ext>
          </a:extLst>
        </xdr:cNvPr>
        <xdr:cNvSpPr/>
      </xdr:nvSpPr>
      <xdr:spPr>
        <a:xfrm>
          <a:off x="885825" y="4143375"/>
          <a:ext cx="2857499" cy="268381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0" tIns="0" rIns="0" bIns="0" rtlCol="0" anchor="ctr"/>
        <a:lstStyle/>
        <a:p>
          <a:pPr algn="ctr"/>
          <a:fld id="{1A53BD01-7A50-4651-8D95-3F56CC30C28F}" type="TxLink">
            <a:rPr lang="pt-BR" sz="1200" b="1">
              <a:solidFill>
                <a:sysClr val="windowText" lastClr="000000"/>
              </a:solidFill>
            </a:rPr>
            <a:pPr algn="ctr"/>
            <a:t>Incluir Imposto de Renda?</a:t>
          </a:fld>
          <a:endParaRPr lang="pt-BR" sz="12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152400</xdr:colOff>
      <xdr:row>30</xdr:row>
      <xdr:rowOff>85725</xdr:rowOff>
    </xdr:from>
    <xdr:to>
      <xdr:col>13</xdr:col>
      <xdr:colOff>514350</xdr:colOff>
      <xdr:row>38</xdr:row>
      <xdr:rowOff>171450</xdr:rowOff>
    </xdr:to>
    <xdr:sp macro="" textlink="">
      <xdr:nvSpPr>
        <xdr:cNvPr id="10" name="Retângulo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/>
      </xdr:nvSpPr>
      <xdr:spPr>
        <a:xfrm>
          <a:off x="6924675" y="5934075"/>
          <a:ext cx="1390650" cy="542925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40000" dist="23000" dir="5400000" rotWithShape="0">
            <a:srgbClr val="000000">
              <a:alpha val="0"/>
            </a:srgbClr>
          </a:outerShdw>
        </a:effectLst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endParaRPr lang="pt-BR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4</xdr:row>
      <xdr:rowOff>0</xdr:rowOff>
    </xdr:from>
    <xdr:to>
      <xdr:col>14</xdr:col>
      <xdr:colOff>0</xdr:colOff>
      <xdr:row>13</xdr:row>
      <xdr:rowOff>180975</xdr:rowOff>
    </xdr:to>
    <xdr:graphicFrame macro="">
      <xdr:nvGraphicFramePr>
        <xdr:cNvPr id="10294" name="Chart 13">
          <a:extLst>
            <a:ext uri="{FF2B5EF4-FFF2-40B4-BE49-F238E27FC236}">
              <a16:creationId xmlns:a16="http://schemas.microsoft.com/office/drawing/2014/main" id="{00000000-0008-0000-0200-0000362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1190625</xdr:colOff>
      <xdr:row>19</xdr:row>
      <xdr:rowOff>0</xdr:rowOff>
    </xdr:from>
    <xdr:to>
      <xdr:col>15</xdr:col>
      <xdr:colOff>609600</xdr:colOff>
      <xdr:row>29</xdr:row>
      <xdr:rowOff>0</xdr:rowOff>
    </xdr:to>
    <xdr:graphicFrame macro="">
      <xdr:nvGraphicFramePr>
        <xdr:cNvPr id="10295" name="Chart 14">
          <a:extLst>
            <a:ext uri="{FF2B5EF4-FFF2-40B4-BE49-F238E27FC236}">
              <a16:creationId xmlns:a16="http://schemas.microsoft.com/office/drawing/2014/main" id="{00000000-0008-0000-0200-0000372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13</xdr:row>
      <xdr:rowOff>123825</xdr:rowOff>
    </xdr:from>
    <xdr:to>
      <xdr:col>10</xdr:col>
      <xdr:colOff>0</xdr:colOff>
      <xdr:row>30</xdr:row>
      <xdr:rowOff>0</xdr:rowOff>
    </xdr:to>
    <xdr:graphicFrame macro="">
      <xdr:nvGraphicFramePr>
        <xdr:cNvPr id="10297" name="Chart 17">
          <a:extLst>
            <a:ext uri="{FF2B5EF4-FFF2-40B4-BE49-F238E27FC236}">
              <a16:creationId xmlns:a16="http://schemas.microsoft.com/office/drawing/2014/main" id="{00000000-0008-0000-0200-0000392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9525</xdr:colOff>
      <xdr:row>6</xdr:row>
      <xdr:rowOff>9525</xdr:rowOff>
    </xdr:from>
    <xdr:to>
      <xdr:col>2</xdr:col>
      <xdr:colOff>79426</xdr:colOff>
      <xdr:row>6</xdr:row>
      <xdr:rowOff>9525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CxnSpPr/>
      </xdr:nvCxnSpPr>
      <xdr:spPr>
        <a:xfrm flipV="1">
          <a:off x="390525" y="1323975"/>
          <a:ext cx="2352675" cy="9525"/>
        </a:xfrm>
        <a:prstGeom prst="straightConnector1">
          <a:avLst/>
        </a:prstGeom>
        <a:ln w="19050">
          <a:solidFill>
            <a:schemeClr val="accent1">
              <a:lumMod val="20000"/>
              <a:lumOff val="80000"/>
            </a:schemeClr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8</xdr:row>
      <xdr:rowOff>6350</xdr:rowOff>
    </xdr:from>
    <xdr:to>
      <xdr:col>2</xdr:col>
      <xdr:colOff>79426</xdr:colOff>
      <xdr:row>8</xdr:row>
      <xdr:rowOff>15875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CxnSpPr/>
      </xdr:nvCxnSpPr>
      <xdr:spPr>
        <a:xfrm flipV="1">
          <a:off x="390525" y="1724025"/>
          <a:ext cx="2352675" cy="9525"/>
        </a:xfrm>
        <a:prstGeom prst="straightConnector1">
          <a:avLst/>
        </a:prstGeom>
        <a:ln w="12700">
          <a:solidFill>
            <a:schemeClr val="bg1">
              <a:lumMod val="85000"/>
            </a:schemeClr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10</xdr:row>
      <xdr:rowOff>6350</xdr:rowOff>
    </xdr:from>
    <xdr:to>
      <xdr:col>2</xdr:col>
      <xdr:colOff>79426</xdr:colOff>
      <xdr:row>10</xdr:row>
      <xdr:rowOff>15875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CxnSpPr/>
      </xdr:nvCxnSpPr>
      <xdr:spPr>
        <a:xfrm flipV="1">
          <a:off x="390525" y="2114550"/>
          <a:ext cx="2352675" cy="9525"/>
        </a:xfrm>
        <a:prstGeom prst="straightConnector1">
          <a:avLst/>
        </a:prstGeom>
        <a:ln w="12700">
          <a:solidFill>
            <a:schemeClr val="bg1">
              <a:lumMod val="85000"/>
            </a:schemeClr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638175</xdr:colOff>
      <xdr:row>1</xdr:row>
      <xdr:rowOff>219075</xdr:rowOff>
    </xdr:from>
    <xdr:to>
      <xdr:col>9</xdr:col>
      <xdr:colOff>19050</xdr:colOff>
      <xdr:row>3</xdr:row>
      <xdr:rowOff>114300</xdr:rowOff>
    </xdr:to>
    <xdr:sp macro="" textlink="">
      <xdr:nvSpPr>
        <xdr:cNvPr id="2" name="Retângulo: Cantos Arredondados 1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6496050" y="333375"/>
          <a:ext cx="1771650" cy="381000"/>
        </a:xfrm>
        <a:prstGeom prst="roundRect">
          <a:avLst/>
        </a:prstGeom>
        <a:solidFill>
          <a:srgbClr val="FF0000"/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pt-BR" sz="1600" b="1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PLANEJAR</a:t>
          </a:r>
        </a:p>
      </xdr:txBody>
    </xdr:sp>
    <xdr:clientData/>
  </xdr:twoCellAnchor>
  <xdr:twoCellAnchor>
    <xdr:from>
      <xdr:col>1</xdr:col>
      <xdr:colOff>19050</xdr:colOff>
      <xdr:row>4</xdr:row>
      <xdr:rowOff>9525</xdr:rowOff>
    </xdr:from>
    <xdr:to>
      <xdr:col>2</xdr:col>
      <xdr:colOff>88951</xdr:colOff>
      <xdr:row>4</xdr:row>
      <xdr:rowOff>9525</xdr:rowOff>
    </xdr:to>
    <xdr:cxnSp macro="">
      <xdr:nvCxnSpPr>
        <xdr:cNvPr id="16" name="Straight Arrow Connector 24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CxnSpPr/>
      </xdr:nvCxnSpPr>
      <xdr:spPr>
        <a:xfrm flipV="1">
          <a:off x="400050" y="866775"/>
          <a:ext cx="2346376" cy="0"/>
        </a:xfrm>
        <a:prstGeom prst="straightConnector1">
          <a:avLst/>
        </a:prstGeom>
        <a:ln w="19050">
          <a:solidFill>
            <a:schemeClr val="accent1">
              <a:lumMod val="20000"/>
              <a:lumOff val="80000"/>
            </a:schemeClr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632114</xdr:colOff>
      <xdr:row>3</xdr:row>
      <xdr:rowOff>233796</xdr:rowOff>
    </xdr:from>
    <xdr:to>
      <xdr:col>9</xdr:col>
      <xdr:colOff>12989</xdr:colOff>
      <xdr:row>5</xdr:row>
      <xdr:rowOff>163657</xdr:rowOff>
    </xdr:to>
    <xdr:sp macro="" textlink="">
      <xdr:nvSpPr>
        <xdr:cNvPr id="10" name="Retângulo: Cantos Arredondados 9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/>
      </xdr:nvSpPr>
      <xdr:spPr>
        <a:xfrm>
          <a:off x="6494319" y="831273"/>
          <a:ext cx="1770784" cy="380134"/>
        </a:xfrm>
        <a:prstGeom prst="roundRect">
          <a:avLst/>
        </a:prstGeom>
        <a:solidFill>
          <a:srgbClr val="92D050"/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pt-BR" sz="1400" b="1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DESAFIO R$ 0,01</a:t>
          </a:r>
          <a:endParaRPr lang="pt-BR" sz="1050" b="1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7</xdr:row>
      <xdr:rowOff>0</xdr:rowOff>
    </xdr:from>
    <xdr:to>
      <xdr:col>5</xdr:col>
      <xdr:colOff>551584</xdr:colOff>
      <xdr:row>8</xdr:row>
      <xdr:rowOff>189634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2428875" y="571500"/>
          <a:ext cx="1770784" cy="380134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pt-BR" sz="1600" b="1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VOLTAR</a:t>
          </a:r>
          <a:endParaRPr lang="pt-BR" sz="1100" b="1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46</xdr:col>
          <xdr:colOff>152400</xdr:colOff>
          <xdr:row>25</xdr:row>
          <xdr:rowOff>133350</xdr:rowOff>
        </xdr:from>
        <xdr:to>
          <xdr:col>46</xdr:col>
          <xdr:colOff>466725</xdr:colOff>
          <xdr:row>27</xdr:row>
          <xdr:rowOff>76200</xdr:rowOff>
        </xdr:to>
        <xdr:sp macro="" textlink="">
          <xdr:nvSpPr>
            <xdr:cNvPr id="5124" name="Check Box 4" hidden="1">
              <a:extLst>
                <a:ext uri="{63B3BB69-23CF-44E3-9099-C40C66FF867C}">
                  <a14:compatExt spid="_x0000_s5124"/>
                </a:ext>
                <a:ext uri="{FF2B5EF4-FFF2-40B4-BE49-F238E27FC236}">
                  <a16:creationId xmlns:a16="http://schemas.microsoft.com/office/drawing/2014/main" id="{00000000-0008-0000-0400-000004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46</xdr:col>
          <xdr:colOff>152400</xdr:colOff>
          <xdr:row>29</xdr:row>
          <xdr:rowOff>142875</xdr:rowOff>
        </xdr:from>
        <xdr:to>
          <xdr:col>46</xdr:col>
          <xdr:colOff>466725</xdr:colOff>
          <xdr:row>31</xdr:row>
          <xdr:rowOff>85725</xdr:rowOff>
        </xdr:to>
        <xdr:sp macro="" textlink="">
          <xdr:nvSpPr>
            <xdr:cNvPr id="5125" name="Check Box 5" hidden="1">
              <a:extLst>
                <a:ext uri="{63B3BB69-23CF-44E3-9099-C40C66FF867C}">
                  <a14:compatExt spid="_x0000_s5125"/>
                </a:ext>
                <a:ext uri="{FF2B5EF4-FFF2-40B4-BE49-F238E27FC236}">
                  <a16:creationId xmlns:a16="http://schemas.microsoft.com/office/drawing/2014/main" id="{00000000-0008-0000-0400-000005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46</xdr:col>
          <xdr:colOff>152400</xdr:colOff>
          <xdr:row>33</xdr:row>
          <xdr:rowOff>152400</xdr:rowOff>
        </xdr:from>
        <xdr:to>
          <xdr:col>46</xdr:col>
          <xdr:colOff>466725</xdr:colOff>
          <xdr:row>35</xdr:row>
          <xdr:rowOff>95250</xdr:rowOff>
        </xdr:to>
        <xdr:sp macro="" textlink="">
          <xdr:nvSpPr>
            <xdr:cNvPr id="5126" name="Check Box 6" hidden="1">
              <a:extLst>
                <a:ext uri="{63B3BB69-23CF-44E3-9099-C40C66FF867C}">
                  <a14:compatExt spid="_x0000_s5126"/>
                </a:ext>
                <a:ext uri="{FF2B5EF4-FFF2-40B4-BE49-F238E27FC236}">
                  <a16:creationId xmlns:a16="http://schemas.microsoft.com/office/drawing/2014/main" id="{00000000-0008-0000-0400-000006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46</xdr:col>
          <xdr:colOff>152400</xdr:colOff>
          <xdr:row>36</xdr:row>
          <xdr:rowOff>104775</xdr:rowOff>
        </xdr:from>
        <xdr:to>
          <xdr:col>46</xdr:col>
          <xdr:colOff>466725</xdr:colOff>
          <xdr:row>38</xdr:row>
          <xdr:rowOff>47625</xdr:rowOff>
        </xdr:to>
        <xdr:sp macro="" textlink="">
          <xdr:nvSpPr>
            <xdr:cNvPr id="5127" name="Check Box 7" hidden="1">
              <a:extLst>
                <a:ext uri="{63B3BB69-23CF-44E3-9099-C40C66FF867C}">
                  <a14:compatExt spid="_x0000_s5127"/>
                </a:ext>
                <a:ext uri="{FF2B5EF4-FFF2-40B4-BE49-F238E27FC236}">
                  <a16:creationId xmlns:a16="http://schemas.microsoft.com/office/drawing/2014/main" id="{00000000-0008-0000-0400-000007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46</xdr:col>
          <xdr:colOff>152400</xdr:colOff>
          <xdr:row>40</xdr:row>
          <xdr:rowOff>114300</xdr:rowOff>
        </xdr:from>
        <xdr:to>
          <xdr:col>46</xdr:col>
          <xdr:colOff>466725</xdr:colOff>
          <xdr:row>42</xdr:row>
          <xdr:rowOff>57150</xdr:rowOff>
        </xdr:to>
        <xdr:sp macro="" textlink="">
          <xdr:nvSpPr>
            <xdr:cNvPr id="5128" name="Check Box 8" hidden="1">
              <a:extLst>
                <a:ext uri="{63B3BB69-23CF-44E3-9099-C40C66FF867C}">
                  <a14:compatExt spid="_x0000_s5128"/>
                </a:ext>
                <a:ext uri="{FF2B5EF4-FFF2-40B4-BE49-F238E27FC236}">
                  <a16:creationId xmlns:a16="http://schemas.microsoft.com/office/drawing/2014/main" id="{00000000-0008-0000-0400-000008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rtin.kirsten/Downloads/Planilha%20Financeira%20-%20Otimiza&#231;&#227;o%20de%20Carteira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rtin.kirsten/Downloads/HC%20Investimentos%20-%20Planejamento%20Financeir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Otimização 1994"/>
      <sheetName val="Otimização 1999"/>
      <sheetName val="Otimização 2006"/>
      <sheetName val="Otimização 2008"/>
    </sheetNames>
    <sheetDataSet>
      <sheetData sheetId="0"/>
      <sheetData sheetId="1">
        <row r="5">
          <cell r="C5">
            <v>0.3918094406516377</v>
          </cell>
        </row>
        <row r="6">
          <cell r="C6">
            <v>0</v>
          </cell>
        </row>
        <row r="7">
          <cell r="C7">
            <v>0</v>
          </cell>
        </row>
        <row r="8">
          <cell r="C8">
            <v>0.6081905593483623</v>
          </cell>
        </row>
        <row r="9">
          <cell r="D9">
            <v>0.21280832294446705</v>
          </cell>
          <cell r="E9">
            <v>0.13166348565523742</v>
          </cell>
        </row>
      </sheetData>
      <sheetData sheetId="2">
        <row r="5">
          <cell r="C5">
            <v>0.14732906267297327</v>
          </cell>
        </row>
        <row r="6">
          <cell r="C6">
            <v>0</v>
          </cell>
        </row>
        <row r="7">
          <cell r="C7">
            <v>0.12217513667812613</v>
          </cell>
        </row>
        <row r="8">
          <cell r="C8">
            <v>0</v>
          </cell>
        </row>
        <row r="9">
          <cell r="C9">
            <v>0.73049579740800241</v>
          </cell>
        </row>
        <row r="10">
          <cell r="D10">
            <v>0.17674161643369191</v>
          </cell>
          <cell r="E10">
            <v>5.576445543118503E-2</v>
          </cell>
        </row>
      </sheetData>
      <sheetData sheetId="3">
        <row r="5">
          <cell r="C5">
            <v>0</v>
          </cell>
        </row>
        <row r="6">
          <cell r="C6">
            <v>0</v>
          </cell>
        </row>
        <row r="7">
          <cell r="C7">
            <v>0</v>
          </cell>
        </row>
        <row r="8">
          <cell r="C8">
            <v>0</v>
          </cell>
        </row>
        <row r="9">
          <cell r="C9">
            <v>0.69005902927027751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0.1217260851024129</v>
          </cell>
        </row>
        <row r="13">
          <cell r="C13">
            <v>0</v>
          </cell>
        </row>
        <row r="14">
          <cell r="C14">
            <v>0</v>
          </cell>
        </row>
        <row r="15">
          <cell r="C15">
            <v>0</v>
          </cell>
        </row>
        <row r="16">
          <cell r="C16">
            <v>0.18821488562730967</v>
          </cell>
        </row>
        <row r="17">
          <cell r="H17">
            <v>0.18430059768249629</v>
          </cell>
          <cell r="I17">
            <v>7.3720247476446704E-2</v>
          </cell>
        </row>
      </sheetData>
      <sheetData sheetId="4">
        <row r="5">
          <cell r="C5">
            <v>0</v>
          </cell>
        </row>
        <row r="6">
          <cell r="C6">
            <v>0.48168194760693611</v>
          </cell>
        </row>
        <row r="7">
          <cell r="C7">
            <v>0.11879057512922578</v>
          </cell>
        </row>
        <row r="8">
          <cell r="C8">
            <v>2.8274227763776739E-2</v>
          </cell>
        </row>
        <row r="9">
          <cell r="C9">
            <v>0.25624066708670384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5.1022697645136629E-3</v>
          </cell>
        </row>
        <row r="13">
          <cell r="C13">
            <v>0</v>
          </cell>
        </row>
        <row r="14">
          <cell r="C14">
            <v>0</v>
          </cell>
        </row>
        <row r="15">
          <cell r="C15">
            <v>0</v>
          </cell>
        </row>
        <row r="16">
          <cell r="C16">
            <v>0</v>
          </cell>
        </row>
        <row r="17">
          <cell r="C17">
            <v>2.964832782139697E-2</v>
          </cell>
        </row>
        <row r="18">
          <cell r="C18">
            <v>8.0261984827446606E-2</v>
          </cell>
        </row>
        <row r="19">
          <cell r="C19">
            <v>0</v>
          </cell>
        </row>
        <row r="20">
          <cell r="C20">
            <v>0</v>
          </cell>
        </row>
        <row r="21">
          <cell r="C21">
            <v>0</v>
          </cell>
        </row>
        <row r="22">
          <cell r="H22">
            <v>0.1482734636812002</v>
          </cell>
          <cell r="I22">
            <v>1.6366746618673957E-2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ício"/>
      <sheetName val="Dados de Entrada"/>
      <sheetName val="Calc"/>
      <sheetName val="Auxiliar"/>
      <sheetName val="Resultados"/>
      <sheetName val="Calc (2)"/>
      <sheetName val="Nova Simulação"/>
      <sheetName val="Calc (3)"/>
    </sheetNames>
    <sheetDataSet>
      <sheetData sheetId="0"/>
      <sheetData sheetId="1"/>
      <sheetData sheetId="2">
        <row r="4">
          <cell r="AC4">
            <v>239</v>
          </cell>
        </row>
        <row r="5">
          <cell r="Q5">
            <v>36352.592902149285</v>
          </cell>
        </row>
      </sheetData>
      <sheetData sheetId="3"/>
      <sheetData sheetId="4"/>
      <sheetData sheetId="5">
        <row r="5">
          <cell r="V5">
            <v>52191.609492815631</v>
          </cell>
        </row>
      </sheetData>
      <sheetData sheetId="6"/>
      <sheetData sheetId="7">
        <row r="5">
          <cell r="V5">
            <v>50546.629891801866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bmf.com.br/bmfbovespa/pages/boletim1/bd_manual/indicadoresFinanceiros1.asp" TargetMode="External"/><Relationship Id="rId3" Type="http://schemas.openxmlformats.org/officeDocument/2006/relationships/hyperlink" Target="http://www.portalbrasil.net/poupanca_mensal.htm" TargetMode="External"/><Relationship Id="rId7" Type="http://schemas.openxmlformats.org/officeDocument/2006/relationships/hyperlink" Target="http://www.tesouro.fazenda.gov.br/tesouro_direto/" TargetMode="External"/><Relationship Id="rId2" Type="http://schemas.openxmlformats.org/officeDocument/2006/relationships/hyperlink" Target="http://www.portalbrasil.net/igpm.htm" TargetMode="External"/><Relationship Id="rId1" Type="http://schemas.openxmlformats.org/officeDocument/2006/relationships/hyperlink" Target="http://www.portalbrasil.net/ipca.htm" TargetMode="External"/><Relationship Id="rId6" Type="http://schemas.openxmlformats.org/officeDocument/2006/relationships/hyperlink" Target="http://www.tesouro.fazenda.gov.br/tesouro_direto/" TargetMode="External"/><Relationship Id="rId11" Type="http://schemas.openxmlformats.org/officeDocument/2006/relationships/drawing" Target="../drawings/drawing1.xml"/><Relationship Id="rId5" Type="http://schemas.openxmlformats.org/officeDocument/2006/relationships/hyperlink" Target="http://www.bcb.gov.br/?SERIETEMP" TargetMode="External"/><Relationship Id="rId10" Type="http://schemas.openxmlformats.org/officeDocument/2006/relationships/hyperlink" Target="http://www.bcb.gov.br/?SERIETEMP" TargetMode="External"/><Relationship Id="rId4" Type="http://schemas.openxmlformats.org/officeDocument/2006/relationships/hyperlink" Target="http://www.portalbrasil.net/indices_cdi.htm" TargetMode="External"/><Relationship Id="rId9" Type="http://schemas.openxmlformats.org/officeDocument/2006/relationships/hyperlink" Target="http://www.assetbancoreal.com.br/index_internas.htm?sUrl=https://www128.abnamro.com.br/scripts/comunic_sfi.dll?OPERA=SFI_RENTABILIDADE&amp;GMERC=23&amp;BANCO=2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4.xml"/><Relationship Id="rId7" Type="http://schemas.openxmlformats.org/officeDocument/2006/relationships/ctrlProp" Target="../ctrlProps/ctrlProp8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5.xml"/><Relationship Id="rId6" Type="http://schemas.openxmlformats.org/officeDocument/2006/relationships/ctrlProp" Target="../ctrlProps/ctrlProp7.xml"/><Relationship Id="rId5" Type="http://schemas.openxmlformats.org/officeDocument/2006/relationships/ctrlProp" Target="../ctrlProps/ctrlProp6.xml"/><Relationship Id="rId4" Type="http://schemas.openxmlformats.org/officeDocument/2006/relationships/ctrlProp" Target="../ctrlProps/ctrlProp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0">
    <tabColor theme="0" tint="-4.9989318521683403E-2"/>
  </sheetPr>
  <dimension ref="B2:W199"/>
  <sheetViews>
    <sheetView showGridLines="0" workbookViewId="0">
      <pane xSplit="2" ySplit="4" topLeftCell="C59" activePane="bottomRight" state="frozen"/>
      <selection activeCell="C2" sqref="C2"/>
      <selection pane="topRight" activeCell="C2" sqref="C2"/>
      <selection pane="bottomLeft" activeCell="C2" sqref="C2"/>
      <selection pane="bottomRight" activeCell="R4" sqref="R4"/>
    </sheetView>
  </sheetViews>
  <sheetFormatPr defaultColWidth="8.85546875" defaultRowHeight="15" x14ac:dyDescent="0.25"/>
  <cols>
    <col min="1" max="1" width="4.42578125" customWidth="1"/>
    <col min="3" max="3" width="6.28515625" bestFit="1" customWidth="1"/>
    <col min="4" max="4" width="6.7109375" bestFit="1" customWidth="1"/>
    <col min="5" max="5" width="10.140625" bestFit="1" customWidth="1"/>
    <col min="6" max="6" width="5.7109375" bestFit="1" customWidth="1"/>
    <col min="7" max="7" width="6.85546875" bestFit="1" customWidth="1"/>
    <col min="8" max="8" width="8.28515625" bestFit="1" customWidth="1"/>
    <col min="10" max="10" width="6.85546875" bestFit="1" customWidth="1"/>
    <col min="11" max="11" width="7" bestFit="1" customWidth="1"/>
    <col min="12" max="12" width="8.42578125" bestFit="1" customWidth="1"/>
    <col min="13" max="13" width="9.7109375" bestFit="1" customWidth="1"/>
    <col min="14" max="14" width="7" bestFit="1" customWidth="1"/>
    <col min="15" max="15" width="8.42578125" bestFit="1" customWidth="1"/>
    <col min="16" max="16" width="9.28515625" bestFit="1" customWidth="1"/>
    <col min="17" max="17" width="11.140625" bestFit="1" customWidth="1"/>
    <col min="18" max="18" width="14.140625" bestFit="1" customWidth="1"/>
    <col min="19" max="19" width="7.42578125" bestFit="1" customWidth="1"/>
    <col min="20" max="23" width="7.28515625" bestFit="1" customWidth="1"/>
    <col min="24" max="24" width="4.42578125" customWidth="1"/>
  </cols>
  <sheetData>
    <row r="2" spans="2:23" ht="18.75" x14ac:dyDescent="0.3">
      <c r="C2" s="1" t="s">
        <v>153</v>
      </c>
      <c r="F2" s="144" t="s">
        <v>163</v>
      </c>
    </row>
    <row r="3" spans="2:23" x14ac:dyDescent="0.25">
      <c r="B3" s="165" t="s">
        <v>162</v>
      </c>
      <c r="C3" s="164" t="s">
        <v>161</v>
      </c>
      <c r="D3" s="164" t="s">
        <v>161</v>
      </c>
      <c r="E3" s="164" t="s">
        <v>161</v>
      </c>
      <c r="F3" s="164" t="s">
        <v>161</v>
      </c>
      <c r="G3" s="164" t="s">
        <v>161</v>
      </c>
      <c r="H3" s="164" t="s">
        <v>161</v>
      </c>
      <c r="I3" s="164" t="s">
        <v>161</v>
      </c>
      <c r="J3" s="164" t="s">
        <v>161</v>
      </c>
      <c r="K3" s="164" t="s">
        <v>161</v>
      </c>
      <c r="L3" s="164" t="s">
        <v>161</v>
      </c>
      <c r="M3" s="164" t="s">
        <v>161</v>
      </c>
      <c r="N3" s="164" t="s">
        <v>161</v>
      </c>
      <c r="O3" s="164" t="s">
        <v>161</v>
      </c>
      <c r="P3" s="164" t="s">
        <v>161</v>
      </c>
      <c r="Q3" s="164" t="s">
        <v>161</v>
      </c>
      <c r="R3" s="164" t="s">
        <v>161</v>
      </c>
      <c r="S3" s="164" t="s">
        <v>161</v>
      </c>
      <c r="T3" s="164" t="s">
        <v>161</v>
      </c>
      <c r="U3" s="164" t="s">
        <v>161</v>
      </c>
      <c r="V3" s="164" t="s">
        <v>161</v>
      </c>
      <c r="W3" s="164" t="s">
        <v>161</v>
      </c>
    </row>
    <row r="4" spans="2:23" ht="15.75" thickBot="1" x14ac:dyDescent="0.3">
      <c r="B4" s="155" t="s">
        <v>137</v>
      </c>
      <c r="C4" s="163" t="s">
        <v>138</v>
      </c>
      <c r="D4" s="163" t="s">
        <v>139</v>
      </c>
      <c r="E4" s="163" t="s">
        <v>140</v>
      </c>
      <c r="F4" s="163" t="s">
        <v>141</v>
      </c>
      <c r="G4" s="163" t="s">
        <v>142</v>
      </c>
      <c r="H4" s="163" t="s">
        <v>155</v>
      </c>
      <c r="I4" s="163" t="s">
        <v>156</v>
      </c>
      <c r="J4" s="163" t="s">
        <v>143</v>
      </c>
      <c r="K4" s="163" t="s">
        <v>144</v>
      </c>
      <c r="L4" s="163" t="s">
        <v>157</v>
      </c>
      <c r="M4" s="163" t="s">
        <v>158</v>
      </c>
      <c r="N4" s="163" t="s">
        <v>145</v>
      </c>
      <c r="O4" s="163" t="s">
        <v>159</v>
      </c>
      <c r="P4" s="163" t="s">
        <v>160</v>
      </c>
      <c r="Q4" s="163" t="s">
        <v>146</v>
      </c>
      <c r="R4" s="163" t="s">
        <v>147</v>
      </c>
      <c r="S4" s="163" t="s">
        <v>148</v>
      </c>
      <c r="T4" s="163" t="s">
        <v>149</v>
      </c>
      <c r="U4" s="163" t="s">
        <v>150</v>
      </c>
      <c r="V4" s="163" t="s">
        <v>151</v>
      </c>
      <c r="W4" s="163" t="s">
        <v>152</v>
      </c>
    </row>
    <row r="5" spans="2:23" x14ac:dyDescent="0.25">
      <c r="B5" s="156">
        <v>34516</v>
      </c>
      <c r="C5" s="157">
        <v>6.8400000000000002E-2</v>
      </c>
      <c r="D5" s="157">
        <v>0.4</v>
      </c>
      <c r="E5" s="157">
        <v>5.5513000000000007E-2</v>
      </c>
      <c r="F5" s="157">
        <v>6.6799999999999998E-2</v>
      </c>
      <c r="G5" s="157"/>
      <c r="H5" s="157"/>
      <c r="I5" s="157"/>
      <c r="J5" s="157"/>
      <c r="K5" s="157"/>
      <c r="L5" s="157"/>
      <c r="M5" s="157"/>
      <c r="N5" s="157"/>
      <c r="O5" s="157"/>
      <c r="P5" s="157"/>
      <c r="Q5" s="157"/>
      <c r="R5" s="157"/>
      <c r="S5" s="157">
        <v>-2.1276595744680327E-3</v>
      </c>
      <c r="T5" s="157"/>
      <c r="U5" s="157">
        <v>6.4317180616741965E-3</v>
      </c>
      <c r="V5" s="157">
        <v>0.1595</v>
      </c>
      <c r="W5" s="157"/>
    </row>
    <row r="6" spans="2:23" x14ac:dyDescent="0.25">
      <c r="B6" s="156">
        <v>34547</v>
      </c>
      <c r="C6" s="157">
        <v>1.8600000000000002E-2</v>
      </c>
      <c r="D6" s="157">
        <v>7.5600000000000001E-2</v>
      </c>
      <c r="E6" s="157">
        <v>2.6418000000000001E-2</v>
      </c>
      <c r="F6" s="157">
        <v>4.1599999999999998E-2</v>
      </c>
      <c r="G6" s="157"/>
      <c r="H6" s="157"/>
      <c r="I6" s="157"/>
      <c r="J6" s="157"/>
      <c r="K6" s="157"/>
      <c r="L6" s="157"/>
      <c r="M6" s="157"/>
      <c r="N6" s="157"/>
      <c r="O6" s="157"/>
      <c r="P6" s="157"/>
      <c r="Q6" s="157"/>
      <c r="R6" s="157"/>
      <c r="S6" s="157">
        <v>-4.4086021505376327E-2</v>
      </c>
      <c r="T6" s="157"/>
      <c r="U6" s="157">
        <v>-5.2124746002296662E-3</v>
      </c>
      <c r="V6" s="157">
        <v>0.26850000000000002</v>
      </c>
      <c r="W6" s="157"/>
    </row>
    <row r="7" spans="2:23" x14ac:dyDescent="0.25">
      <c r="B7" s="156">
        <v>34578</v>
      </c>
      <c r="C7" s="157">
        <v>1.5300000000000001E-2</v>
      </c>
      <c r="D7" s="157">
        <v>1.7500000000000002E-2</v>
      </c>
      <c r="E7" s="157">
        <v>2.9512E-2</v>
      </c>
      <c r="F7" s="157">
        <v>3.85E-2</v>
      </c>
      <c r="G7" s="157"/>
      <c r="H7" s="157"/>
      <c r="I7" s="157"/>
      <c r="J7" s="157"/>
      <c r="K7" s="157"/>
      <c r="L7" s="157"/>
      <c r="M7" s="157"/>
      <c r="N7" s="157"/>
      <c r="O7" s="157"/>
      <c r="P7" s="157"/>
      <c r="Q7" s="157"/>
      <c r="R7" s="157"/>
      <c r="S7" s="157">
        <v>-3.6117381489842004E-2</v>
      </c>
      <c r="T7" s="157"/>
      <c r="U7" s="157">
        <v>-1.5219337511190645E-2</v>
      </c>
      <c r="V7" s="157">
        <v>2.8999999999999998E-2</v>
      </c>
      <c r="W7" s="157"/>
    </row>
    <row r="8" spans="2:23" x14ac:dyDescent="0.25">
      <c r="B8" s="156">
        <v>34608</v>
      </c>
      <c r="C8" s="157">
        <v>2.6200000000000001E-2</v>
      </c>
      <c r="D8" s="157">
        <v>1.8200000000000001E-2</v>
      </c>
      <c r="E8" s="157">
        <v>3.0678E-2</v>
      </c>
      <c r="F8" s="157">
        <v>3.6499999999999998E-2</v>
      </c>
      <c r="G8" s="157"/>
      <c r="H8" s="157"/>
      <c r="I8" s="157"/>
      <c r="J8" s="157"/>
      <c r="K8" s="157"/>
      <c r="L8" s="157"/>
      <c r="M8" s="157"/>
      <c r="N8" s="157"/>
      <c r="O8" s="157"/>
      <c r="P8" s="157"/>
      <c r="Q8" s="157"/>
      <c r="R8" s="157"/>
      <c r="S8" s="157">
        <v>-3.5335689045936647E-3</v>
      </c>
      <c r="T8" s="157"/>
      <c r="U8" s="157">
        <v>-4.0645161290322696E-2</v>
      </c>
      <c r="V8" s="157">
        <v>-0.12509999999999999</v>
      </c>
      <c r="W8" s="157"/>
    </row>
    <row r="9" spans="2:23" x14ac:dyDescent="0.25">
      <c r="B9" s="156">
        <v>34639</v>
      </c>
      <c r="C9" s="157">
        <v>2.81E-2</v>
      </c>
      <c r="D9" s="157">
        <v>2.8500000000000001E-2</v>
      </c>
      <c r="E9" s="157">
        <v>3.4355999999999998E-2</v>
      </c>
      <c r="F9" s="157">
        <v>4.1100000000000005E-2</v>
      </c>
      <c r="G9" s="157"/>
      <c r="H9" s="157"/>
      <c r="I9" s="157"/>
      <c r="J9" s="157"/>
      <c r="K9" s="157"/>
      <c r="L9" s="157"/>
      <c r="M9" s="157"/>
      <c r="N9" s="157"/>
      <c r="O9" s="157"/>
      <c r="P9" s="157"/>
      <c r="Q9" s="157"/>
      <c r="R9" s="157"/>
      <c r="S9" s="157">
        <v>1.1834319526626835E-3</v>
      </c>
      <c r="T9" s="157"/>
      <c r="U9" s="157">
        <v>-4.7119915376480082E-3</v>
      </c>
      <c r="V9" s="157">
        <v>-2.9500000000000002E-2</v>
      </c>
      <c r="W9" s="157"/>
    </row>
    <row r="10" spans="2:23" x14ac:dyDescent="0.25">
      <c r="B10" s="158">
        <v>34669</v>
      </c>
      <c r="C10" s="159">
        <v>1.7100000000000001E-2</v>
      </c>
      <c r="D10" s="159">
        <v>8.3999999999999995E-3</v>
      </c>
      <c r="E10" s="159">
        <v>3.3875000000000002E-2</v>
      </c>
      <c r="F10" s="159">
        <v>3.8399999999999997E-2</v>
      </c>
      <c r="G10" s="159"/>
      <c r="H10" s="159"/>
      <c r="I10" s="159"/>
      <c r="J10" s="159"/>
      <c r="K10" s="159"/>
      <c r="L10" s="159"/>
      <c r="M10" s="159"/>
      <c r="N10" s="159"/>
      <c r="O10" s="159"/>
      <c r="P10" s="159"/>
      <c r="Q10" s="159"/>
      <c r="R10" s="159"/>
      <c r="S10" s="159">
        <v>-8.1967213114754189E-3</v>
      </c>
      <c r="T10" s="159"/>
      <c r="U10" s="159">
        <v>1.8260869565217552E-2</v>
      </c>
      <c r="V10" s="159">
        <v>-6.480000000000001E-2</v>
      </c>
      <c r="W10" s="159"/>
    </row>
    <row r="11" spans="2:23" x14ac:dyDescent="0.25">
      <c r="B11" s="156">
        <v>34700</v>
      </c>
      <c r="C11" s="157">
        <v>1.7000000000000001E-2</v>
      </c>
      <c r="D11" s="157">
        <v>9.1999999999999998E-3</v>
      </c>
      <c r="E11" s="157">
        <v>2.6118000000000002E-2</v>
      </c>
      <c r="F11" s="157">
        <v>3.4700000000000002E-2</v>
      </c>
      <c r="G11" s="157"/>
      <c r="H11" s="157"/>
      <c r="I11" s="157"/>
      <c r="J11" s="157"/>
      <c r="K11" s="157"/>
      <c r="L11" s="157"/>
      <c r="M11" s="157"/>
      <c r="N11" s="157"/>
      <c r="O11" s="157"/>
      <c r="P11" s="157"/>
      <c r="Q11" s="157"/>
      <c r="R11" s="157"/>
      <c r="S11" s="157">
        <v>-1.1848341232227888E-3</v>
      </c>
      <c r="T11" s="157"/>
      <c r="U11" s="157">
        <v>-3.3269961977186235E-2</v>
      </c>
      <c r="V11" s="157">
        <v>-0.1076</v>
      </c>
      <c r="W11" s="157"/>
    </row>
    <row r="12" spans="2:23" x14ac:dyDescent="0.25">
      <c r="B12" s="156">
        <v>34731</v>
      </c>
      <c r="C12" s="157">
        <v>1.0200000000000001E-2</v>
      </c>
      <c r="D12" s="157">
        <v>1.3899999999999999E-2</v>
      </c>
      <c r="E12" s="157">
        <v>2.3623999999999999E-2</v>
      </c>
      <c r="F12" s="157">
        <v>3.2300000000000002E-2</v>
      </c>
      <c r="G12" s="157"/>
      <c r="H12" s="157"/>
      <c r="I12" s="157"/>
      <c r="J12" s="157"/>
      <c r="K12" s="157"/>
      <c r="L12" s="157"/>
      <c r="M12" s="157"/>
      <c r="N12" s="157"/>
      <c r="O12" s="157"/>
      <c r="P12" s="157"/>
      <c r="Q12" s="157"/>
      <c r="R12" s="157"/>
      <c r="S12" s="157">
        <v>1.1876484560570111E-2</v>
      </c>
      <c r="T12" s="157"/>
      <c r="U12" s="157">
        <v>9.7249508840864252E-3</v>
      </c>
      <c r="V12" s="157">
        <v>-0.158</v>
      </c>
      <c r="W12" s="157"/>
    </row>
    <row r="13" spans="2:23" x14ac:dyDescent="0.25">
      <c r="B13" s="156">
        <v>34759</v>
      </c>
      <c r="C13" s="157">
        <v>1.55E-2</v>
      </c>
      <c r="D13" s="157">
        <v>1.1200000000000002E-2</v>
      </c>
      <c r="E13" s="157">
        <v>2.8113000000000003E-2</v>
      </c>
      <c r="F13" s="157">
        <v>4.41E-2</v>
      </c>
      <c r="G13" s="157"/>
      <c r="H13" s="157"/>
      <c r="I13" s="157"/>
      <c r="J13" s="157"/>
      <c r="K13" s="157"/>
      <c r="L13" s="157"/>
      <c r="M13" s="157"/>
      <c r="N13" s="157"/>
      <c r="O13" s="157"/>
      <c r="P13" s="157"/>
      <c r="Q13" s="157"/>
      <c r="R13" s="157"/>
      <c r="S13" s="157">
        <v>5.6271981242673075E-2</v>
      </c>
      <c r="T13" s="157"/>
      <c r="U13" s="157">
        <v>0.10136585365853645</v>
      </c>
      <c r="V13" s="157">
        <v>-8.9200000000000002E-2</v>
      </c>
      <c r="W13" s="157"/>
    </row>
    <row r="14" spans="2:23" x14ac:dyDescent="0.25">
      <c r="B14" s="156">
        <v>34790</v>
      </c>
      <c r="C14" s="157">
        <v>2.4300000000000002E-2</v>
      </c>
      <c r="D14" s="157">
        <v>2.1000000000000001E-2</v>
      </c>
      <c r="E14" s="157">
        <v>3.984E-2</v>
      </c>
      <c r="F14" s="157">
        <v>4.2199999999999994E-2</v>
      </c>
      <c r="G14" s="157"/>
      <c r="H14" s="157"/>
      <c r="I14" s="157"/>
      <c r="J14" s="157"/>
      <c r="K14" s="157"/>
      <c r="L14" s="157"/>
      <c r="M14" s="157"/>
      <c r="N14" s="157"/>
      <c r="O14" s="157"/>
      <c r="P14" s="157"/>
      <c r="Q14" s="157"/>
      <c r="R14" s="157"/>
      <c r="S14" s="157">
        <v>1.2141280353200834E-2</v>
      </c>
      <c r="T14" s="157"/>
      <c r="U14" s="157">
        <v>-8.2427218519817158E-3</v>
      </c>
      <c r="V14" s="157">
        <v>0.2802</v>
      </c>
      <c r="W14" s="157"/>
    </row>
    <row r="15" spans="2:23" x14ac:dyDescent="0.25">
      <c r="B15" s="156">
        <v>34820</v>
      </c>
      <c r="C15" s="157">
        <v>2.6699999999999998E-2</v>
      </c>
      <c r="D15" s="157">
        <v>5.7999999999999996E-3</v>
      </c>
      <c r="E15" s="157">
        <v>3.7633E-2</v>
      </c>
      <c r="F15" s="157">
        <v>4.2699999999999995E-2</v>
      </c>
      <c r="G15" s="157"/>
      <c r="H15" s="157"/>
      <c r="I15" s="157"/>
      <c r="J15" s="157"/>
      <c r="K15" s="157"/>
      <c r="L15" s="157"/>
      <c r="M15" s="157"/>
      <c r="N15" s="157"/>
      <c r="O15" s="157"/>
      <c r="P15" s="157"/>
      <c r="Q15" s="157"/>
      <c r="R15" s="157"/>
      <c r="S15" s="157">
        <v>-1.1001100110010764E-3</v>
      </c>
      <c r="T15" s="157"/>
      <c r="U15" s="157">
        <v>-1.5940867396918579E-2</v>
      </c>
      <c r="V15" s="157">
        <v>-2.4399999999999998E-2</v>
      </c>
      <c r="W15" s="157"/>
    </row>
    <row r="16" spans="2:23" x14ac:dyDescent="0.25">
      <c r="B16" s="156">
        <v>34851</v>
      </c>
      <c r="C16" s="160">
        <v>2.2599999999999999E-2</v>
      </c>
      <c r="D16" s="160">
        <v>2.46E-2</v>
      </c>
      <c r="E16" s="160">
        <v>3.4007000000000003E-2</v>
      </c>
      <c r="F16" s="160">
        <v>4.0500000000000001E-2</v>
      </c>
      <c r="G16" s="160"/>
      <c r="H16" s="160"/>
      <c r="I16" s="160"/>
      <c r="J16" s="160"/>
      <c r="K16" s="160"/>
      <c r="L16" s="160"/>
      <c r="M16" s="160"/>
      <c r="N16" s="160"/>
      <c r="O16" s="160"/>
      <c r="P16" s="160"/>
      <c r="Q16" s="160"/>
      <c r="R16" s="160"/>
      <c r="S16" s="160">
        <v>1.4332965821389099E-2</v>
      </c>
      <c r="T16" s="160"/>
      <c r="U16" s="160">
        <v>2.2522522522522515E-2</v>
      </c>
      <c r="V16" s="160">
        <v>-3.15E-2</v>
      </c>
      <c r="W16" s="160"/>
    </row>
    <row r="17" spans="2:23" x14ac:dyDescent="0.25">
      <c r="B17" s="156">
        <v>34881</v>
      </c>
      <c r="C17" s="157">
        <v>2.3599999999999999E-2</v>
      </c>
      <c r="D17" s="157">
        <v>1.8200000000000001E-2</v>
      </c>
      <c r="E17" s="157">
        <v>3.5055000000000003E-2</v>
      </c>
      <c r="F17" s="157">
        <v>4.0099999999999997E-2</v>
      </c>
      <c r="G17" s="157"/>
      <c r="H17" s="157"/>
      <c r="I17" s="157"/>
      <c r="J17" s="157"/>
      <c r="K17" s="157"/>
      <c r="L17" s="157"/>
      <c r="M17" s="157"/>
      <c r="N17" s="157"/>
      <c r="O17" s="157"/>
      <c r="P17" s="157"/>
      <c r="Q17" s="157"/>
      <c r="R17" s="157"/>
      <c r="S17" s="157">
        <v>1.6304347826086918E-2</v>
      </c>
      <c r="T17" s="157"/>
      <c r="U17" s="157">
        <v>1.6799292661362486E-3</v>
      </c>
      <c r="V17" s="157">
        <v>7.5999999999999998E-2</v>
      </c>
      <c r="W17" s="157"/>
    </row>
    <row r="18" spans="2:23" x14ac:dyDescent="0.25">
      <c r="B18" s="156">
        <v>34912</v>
      </c>
      <c r="C18" s="157">
        <v>9.8999999999999991E-3</v>
      </c>
      <c r="D18" s="157">
        <v>2.2000000000000002E-2</v>
      </c>
      <c r="E18" s="157">
        <v>3.1175000000000001E-2</v>
      </c>
      <c r="F18" s="157">
        <v>3.8100000000000002E-2</v>
      </c>
      <c r="G18" s="157"/>
      <c r="H18" s="157"/>
      <c r="I18" s="157"/>
      <c r="J18" s="157"/>
      <c r="K18" s="157"/>
      <c r="L18" s="157"/>
      <c r="M18" s="157"/>
      <c r="N18" s="157"/>
      <c r="O18" s="157"/>
      <c r="P18" s="157"/>
      <c r="Q18" s="157"/>
      <c r="R18" s="157"/>
      <c r="S18" s="157">
        <v>1.4973262032085488E-2</v>
      </c>
      <c r="T18" s="157"/>
      <c r="U18" s="157">
        <v>2.0408163265306367E-2</v>
      </c>
      <c r="V18" s="157">
        <v>0.1116</v>
      </c>
      <c r="W18" s="157"/>
    </row>
    <row r="19" spans="2:23" x14ac:dyDescent="0.25">
      <c r="B19" s="156">
        <v>34943</v>
      </c>
      <c r="C19" s="157">
        <v>9.8999999999999991E-3</v>
      </c>
      <c r="D19" s="157">
        <v>-7.0999999999999995E-3</v>
      </c>
      <c r="E19" s="157">
        <v>2.4489999999999998E-2</v>
      </c>
      <c r="F19" s="157">
        <v>3.2500000000000001E-2</v>
      </c>
      <c r="G19" s="157"/>
      <c r="H19" s="157"/>
      <c r="I19" s="157"/>
      <c r="J19" s="157"/>
      <c r="K19" s="157"/>
      <c r="L19" s="157"/>
      <c r="M19" s="157"/>
      <c r="N19" s="157"/>
      <c r="O19" s="157"/>
      <c r="P19" s="157"/>
      <c r="Q19" s="157"/>
      <c r="R19" s="157"/>
      <c r="S19" s="157">
        <v>4.2149631190726566E-3</v>
      </c>
      <c r="T19" s="157"/>
      <c r="U19" s="157">
        <v>1.6552560880492395E-2</v>
      </c>
      <c r="V19" s="157">
        <v>8.3400000000000002E-2</v>
      </c>
      <c r="W19" s="157"/>
    </row>
    <row r="20" spans="2:23" x14ac:dyDescent="0.25">
      <c r="B20" s="156">
        <v>34973</v>
      </c>
      <c r="C20" s="157">
        <v>1.41E-2</v>
      </c>
      <c r="D20" s="157">
        <v>5.1999999999999998E-3</v>
      </c>
      <c r="E20" s="157">
        <v>2.1623E-2</v>
      </c>
      <c r="F20" s="157">
        <v>3.0600000000000002E-2</v>
      </c>
      <c r="G20" s="157"/>
      <c r="H20" s="157"/>
      <c r="I20" s="157"/>
      <c r="J20" s="157"/>
      <c r="K20" s="157"/>
      <c r="L20" s="157"/>
      <c r="M20" s="157"/>
      <c r="N20" s="157"/>
      <c r="O20" s="157"/>
      <c r="P20" s="157"/>
      <c r="Q20" s="157"/>
      <c r="R20" s="157"/>
      <c r="S20" s="157">
        <v>3.6530633545559521E-3</v>
      </c>
      <c r="T20" s="157"/>
      <c r="U20" s="157">
        <v>7.718696397941649E-3</v>
      </c>
      <c r="V20" s="157">
        <v>-0.11599999999999999</v>
      </c>
      <c r="W20" s="157"/>
    </row>
    <row r="21" spans="2:23" x14ac:dyDescent="0.25">
      <c r="B21" s="156">
        <v>35004</v>
      </c>
      <c r="C21" s="157">
        <v>1.47E-2</v>
      </c>
      <c r="D21" s="157">
        <v>1.2E-2</v>
      </c>
      <c r="E21" s="157">
        <v>1.9459000000000001E-2</v>
      </c>
      <c r="F21" s="157">
        <v>2.8399999999999998E-2</v>
      </c>
      <c r="G21" s="157"/>
      <c r="H21" s="157"/>
      <c r="I21" s="157"/>
      <c r="J21" s="157"/>
      <c r="K21" s="157"/>
      <c r="L21" s="157"/>
      <c r="M21" s="157"/>
      <c r="N21" s="157"/>
      <c r="O21" s="157"/>
      <c r="P21" s="157"/>
      <c r="Q21" s="157"/>
      <c r="R21" s="157"/>
      <c r="S21" s="157">
        <v>3.3229491173416559E-3</v>
      </c>
      <c r="T21" s="157"/>
      <c r="U21" s="157">
        <v>2.3017902813299296E-2</v>
      </c>
      <c r="V21" s="157">
        <v>6.0499999999999998E-2</v>
      </c>
      <c r="W21" s="157"/>
    </row>
    <row r="22" spans="2:23" x14ac:dyDescent="0.25">
      <c r="B22" s="158">
        <v>35034</v>
      </c>
      <c r="C22" s="159">
        <v>1.5600000000000001E-2</v>
      </c>
      <c r="D22" s="159">
        <v>7.0999999999999995E-3</v>
      </c>
      <c r="E22" s="159">
        <v>1.8467000000000001E-2</v>
      </c>
      <c r="F22" s="159">
        <v>2.7300000000000001E-2</v>
      </c>
      <c r="G22" s="159"/>
      <c r="H22" s="159"/>
      <c r="I22" s="159"/>
      <c r="J22" s="159"/>
      <c r="K22" s="159"/>
      <c r="L22" s="159"/>
      <c r="M22" s="159"/>
      <c r="N22" s="159"/>
      <c r="O22" s="159"/>
      <c r="P22" s="159"/>
      <c r="Q22" s="159"/>
      <c r="R22" s="159"/>
      <c r="S22" s="159">
        <v>6.2073246430789375E-3</v>
      </c>
      <c r="T22" s="159"/>
      <c r="U22" s="159">
        <v>1.1666666666666714E-2</v>
      </c>
      <c r="V22" s="159">
        <v>-1.8100000000000002E-2</v>
      </c>
      <c r="W22" s="159"/>
    </row>
    <row r="23" spans="2:23" x14ac:dyDescent="0.25">
      <c r="B23" s="156">
        <v>35065</v>
      </c>
      <c r="C23" s="157">
        <v>1.34E-2</v>
      </c>
      <c r="D23" s="157">
        <v>1.7299999999999999E-2</v>
      </c>
      <c r="E23" s="157">
        <v>1.7589E-2</v>
      </c>
      <c r="F23" s="157">
        <v>2.5600000000000001E-2</v>
      </c>
      <c r="G23" s="157"/>
      <c r="H23" s="157"/>
      <c r="I23" s="157"/>
      <c r="J23" s="157"/>
      <c r="K23" s="157"/>
      <c r="L23" s="157"/>
      <c r="M23" s="157"/>
      <c r="N23" s="157"/>
      <c r="O23" s="157"/>
      <c r="P23" s="157"/>
      <c r="Q23" s="157"/>
      <c r="R23" s="157"/>
      <c r="S23" s="157">
        <v>6.2724935732647591E-3</v>
      </c>
      <c r="T23" s="157"/>
      <c r="U23" s="157">
        <v>4.3549712407559449E-2</v>
      </c>
      <c r="V23" s="157">
        <v>0.19829999999999998</v>
      </c>
      <c r="W23" s="157"/>
    </row>
    <row r="24" spans="2:23" x14ac:dyDescent="0.25">
      <c r="B24" s="156">
        <v>35096</v>
      </c>
      <c r="C24" s="157">
        <v>1.03E-2</v>
      </c>
      <c r="D24" s="157">
        <v>9.7000000000000003E-3</v>
      </c>
      <c r="E24" s="157">
        <v>1.4673E-2</v>
      </c>
      <c r="F24" s="157">
        <v>2.3099999999999999E-2</v>
      </c>
      <c r="G24" s="157"/>
      <c r="H24" s="157"/>
      <c r="I24" s="157"/>
      <c r="J24" s="157"/>
      <c r="K24" s="157"/>
      <c r="L24" s="157"/>
      <c r="M24" s="157"/>
      <c r="N24" s="157"/>
      <c r="O24" s="157"/>
      <c r="P24" s="157"/>
      <c r="Q24" s="157"/>
      <c r="R24" s="157"/>
      <c r="S24" s="157">
        <v>6.0296371997956566E-3</v>
      </c>
      <c r="T24" s="157"/>
      <c r="U24" s="157">
        <v>-2.0979020979020935E-2</v>
      </c>
      <c r="V24" s="157">
        <v>-3.7599999999999995E-2</v>
      </c>
      <c r="W24" s="157"/>
    </row>
    <row r="25" spans="2:23" x14ac:dyDescent="0.25">
      <c r="B25" s="156">
        <v>35125</v>
      </c>
      <c r="C25" s="157">
        <v>3.4999999999999996E-3</v>
      </c>
      <c r="D25" s="157">
        <v>4.0000000000000001E-3</v>
      </c>
      <c r="E25" s="157">
        <v>1.3180000000000001E-2</v>
      </c>
      <c r="F25" s="157">
        <v>2.2000000000000002E-2</v>
      </c>
      <c r="G25" s="157"/>
      <c r="H25" s="157"/>
      <c r="I25" s="157"/>
      <c r="J25" s="157"/>
      <c r="K25" s="157"/>
      <c r="L25" s="157"/>
      <c r="M25" s="157"/>
      <c r="N25" s="157"/>
      <c r="O25" s="157"/>
      <c r="P25" s="157"/>
      <c r="Q25" s="157"/>
      <c r="R25" s="157"/>
      <c r="S25" s="157">
        <v>3.8613961995732637E-3</v>
      </c>
      <c r="T25" s="157"/>
      <c r="U25" s="157">
        <v>2.373417721518889E-3</v>
      </c>
      <c r="V25" s="157">
        <v>-5.0000000000000001E-4</v>
      </c>
      <c r="W25" s="157"/>
    </row>
    <row r="26" spans="2:23" x14ac:dyDescent="0.25">
      <c r="B26" s="156">
        <v>35156</v>
      </c>
      <c r="C26" s="157">
        <v>1.26E-2</v>
      </c>
      <c r="D26" s="157">
        <v>3.2000000000000002E-3</v>
      </c>
      <c r="E26" s="157">
        <v>1.1629E-2</v>
      </c>
      <c r="F26" s="157">
        <v>2.0299999999999999E-2</v>
      </c>
      <c r="G26" s="157"/>
      <c r="H26" s="157"/>
      <c r="I26" s="157"/>
      <c r="J26" s="157"/>
      <c r="K26" s="157"/>
      <c r="L26" s="157"/>
      <c r="M26" s="157"/>
      <c r="N26" s="157"/>
      <c r="O26" s="157"/>
      <c r="P26" s="157"/>
      <c r="Q26" s="157"/>
      <c r="R26" s="157"/>
      <c r="S26" s="157">
        <v>4.4525399716657255E-3</v>
      </c>
      <c r="T26" s="157"/>
      <c r="U26" s="157">
        <v>-2.3828435266083359E-3</v>
      </c>
      <c r="V26" s="157">
        <v>4.2199999999999994E-2</v>
      </c>
      <c r="W26" s="157"/>
    </row>
    <row r="27" spans="2:23" x14ac:dyDescent="0.25">
      <c r="B27" s="156">
        <v>35186</v>
      </c>
      <c r="C27" s="157">
        <v>1.2199999999999999E-2</v>
      </c>
      <c r="D27" s="157">
        <v>1.55E-2</v>
      </c>
      <c r="E27" s="157">
        <v>1.0917E-2</v>
      </c>
      <c r="F27" s="157">
        <v>0.02</v>
      </c>
      <c r="G27" s="157"/>
      <c r="H27" s="157"/>
      <c r="I27" s="157"/>
      <c r="J27" s="157"/>
      <c r="K27" s="157"/>
      <c r="L27" s="157"/>
      <c r="M27" s="157"/>
      <c r="N27" s="157"/>
      <c r="O27" s="157"/>
      <c r="P27" s="157"/>
      <c r="Q27" s="157"/>
      <c r="R27" s="157"/>
      <c r="S27" s="157">
        <v>5.9445843828713762E-3</v>
      </c>
      <c r="T27" s="157"/>
      <c r="U27" s="157">
        <v>0</v>
      </c>
      <c r="V27" s="157">
        <v>0.1091</v>
      </c>
      <c r="W27" s="157"/>
    </row>
    <row r="28" spans="2:23" x14ac:dyDescent="0.25">
      <c r="B28" s="156">
        <v>35217</v>
      </c>
      <c r="C28" s="160">
        <v>1.1899999999999999E-2</v>
      </c>
      <c r="D28" s="160">
        <v>1.0200000000000001E-2</v>
      </c>
      <c r="E28" s="160">
        <v>1.1129E-2</v>
      </c>
      <c r="F28" s="160">
        <v>1.9400000000000001E-2</v>
      </c>
      <c r="G28" s="160"/>
      <c r="H28" s="160"/>
      <c r="I28" s="160"/>
      <c r="J28" s="160"/>
      <c r="K28" s="160"/>
      <c r="L28" s="160"/>
      <c r="M28" s="160"/>
      <c r="N28" s="160"/>
      <c r="O28" s="160"/>
      <c r="P28" s="160"/>
      <c r="Q28" s="160"/>
      <c r="R28" s="160"/>
      <c r="S28" s="160">
        <v>5.507710795113141E-3</v>
      </c>
      <c r="T28" s="160"/>
      <c r="U28" s="160">
        <v>-2.3015873015872934E-2</v>
      </c>
      <c r="V28" s="160">
        <v>5.5099999999999996E-2</v>
      </c>
      <c r="W28" s="160"/>
    </row>
    <row r="29" spans="2:23" x14ac:dyDescent="0.25">
      <c r="B29" s="156">
        <v>35247</v>
      </c>
      <c r="C29" s="157">
        <v>1.11E-2</v>
      </c>
      <c r="D29" s="157">
        <v>1.3500000000000002E-2</v>
      </c>
      <c r="E29" s="157">
        <v>1.0880000000000001E-2</v>
      </c>
      <c r="F29" s="157">
        <v>1.9099999999999999E-2</v>
      </c>
      <c r="G29" s="157"/>
      <c r="H29" s="157"/>
      <c r="I29" s="157"/>
      <c r="J29" s="157"/>
      <c r="K29" s="157"/>
      <c r="L29" s="157"/>
      <c r="M29" s="157"/>
      <c r="N29" s="157"/>
      <c r="O29" s="157"/>
      <c r="P29" s="157"/>
      <c r="Q29" s="157"/>
      <c r="R29" s="157"/>
      <c r="S29" s="157">
        <v>9.8595757394681627E-3</v>
      </c>
      <c r="T29" s="157"/>
      <c r="U29" s="157">
        <v>1.6976556184316927E-2</v>
      </c>
      <c r="V29" s="157">
        <v>1.3100000000000001E-2</v>
      </c>
      <c r="W29" s="157"/>
    </row>
    <row r="30" spans="2:23" x14ac:dyDescent="0.25">
      <c r="B30" s="156">
        <v>35278</v>
      </c>
      <c r="C30" s="157">
        <v>4.4000000000000003E-3</v>
      </c>
      <c r="D30" s="157">
        <v>2.8000000000000004E-3</v>
      </c>
      <c r="E30" s="157">
        <v>1.1306E-2</v>
      </c>
      <c r="F30" s="157">
        <v>1.95E-2</v>
      </c>
      <c r="G30" s="157"/>
      <c r="H30" s="157"/>
      <c r="I30" s="157"/>
      <c r="J30" s="157"/>
      <c r="K30" s="157"/>
      <c r="L30" s="157"/>
      <c r="M30" s="157"/>
      <c r="N30" s="157"/>
      <c r="O30" s="157"/>
      <c r="P30" s="157"/>
      <c r="Q30" s="157"/>
      <c r="R30" s="157"/>
      <c r="S30" s="157">
        <v>5.9376546264224839E-3</v>
      </c>
      <c r="T30" s="157"/>
      <c r="U30" s="157">
        <v>9.6337579617835623E-3</v>
      </c>
      <c r="V30" s="157">
        <v>2.2200000000000001E-2</v>
      </c>
      <c r="W30" s="157"/>
    </row>
    <row r="31" spans="2:23" x14ac:dyDescent="0.25">
      <c r="B31" s="156">
        <v>35309</v>
      </c>
      <c r="C31" s="157">
        <v>1.5E-3</v>
      </c>
      <c r="D31" s="157">
        <v>1E-3</v>
      </c>
      <c r="E31" s="157">
        <v>1.1653E-2</v>
      </c>
      <c r="F31" s="157">
        <v>1.8799999999999997E-2</v>
      </c>
      <c r="G31" s="157"/>
      <c r="H31" s="157"/>
      <c r="I31" s="157"/>
      <c r="J31" s="157"/>
      <c r="K31" s="157"/>
      <c r="L31" s="157"/>
      <c r="M31" s="157"/>
      <c r="N31" s="157"/>
      <c r="O31" s="157"/>
      <c r="P31" s="157"/>
      <c r="Q31" s="157"/>
      <c r="R31" s="157"/>
      <c r="S31" s="157">
        <v>4.9207755142208764E-3</v>
      </c>
      <c r="T31" s="157"/>
      <c r="U31" s="157">
        <v>-1.1895321173671536E-2</v>
      </c>
      <c r="V31" s="157">
        <v>2.9900000000000003E-2</v>
      </c>
      <c r="W31" s="157"/>
    </row>
    <row r="32" spans="2:23" x14ac:dyDescent="0.25">
      <c r="B32" s="156">
        <v>35339</v>
      </c>
      <c r="C32" s="157">
        <v>3.0000000000000001E-3</v>
      </c>
      <c r="D32" s="157">
        <v>1.9E-3</v>
      </c>
      <c r="E32" s="157">
        <v>1.2456E-2</v>
      </c>
      <c r="F32" s="157">
        <v>1.8600000000000002E-2</v>
      </c>
      <c r="G32" s="157"/>
      <c r="H32" s="157"/>
      <c r="I32" s="157"/>
      <c r="J32" s="157"/>
      <c r="K32" s="157"/>
      <c r="L32" s="157"/>
      <c r="M32" s="157"/>
      <c r="N32" s="157"/>
      <c r="O32" s="157"/>
      <c r="P32" s="157"/>
      <c r="Q32" s="157"/>
      <c r="R32" s="157"/>
      <c r="S32" s="157">
        <v>6.5615512682402066E-3</v>
      </c>
      <c r="T32" s="157"/>
      <c r="U32" s="157">
        <v>8.9013632718524249E-3</v>
      </c>
      <c r="V32" s="157">
        <v>1.3300000000000001E-2</v>
      </c>
      <c r="W32" s="157"/>
    </row>
    <row r="33" spans="2:23" x14ac:dyDescent="0.25">
      <c r="B33" s="156">
        <v>35370</v>
      </c>
      <c r="C33" s="157">
        <v>3.2000000000000002E-3</v>
      </c>
      <c r="D33" s="157">
        <v>2E-3</v>
      </c>
      <c r="E33" s="157">
        <v>1.3186999999999999E-2</v>
      </c>
      <c r="F33" s="157">
        <v>1.7899999999999999E-2</v>
      </c>
      <c r="G33" s="157"/>
      <c r="H33" s="157"/>
      <c r="I33" s="157"/>
      <c r="J33" s="157"/>
      <c r="K33" s="157"/>
      <c r="L33" s="157"/>
      <c r="M33" s="157"/>
      <c r="N33" s="157"/>
      <c r="O33" s="157"/>
      <c r="P33" s="157"/>
      <c r="Q33" s="157"/>
      <c r="R33" s="157"/>
      <c r="S33" s="157">
        <v>4.863340142009509E-3</v>
      </c>
      <c r="T33" s="157"/>
      <c r="U33" s="157">
        <v>-6.9322709163347485E-3</v>
      </c>
      <c r="V33" s="157">
        <v>2.0299999999999999E-2</v>
      </c>
      <c r="W33" s="157"/>
    </row>
    <row r="34" spans="2:23" x14ac:dyDescent="0.25">
      <c r="B34" s="158">
        <v>35400</v>
      </c>
      <c r="C34" s="159">
        <v>4.6999999999999993E-3</v>
      </c>
      <c r="D34" s="159">
        <v>7.3000000000000001E-3</v>
      </c>
      <c r="E34" s="159">
        <v>1.3761000000000001E-2</v>
      </c>
      <c r="F34" s="159">
        <v>1.7899999999999999E-2</v>
      </c>
      <c r="G34" s="159"/>
      <c r="H34" s="159"/>
      <c r="I34" s="159"/>
      <c r="J34" s="159"/>
      <c r="K34" s="159"/>
      <c r="L34" s="159"/>
      <c r="M34" s="159"/>
      <c r="N34" s="159"/>
      <c r="O34" s="159"/>
      <c r="P34" s="159"/>
      <c r="Q34" s="159"/>
      <c r="R34" s="159"/>
      <c r="S34" s="159">
        <v>6.0987415295257197E-3</v>
      </c>
      <c r="T34" s="159"/>
      <c r="U34" s="159">
        <v>1.8548387096772867E-3</v>
      </c>
      <c r="V34" s="159">
        <v>5.5999999999999994E-2</v>
      </c>
      <c r="W34" s="159"/>
    </row>
    <row r="35" spans="2:23" x14ac:dyDescent="0.25">
      <c r="B35" s="156">
        <v>35431</v>
      </c>
      <c r="C35" s="157">
        <v>1.18E-2</v>
      </c>
      <c r="D35" s="157">
        <v>1.77E-2</v>
      </c>
      <c r="E35" s="157">
        <v>1.2477E-2</v>
      </c>
      <c r="F35" s="157">
        <v>1.7399999999999999E-2</v>
      </c>
      <c r="G35" s="157"/>
      <c r="H35" s="157"/>
      <c r="I35" s="157"/>
      <c r="J35" s="157"/>
      <c r="K35" s="157"/>
      <c r="L35" s="157"/>
      <c r="M35" s="157"/>
      <c r="N35" s="157"/>
      <c r="O35" s="157"/>
      <c r="P35" s="157"/>
      <c r="Q35" s="157"/>
      <c r="R35" s="157"/>
      <c r="S35" s="157">
        <v>6.5409772989610815E-3</v>
      </c>
      <c r="T35" s="157"/>
      <c r="U35" s="157">
        <v>-5.3061224489795999E-2</v>
      </c>
      <c r="V35" s="157">
        <v>0.1313</v>
      </c>
      <c r="W35" s="157"/>
    </row>
    <row r="36" spans="2:23" x14ac:dyDescent="0.25">
      <c r="B36" s="156">
        <v>35462</v>
      </c>
      <c r="C36" s="157">
        <v>5.0000000000000001E-3</v>
      </c>
      <c r="D36" s="157">
        <v>4.3E-3</v>
      </c>
      <c r="E36" s="157">
        <v>1.1649E-2</v>
      </c>
      <c r="F36" s="157">
        <v>1.66E-2</v>
      </c>
      <c r="G36" s="157"/>
      <c r="H36" s="157"/>
      <c r="I36" s="157"/>
      <c r="J36" s="157"/>
      <c r="K36" s="157"/>
      <c r="L36" s="157"/>
      <c r="M36" s="157"/>
      <c r="N36" s="157"/>
      <c r="O36" s="157"/>
      <c r="P36" s="157"/>
      <c r="Q36" s="157"/>
      <c r="R36" s="157"/>
      <c r="S36" s="157">
        <v>5.3547523427039945E-3</v>
      </c>
      <c r="T36" s="157"/>
      <c r="U36" s="157">
        <v>5.0985432733504865E-2</v>
      </c>
      <c r="V36" s="157">
        <v>0.1084</v>
      </c>
      <c r="W36" s="157"/>
    </row>
    <row r="37" spans="2:23" x14ac:dyDescent="0.25">
      <c r="B37" s="156">
        <v>35490</v>
      </c>
      <c r="C37" s="157">
        <v>5.1000000000000004E-3</v>
      </c>
      <c r="D37" s="157">
        <v>1.15E-2</v>
      </c>
      <c r="E37" s="157">
        <v>1.1348E-2</v>
      </c>
      <c r="F37" s="157">
        <v>1.6200000000000003E-2</v>
      </c>
      <c r="G37" s="157"/>
      <c r="H37" s="157"/>
      <c r="I37" s="157"/>
      <c r="J37" s="157"/>
      <c r="K37" s="157"/>
      <c r="L37" s="157"/>
      <c r="M37" s="157"/>
      <c r="N37" s="157"/>
      <c r="O37" s="157"/>
      <c r="P37" s="157"/>
      <c r="Q37" s="157"/>
      <c r="R37" s="157"/>
      <c r="S37" s="157">
        <v>9.5156532495956903E-3</v>
      </c>
      <c r="T37" s="157"/>
      <c r="U37" s="157">
        <v>-3.0794165316045286E-2</v>
      </c>
      <c r="V37" s="157">
        <v>2.4399999999999998E-2</v>
      </c>
      <c r="W37" s="157"/>
    </row>
    <row r="38" spans="2:23" x14ac:dyDescent="0.25">
      <c r="B38" s="156">
        <v>35521</v>
      </c>
      <c r="C38" s="157">
        <v>8.8000000000000005E-3</v>
      </c>
      <c r="D38" s="157">
        <v>6.8000000000000005E-3</v>
      </c>
      <c r="E38" s="157">
        <v>1.1242E-2</v>
      </c>
      <c r="F38" s="157">
        <v>1.66E-2</v>
      </c>
      <c r="G38" s="157"/>
      <c r="H38" s="157"/>
      <c r="I38" s="157"/>
      <c r="J38" s="157"/>
      <c r="K38" s="157"/>
      <c r="L38" s="157"/>
      <c r="M38" s="157"/>
      <c r="N38" s="157"/>
      <c r="O38" s="157"/>
      <c r="P38" s="157"/>
      <c r="Q38" s="157"/>
      <c r="R38" s="157"/>
      <c r="S38" s="157">
        <v>4.2488905674631372E-3</v>
      </c>
      <c r="T38" s="157"/>
      <c r="U38" s="157">
        <v>-2.5523012552301272E-2</v>
      </c>
      <c r="V38" s="157">
        <v>0.10369999999999999</v>
      </c>
      <c r="W38" s="157"/>
    </row>
    <row r="39" spans="2:23" x14ac:dyDescent="0.25">
      <c r="B39" s="156">
        <v>35551</v>
      </c>
      <c r="C39" s="157">
        <v>4.0999999999999995E-3</v>
      </c>
      <c r="D39" s="157">
        <v>2.0999999999999999E-3</v>
      </c>
      <c r="E39" s="157">
        <v>1.1386E-2</v>
      </c>
      <c r="F39" s="157">
        <v>1.5800000000000002E-2</v>
      </c>
      <c r="G39" s="157"/>
      <c r="H39" s="157"/>
      <c r="I39" s="157"/>
      <c r="J39" s="157"/>
      <c r="K39" s="157"/>
      <c r="L39" s="157"/>
      <c r="M39" s="157"/>
      <c r="N39" s="157"/>
      <c r="O39" s="157"/>
      <c r="P39" s="157"/>
      <c r="Q39" s="157"/>
      <c r="R39" s="157"/>
      <c r="S39" s="157">
        <v>9.2087953392219202E-3</v>
      </c>
      <c r="T39" s="157"/>
      <c r="U39" s="157">
        <v>3.0042918454935563E-2</v>
      </c>
      <c r="V39" s="157">
        <v>0.13639999999999999</v>
      </c>
      <c r="W39" s="157"/>
    </row>
    <row r="40" spans="2:23" x14ac:dyDescent="0.25">
      <c r="B40" s="156">
        <v>35582</v>
      </c>
      <c r="C40" s="160">
        <v>5.4000000000000003E-3</v>
      </c>
      <c r="D40" s="160">
        <v>7.4000000000000003E-3</v>
      </c>
      <c r="E40" s="160">
        <v>1.1568E-2</v>
      </c>
      <c r="F40" s="160">
        <v>1.5900000000000001E-2</v>
      </c>
      <c r="G40" s="160"/>
      <c r="H40" s="160"/>
      <c r="I40" s="160"/>
      <c r="J40" s="160"/>
      <c r="K40" s="160"/>
      <c r="L40" s="160"/>
      <c r="M40" s="160"/>
      <c r="N40" s="160"/>
      <c r="O40" s="160"/>
      <c r="P40" s="160"/>
      <c r="Q40" s="160"/>
      <c r="R40" s="160"/>
      <c r="S40" s="160">
        <v>5.8862001308044309E-3</v>
      </c>
      <c r="T40" s="160"/>
      <c r="U40" s="160">
        <v>-1.6806722689075682E-2</v>
      </c>
      <c r="V40" s="160">
        <v>0.10769999999999999</v>
      </c>
      <c r="W40" s="160"/>
    </row>
    <row r="41" spans="2:23" x14ac:dyDescent="0.25">
      <c r="B41" s="156">
        <v>35612</v>
      </c>
      <c r="C41" s="157">
        <v>2.2000000000000001E-3</v>
      </c>
      <c r="D41" s="157">
        <v>8.9999999999999998E-4</v>
      </c>
      <c r="E41" s="157">
        <v>1.1613E-2</v>
      </c>
      <c r="F41" s="157">
        <v>1.61E-2</v>
      </c>
      <c r="G41" s="157"/>
      <c r="H41" s="157"/>
      <c r="I41" s="157"/>
      <c r="J41" s="157"/>
      <c r="K41" s="157"/>
      <c r="L41" s="157"/>
      <c r="M41" s="157"/>
      <c r="N41" s="157"/>
      <c r="O41" s="157"/>
      <c r="P41" s="157"/>
      <c r="Q41" s="157"/>
      <c r="R41" s="157"/>
      <c r="S41" s="157">
        <v>6.0380863910820537E-3</v>
      </c>
      <c r="T41" s="157"/>
      <c r="U41" s="157">
        <v>-4.9235993208828543E-2</v>
      </c>
      <c r="V41" s="157">
        <v>2.4199999999999999E-2</v>
      </c>
      <c r="W41" s="157"/>
    </row>
    <row r="42" spans="2:23" x14ac:dyDescent="0.25">
      <c r="B42" s="156">
        <v>35643</v>
      </c>
      <c r="C42" s="157">
        <v>-2.0000000000000001E-4</v>
      </c>
      <c r="D42" s="157">
        <v>8.9999999999999998E-4</v>
      </c>
      <c r="E42" s="157">
        <v>1.1301E-2</v>
      </c>
      <c r="F42" s="157">
        <v>1.5800000000000002E-2</v>
      </c>
      <c r="G42" s="157"/>
      <c r="H42" s="157"/>
      <c r="I42" s="157"/>
      <c r="J42" s="157"/>
      <c r="K42" s="157"/>
      <c r="L42" s="157"/>
      <c r="M42" s="157"/>
      <c r="N42" s="157"/>
      <c r="O42" s="157"/>
      <c r="P42" s="157"/>
      <c r="Q42" s="157"/>
      <c r="R42" s="157"/>
      <c r="S42" s="157">
        <v>8.12482688579097E-3</v>
      </c>
      <c r="T42" s="157"/>
      <c r="U42" s="157">
        <v>-4.3859649122807154E-3</v>
      </c>
      <c r="V42" s="157">
        <v>-0.17579999999999998</v>
      </c>
      <c r="W42" s="157"/>
    </row>
    <row r="43" spans="2:23" x14ac:dyDescent="0.25">
      <c r="B43" s="156">
        <v>35674</v>
      </c>
      <c r="C43" s="157">
        <v>5.9999999999999995E-4</v>
      </c>
      <c r="D43" s="157">
        <v>4.7999999999999996E-3</v>
      </c>
      <c r="E43" s="157">
        <v>1.1506000000000001E-2</v>
      </c>
      <c r="F43" s="157">
        <v>1.5800000000000002E-2</v>
      </c>
      <c r="G43" s="157"/>
      <c r="H43" s="157"/>
      <c r="I43" s="157"/>
      <c r="J43" s="157"/>
      <c r="K43" s="157"/>
      <c r="L43" s="157"/>
      <c r="M43" s="157"/>
      <c r="N43" s="157"/>
      <c r="O43" s="157"/>
      <c r="P43" s="157"/>
      <c r="Q43" s="157"/>
      <c r="R43" s="157"/>
      <c r="S43" s="157">
        <v>3.4788977387165687E-3</v>
      </c>
      <c r="T43" s="157"/>
      <c r="U43" s="157">
        <v>2.590853764562695E-2</v>
      </c>
      <c r="V43" s="157">
        <v>0.1119</v>
      </c>
      <c r="W43" s="157"/>
    </row>
    <row r="44" spans="2:23" x14ac:dyDescent="0.25">
      <c r="B44" s="156">
        <v>35704</v>
      </c>
      <c r="C44" s="157">
        <v>2.3E-3</v>
      </c>
      <c r="D44" s="157">
        <v>3.7000000000000002E-3</v>
      </c>
      <c r="E44" s="157">
        <v>1.1586000000000001E-2</v>
      </c>
      <c r="F44" s="157">
        <v>1.6799999999999999E-2</v>
      </c>
      <c r="G44" s="157"/>
      <c r="H44" s="157"/>
      <c r="I44" s="157"/>
      <c r="J44" s="157"/>
      <c r="K44" s="157"/>
      <c r="L44" s="157"/>
      <c r="M44" s="157"/>
      <c r="N44" s="157"/>
      <c r="O44" s="157"/>
      <c r="P44" s="157"/>
      <c r="Q44" s="157"/>
      <c r="R44" s="157"/>
      <c r="S44" s="157">
        <v>6.0213484171152132E-3</v>
      </c>
      <c r="T44" s="157"/>
      <c r="U44" s="157">
        <v>-4.1631265930331396E-2</v>
      </c>
      <c r="V44" s="157">
        <v>-0.2382</v>
      </c>
      <c r="W44" s="157"/>
    </row>
    <row r="45" spans="2:23" x14ac:dyDescent="0.25">
      <c r="B45" s="156">
        <v>35735</v>
      </c>
      <c r="C45" s="157">
        <v>1.7000000000000001E-3</v>
      </c>
      <c r="D45" s="157">
        <v>6.4000000000000003E-3</v>
      </c>
      <c r="E45" s="157">
        <v>2.0411000000000002E-2</v>
      </c>
      <c r="F45" s="157">
        <v>2.98E-2</v>
      </c>
      <c r="G45" s="157"/>
      <c r="H45" s="157"/>
      <c r="I45" s="157"/>
      <c r="J45" s="157"/>
      <c r="K45" s="157"/>
      <c r="L45" s="157"/>
      <c r="M45" s="157"/>
      <c r="N45" s="157"/>
      <c r="O45" s="157"/>
      <c r="P45" s="157"/>
      <c r="Q45" s="157"/>
      <c r="R45" s="157"/>
      <c r="S45" s="157">
        <v>5.8951569018683703E-3</v>
      </c>
      <c r="T45" s="157"/>
      <c r="U45" s="157">
        <v>-5.3097345132743445E-2</v>
      </c>
      <c r="V45" s="157">
        <v>4.5400000000000003E-2</v>
      </c>
      <c r="W45" s="157"/>
    </row>
    <row r="46" spans="2:23" x14ac:dyDescent="0.25">
      <c r="B46" s="158">
        <v>35765</v>
      </c>
      <c r="C46" s="159">
        <v>4.3E-3</v>
      </c>
      <c r="D46" s="159">
        <v>8.3999999999999995E-3</v>
      </c>
      <c r="E46" s="159">
        <v>1.8149999999999999E-2</v>
      </c>
      <c r="F46" s="159">
        <v>2.9100000000000001E-2</v>
      </c>
      <c r="G46" s="159"/>
      <c r="H46" s="159"/>
      <c r="I46" s="159"/>
      <c r="J46" s="159"/>
      <c r="K46" s="159"/>
      <c r="L46" s="159"/>
      <c r="M46" s="159"/>
      <c r="N46" s="159"/>
      <c r="O46" s="159"/>
      <c r="P46" s="159"/>
      <c r="Q46" s="159"/>
      <c r="R46" s="159"/>
      <c r="S46" s="159">
        <v>6.3114236768551102E-3</v>
      </c>
      <c r="T46" s="159"/>
      <c r="U46" s="159">
        <v>-6.0861423220973654E-3</v>
      </c>
      <c r="V46" s="159">
        <v>8.5299999999999987E-2</v>
      </c>
      <c r="W46" s="159"/>
    </row>
    <row r="47" spans="2:23" x14ac:dyDescent="0.25">
      <c r="B47" s="156">
        <v>35796</v>
      </c>
      <c r="C47" s="157">
        <v>7.0999999999999995E-3</v>
      </c>
      <c r="D47" s="157">
        <v>9.5999999999999992E-3</v>
      </c>
      <c r="E47" s="157">
        <v>1.6515999999999999E-2</v>
      </c>
      <c r="F47" s="157">
        <v>2.6699999999999998E-2</v>
      </c>
      <c r="G47" s="157"/>
      <c r="H47" s="157"/>
      <c r="I47" s="157"/>
      <c r="J47" s="157"/>
      <c r="K47" s="157"/>
      <c r="L47" s="157"/>
      <c r="M47" s="157"/>
      <c r="N47" s="157"/>
      <c r="O47" s="157"/>
      <c r="P47" s="157"/>
      <c r="Q47" s="157"/>
      <c r="R47" s="157"/>
      <c r="S47" s="157">
        <v>6.361437147208937E-3</v>
      </c>
      <c r="T47" s="157"/>
      <c r="U47" s="157">
        <v>6.1068702290076216E-2</v>
      </c>
      <c r="V47" s="157">
        <v>-4.6699999999999998E-2</v>
      </c>
      <c r="W47" s="157"/>
    </row>
    <row r="48" spans="2:23" x14ac:dyDescent="0.25">
      <c r="B48" s="156">
        <v>35827</v>
      </c>
      <c r="C48" s="157">
        <v>4.5999999999999999E-3</v>
      </c>
      <c r="D48" s="157">
        <v>1.8E-3</v>
      </c>
      <c r="E48" s="157">
        <v>9.4830000000000001E-3</v>
      </c>
      <c r="F48" s="157">
        <v>2.1099999999999997E-2</v>
      </c>
      <c r="G48" s="157"/>
      <c r="H48" s="157"/>
      <c r="I48" s="157"/>
      <c r="J48" s="157"/>
      <c r="K48" s="157"/>
      <c r="L48" s="157"/>
      <c r="M48" s="157"/>
      <c r="N48" s="157"/>
      <c r="O48" s="157"/>
      <c r="P48" s="157"/>
      <c r="Q48" s="157"/>
      <c r="R48" s="157"/>
      <c r="S48" s="157">
        <v>6.2327486421513978E-3</v>
      </c>
      <c r="T48" s="157"/>
      <c r="U48" s="157">
        <v>-1.6157989228007152E-2</v>
      </c>
      <c r="V48" s="157">
        <v>8.7499999999999994E-2</v>
      </c>
      <c r="W48" s="157"/>
    </row>
    <row r="49" spans="2:23" x14ac:dyDescent="0.25">
      <c r="B49" s="156">
        <v>35855</v>
      </c>
      <c r="C49" s="157">
        <v>3.4000000000000002E-3</v>
      </c>
      <c r="D49" s="157">
        <v>1.9E-3</v>
      </c>
      <c r="E49" s="157">
        <v>1.4039999999999999E-2</v>
      </c>
      <c r="F49" s="157">
        <v>2.18E-2</v>
      </c>
      <c r="G49" s="157"/>
      <c r="H49" s="157"/>
      <c r="I49" s="157"/>
      <c r="J49" s="157"/>
      <c r="K49" s="157"/>
      <c r="L49" s="157"/>
      <c r="M49" s="157"/>
      <c r="N49" s="157"/>
      <c r="O49" s="157"/>
      <c r="P49" s="157"/>
      <c r="Q49" s="157"/>
      <c r="R49" s="157"/>
      <c r="S49" s="157">
        <v>6.1941421113174133E-3</v>
      </c>
      <c r="T49" s="157"/>
      <c r="U49" s="157">
        <v>2.0947176684881663E-2</v>
      </c>
      <c r="V49" s="157">
        <v>0.13009999999999999</v>
      </c>
      <c r="W49" s="157"/>
    </row>
    <row r="50" spans="2:23" x14ac:dyDescent="0.25">
      <c r="B50" s="156">
        <v>35886</v>
      </c>
      <c r="C50" s="157">
        <v>2.3999999999999998E-3</v>
      </c>
      <c r="D50" s="157">
        <v>1.2999999999999999E-3</v>
      </c>
      <c r="E50" s="157">
        <v>9.7440000000000009E-3</v>
      </c>
      <c r="F50" s="157">
        <v>1.6899999999999998E-2</v>
      </c>
      <c r="G50" s="157"/>
      <c r="H50" s="157"/>
      <c r="I50" s="157"/>
      <c r="J50" s="157"/>
      <c r="K50" s="157"/>
      <c r="L50" s="157"/>
      <c r="M50" s="157"/>
      <c r="N50" s="157"/>
      <c r="O50" s="157"/>
      <c r="P50" s="157"/>
      <c r="Q50" s="157"/>
      <c r="R50" s="157"/>
      <c r="S50" s="157">
        <v>5.3626373626374235E-3</v>
      </c>
      <c r="T50" s="157"/>
      <c r="U50" s="157">
        <v>1.7857142857143016E-2</v>
      </c>
      <c r="V50" s="157">
        <v>-2.2499999999999999E-2</v>
      </c>
      <c r="W50" s="157"/>
    </row>
    <row r="51" spans="2:23" x14ac:dyDescent="0.25">
      <c r="B51" s="156">
        <v>35916</v>
      </c>
      <c r="C51" s="157">
        <v>5.0000000000000001E-3</v>
      </c>
      <c r="D51" s="157">
        <v>1.4000000000000002E-3</v>
      </c>
      <c r="E51" s="157">
        <v>9.5659999999999999E-3</v>
      </c>
      <c r="F51" s="157">
        <v>1.6299999999999999E-2</v>
      </c>
      <c r="G51" s="157"/>
      <c r="H51" s="157"/>
      <c r="I51" s="157"/>
      <c r="J51" s="157"/>
      <c r="K51" s="157"/>
      <c r="L51" s="157"/>
      <c r="M51" s="157"/>
      <c r="N51" s="157"/>
      <c r="O51" s="157"/>
      <c r="P51" s="157"/>
      <c r="Q51" s="157"/>
      <c r="R51" s="157"/>
      <c r="S51" s="157">
        <v>5.9461350122420598E-3</v>
      </c>
      <c r="T51" s="157"/>
      <c r="U51" s="157">
        <v>-2.6315789473684292E-2</v>
      </c>
      <c r="V51" s="157">
        <v>-0.15670000000000001</v>
      </c>
      <c r="W51" s="157"/>
    </row>
    <row r="52" spans="2:23" x14ac:dyDescent="0.25">
      <c r="B52" s="156">
        <v>35947</v>
      </c>
      <c r="C52" s="160">
        <v>2.0000000000000001E-4</v>
      </c>
      <c r="D52" s="160">
        <v>3.8E-3</v>
      </c>
      <c r="E52" s="160">
        <v>9.9380000000000007E-3</v>
      </c>
      <c r="F52" s="160">
        <v>1.6E-2</v>
      </c>
      <c r="G52" s="160"/>
      <c r="H52" s="160"/>
      <c r="I52" s="160"/>
      <c r="J52" s="160"/>
      <c r="K52" s="160"/>
      <c r="L52" s="160"/>
      <c r="M52" s="160"/>
      <c r="N52" s="160"/>
      <c r="O52" s="160"/>
      <c r="P52" s="160"/>
      <c r="Q52" s="160"/>
      <c r="R52" s="160"/>
      <c r="S52" s="160">
        <v>4.1673901719050388E-3</v>
      </c>
      <c r="T52" s="160"/>
      <c r="U52" s="160">
        <v>2.7522935779816349E-2</v>
      </c>
      <c r="V52" s="160">
        <v>-1.7000000000000001E-2</v>
      </c>
      <c r="W52" s="160"/>
    </row>
    <row r="53" spans="2:23" x14ac:dyDescent="0.25">
      <c r="B53" s="156">
        <v>35977</v>
      </c>
      <c r="C53" s="157">
        <v>-1.1999999999999999E-3</v>
      </c>
      <c r="D53" s="157">
        <v>-1.7000000000000001E-3</v>
      </c>
      <c r="E53" s="157">
        <v>1.0530999999999999E-2</v>
      </c>
      <c r="F53" s="157">
        <v>1.6899999999999998E-2</v>
      </c>
      <c r="G53" s="157"/>
      <c r="H53" s="157"/>
      <c r="I53" s="157"/>
      <c r="J53" s="157"/>
      <c r="K53" s="157"/>
      <c r="L53" s="157"/>
      <c r="M53" s="157"/>
      <c r="N53" s="157"/>
      <c r="O53" s="157"/>
      <c r="P53" s="157"/>
      <c r="Q53" s="157"/>
      <c r="R53" s="157"/>
      <c r="S53" s="157">
        <v>5.532981758450628E-3</v>
      </c>
      <c r="T53" s="157"/>
      <c r="U53" s="157">
        <v>-3.5714285714285587E-2</v>
      </c>
      <c r="V53" s="157">
        <v>0.10630000000000001</v>
      </c>
      <c r="W53" s="157"/>
    </row>
    <row r="54" spans="2:23" x14ac:dyDescent="0.25">
      <c r="B54" s="156">
        <v>36008</v>
      </c>
      <c r="C54" s="157">
        <v>-5.1000000000000004E-3</v>
      </c>
      <c r="D54" s="157">
        <v>-1.6000000000000001E-3</v>
      </c>
      <c r="E54" s="157">
        <v>8.7679999999999998E-3</v>
      </c>
      <c r="F54" s="157">
        <v>1.47E-2</v>
      </c>
      <c r="G54" s="157"/>
      <c r="H54" s="157"/>
      <c r="I54" s="157"/>
      <c r="J54" s="157"/>
      <c r="K54" s="157"/>
      <c r="L54" s="157"/>
      <c r="M54" s="157"/>
      <c r="N54" s="157"/>
      <c r="O54" s="157"/>
      <c r="P54" s="157"/>
      <c r="Q54" s="157"/>
      <c r="R54" s="157"/>
      <c r="S54" s="157">
        <v>1.073422069557739E-2</v>
      </c>
      <c r="T54" s="157"/>
      <c r="U54" s="157">
        <v>-2.0202020202020221E-2</v>
      </c>
      <c r="V54" s="157">
        <v>-0.39549999999999996</v>
      </c>
      <c r="W54" s="157"/>
    </row>
    <row r="55" spans="2:23" x14ac:dyDescent="0.25">
      <c r="B55" s="156">
        <v>36039</v>
      </c>
      <c r="C55" s="157">
        <v>-2.2000000000000001E-3</v>
      </c>
      <c r="D55" s="157">
        <v>-8.0000000000000004E-4</v>
      </c>
      <c r="E55" s="157">
        <v>9.5350000000000001E-3</v>
      </c>
      <c r="F55" s="157">
        <v>2.4900000000000002E-2</v>
      </c>
      <c r="G55" s="157"/>
      <c r="H55" s="157"/>
      <c r="I55" s="157"/>
      <c r="J55" s="157"/>
      <c r="K55" s="157"/>
      <c r="L55" s="157"/>
      <c r="M55" s="157"/>
      <c r="N55" s="157"/>
      <c r="O55" s="157"/>
      <c r="P55" s="157"/>
      <c r="Q55" s="157"/>
      <c r="R55" s="157"/>
      <c r="S55" s="157">
        <v>6.3721325403569562E-3</v>
      </c>
      <c r="T55" s="157"/>
      <c r="U55" s="157">
        <v>7.441860465116279E-2</v>
      </c>
      <c r="V55" s="157">
        <v>1.8700000000000001E-2</v>
      </c>
      <c r="W55" s="157"/>
    </row>
    <row r="56" spans="2:23" x14ac:dyDescent="0.25">
      <c r="B56" s="156">
        <v>36069</v>
      </c>
      <c r="C56" s="157">
        <v>2.0000000000000001E-4</v>
      </c>
      <c r="D56" s="157">
        <v>8.0000000000000004E-4</v>
      </c>
      <c r="E56" s="157">
        <v>1.3935999999999999E-2</v>
      </c>
      <c r="F56" s="157">
        <v>2.9300000000000003E-2</v>
      </c>
      <c r="G56" s="157"/>
      <c r="H56" s="157"/>
      <c r="I56" s="157"/>
      <c r="J56" s="157"/>
      <c r="K56" s="157"/>
      <c r="L56" s="157"/>
      <c r="M56" s="157"/>
      <c r="N56" s="157"/>
      <c r="O56" s="157"/>
      <c r="P56" s="157"/>
      <c r="Q56" s="157"/>
      <c r="R56" s="157"/>
      <c r="S56" s="157">
        <v>1.1016949152542477E-2</v>
      </c>
      <c r="T56" s="157"/>
      <c r="U56" s="157">
        <v>-2.7327070879590076E-2</v>
      </c>
      <c r="V56" s="157">
        <v>6.88E-2</v>
      </c>
      <c r="W56" s="157"/>
    </row>
    <row r="57" spans="2:23" x14ac:dyDescent="0.25">
      <c r="B57" s="156">
        <v>36100</v>
      </c>
      <c r="C57" s="157">
        <v>-1.1999999999999999E-3</v>
      </c>
      <c r="D57" s="157">
        <v>-3.2000000000000002E-3</v>
      </c>
      <c r="E57" s="157">
        <v>1.1167E-2</v>
      </c>
      <c r="F57" s="157">
        <v>2.58E-2</v>
      </c>
      <c r="G57" s="157"/>
      <c r="H57" s="157"/>
      <c r="I57" s="157"/>
      <c r="J57" s="157"/>
      <c r="K57" s="157"/>
      <c r="L57" s="157"/>
      <c r="M57" s="157"/>
      <c r="N57" s="157"/>
      <c r="O57" s="157"/>
      <c r="P57" s="157"/>
      <c r="Q57" s="157"/>
      <c r="R57" s="157"/>
      <c r="S57" s="157">
        <v>8.6467427803895713E-3</v>
      </c>
      <c r="T57" s="157"/>
      <c r="U57" s="157">
        <v>1.0638297872340496E-2</v>
      </c>
      <c r="V57" s="157">
        <v>0.22469999999999998</v>
      </c>
      <c r="W57" s="157"/>
    </row>
    <row r="58" spans="2:23" x14ac:dyDescent="0.25">
      <c r="B58" s="158">
        <v>36130</v>
      </c>
      <c r="C58" s="159">
        <v>3.3E-3</v>
      </c>
      <c r="D58" s="159">
        <v>4.5000000000000005E-3</v>
      </c>
      <c r="E58" s="159">
        <v>1.2471000000000001E-2</v>
      </c>
      <c r="F58" s="159">
        <v>2.3799999999999998E-2</v>
      </c>
      <c r="G58" s="159"/>
      <c r="H58" s="159"/>
      <c r="I58" s="159"/>
      <c r="J58" s="159"/>
      <c r="K58" s="159"/>
      <c r="L58" s="159"/>
      <c r="M58" s="159"/>
      <c r="N58" s="159"/>
      <c r="O58" s="159"/>
      <c r="P58" s="159"/>
      <c r="Q58" s="159"/>
      <c r="R58" s="159"/>
      <c r="S58" s="159">
        <v>5.7432994839352602E-3</v>
      </c>
      <c r="T58" s="159"/>
      <c r="U58" s="159">
        <v>-4.7619047619047672E-2</v>
      </c>
      <c r="V58" s="159">
        <v>-0.21390000000000001</v>
      </c>
      <c r="W58" s="159"/>
    </row>
    <row r="59" spans="2:23" x14ac:dyDescent="0.25">
      <c r="B59" s="156">
        <v>36161</v>
      </c>
      <c r="C59" s="157">
        <v>6.9999999999999993E-3</v>
      </c>
      <c r="D59" s="157">
        <v>8.3999999999999995E-3</v>
      </c>
      <c r="E59" s="157">
        <v>1.0187999999999999E-2</v>
      </c>
      <c r="F59" s="157">
        <v>2.1700000000000001E-2</v>
      </c>
      <c r="G59" s="157"/>
      <c r="H59" s="157"/>
      <c r="I59" s="157"/>
      <c r="J59" s="157"/>
      <c r="K59" s="157"/>
      <c r="L59" s="157"/>
      <c r="M59" s="157"/>
      <c r="N59" s="157"/>
      <c r="O59" s="157"/>
      <c r="P59" s="157"/>
      <c r="Q59" s="157"/>
      <c r="R59" s="157"/>
      <c r="S59" s="157">
        <v>0.73970673515036034</v>
      </c>
      <c r="T59" s="157">
        <v>0.68050384710846368</v>
      </c>
      <c r="U59" s="157">
        <v>0.65048543689320382</v>
      </c>
      <c r="V59" s="157">
        <v>0.20440000000000003</v>
      </c>
      <c r="W59" s="157"/>
    </row>
    <row r="60" spans="2:23" x14ac:dyDescent="0.25">
      <c r="B60" s="156">
        <v>36192</v>
      </c>
      <c r="C60" s="157">
        <v>1.0500000000000001E-2</v>
      </c>
      <c r="D60" s="157">
        <v>3.61E-2</v>
      </c>
      <c r="E60" s="157">
        <v>1.3339E-2</v>
      </c>
      <c r="F60" s="157">
        <v>2.35E-2</v>
      </c>
      <c r="G60" s="157"/>
      <c r="H60" s="157"/>
      <c r="I60" s="157"/>
      <c r="J60" s="157"/>
      <c r="K60" s="157"/>
      <c r="L60" s="157"/>
      <c r="M60" s="157"/>
      <c r="N60" s="157"/>
      <c r="O60" s="157"/>
      <c r="P60" s="157"/>
      <c r="Q60" s="157"/>
      <c r="R60" s="157"/>
      <c r="S60" s="157">
        <v>6.25E-2</v>
      </c>
      <c r="T60" s="157">
        <v>-6.0960750286157328E-2</v>
      </c>
      <c r="U60" s="157">
        <v>7.3863636363636243E-2</v>
      </c>
      <c r="V60" s="157">
        <v>9.0399999999999994E-2</v>
      </c>
      <c r="W60" s="157"/>
    </row>
    <row r="61" spans="2:23" x14ac:dyDescent="0.25">
      <c r="B61" s="156">
        <v>36220</v>
      </c>
      <c r="C61" s="157">
        <v>1.1000000000000001E-2</v>
      </c>
      <c r="D61" s="157">
        <v>2.8300000000000002E-2</v>
      </c>
      <c r="E61" s="157">
        <v>1.6671999999999999E-2</v>
      </c>
      <c r="F61" s="157">
        <v>3.2899999999999999E-2</v>
      </c>
      <c r="G61" s="157"/>
      <c r="H61" s="157"/>
      <c r="I61" s="157"/>
      <c r="J61" s="157"/>
      <c r="K61" s="157"/>
      <c r="L61" s="157"/>
      <c r="M61" s="157"/>
      <c r="N61" s="157"/>
      <c r="O61" s="157"/>
      <c r="P61" s="157"/>
      <c r="Q61" s="157"/>
      <c r="R61" s="157"/>
      <c r="S61" s="157">
        <v>-0.19392523364485981</v>
      </c>
      <c r="T61" s="157">
        <v>-0.18681844395512226</v>
      </c>
      <c r="U61" s="157">
        <v>-0.21782178217821779</v>
      </c>
      <c r="V61" s="157">
        <v>0.20030000000000001</v>
      </c>
      <c r="W61" s="157"/>
    </row>
    <row r="62" spans="2:23" x14ac:dyDescent="0.25">
      <c r="B62" s="156">
        <v>36251</v>
      </c>
      <c r="C62" s="157">
        <v>5.6000000000000008E-3</v>
      </c>
      <c r="D62" s="157">
        <v>7.0999999999999995E-3</v>
      </c>
      <c r="E62" s="157">
        <v>1.1122E-2</v>
      </c>
      <c r="F62" s="157">
        <v>2.2799999999999997E-2</v>
      </c>
      <c r="G62" s="157"/>
      <c r="H62" s="157"/>
      <c r="I62" s="157"/>
      <c r="J62" s="157"/>
      <c r="K62" s="157"/>
      <c r="L62" s="157"/>
      <c r="M62" s="157"/>
      <c r="N62" s="157"/>
      <c r="O62" s="157"/>
      <c r="P62" s="157"/>
      <c r="Q62" s="157"/>
      <c r="R62" s="157"/>
      <c r="S62" s="157">
        <v>-4.5272206303725082E-2</v>
      </c>
      <c r="T62" s="157">
        <v>-4.0468496057809888E-2</v>
      </c>
      <c r="U62" s="157">
        <v>-9.493670886076E-3</v>
      </c>
      <c r="V62" s="157">
        <v>6.1100000000000002E-2</v>
      </c>
      <c r="W62" s="157"/>
    </row>
    <row r="63" spans="2:23" x14ac:dyDescent="0.25">
      <c r="B63" s="156">
        <v>36281</v>
      </c>
      <c r="C63" s="157">
        <v>3.0000000000000001E-3</v>
      </c>
      <c r="D63" s="157">
        <v>-2.8999999999999998E-3</v>
      </c>
      <c r="E63" s="157">
        <v>1.0789E-2</v>
      </c>
      <c r="F63" s="157">
        <v>1.9599999999999999E-2</v>
      </c>
      <c r="G63" s="157"/>
      <c r="H63" s="157"/>
      <c r="I63" s="157"/>
      <c r="J63" s="157"/>
      <c r="K63" s="157"/>
      <c r="L63" s="157"/>
      <c r="M63" s="157"/>
      <c r="N63" s="157"/>
      <c r="O63" s="157"/>
      <c r="P63" s="157"/>
      <c r="Q63" s="157"/>
      <c r="R63" s="157"/>
      <c r="S63" s="157">
        <v>2.8059701492537226E-2</v>
      </c>
      <c r="T63" s="157">
        <v>2.6382008027091564E-2</v>
      </c>
      <c r="U63" s="157">
        <v>-3.1230082855321917E-2</v>
      </c>
      <c r="V63" s="157">
        <v>-2.29E-2</v>
      </c>
      <c r="W63" s="157"/>
    </row>
    <row r="64" spans="2:23" x14ac:dyDescent="0.25">
      <c r="B64" s="156">
        <v>36312</v>
      </c>
      <c r="C64" s="160">
        <v>1.9E-3</v>
      </c>
      <c r="D64" s="160">
        <v>3.5999999999999999E-3</v>
      </c>
      <c r="E64" s="160">
        <v>8.123E-3</v>
      </c>
      <c r="F64" s="160">
        <v>1.6299999999999999E-2</v>
      </c>
      <c r="G64" s="160"/>
      <c r="H64" s="160"/>
      <c r="I64" s="160"/>
      <c r="J64" s="160"/>
      <c r="K64" s="160"/>
      <c r="L64" s="160"/>
      <c r="M64" s="160"/>
      <c r="N64" s="160"/>
      <c r="O64" s="160"/>
      <c r="P64" s="160"/>
      <c r="Q64" s="160"/>
      <c r="R64" s="160"/>
      <c r="S64" s="160">
        <v>5.1635111876076056E-3</v>
      </c>
      <c r="T64" s="160">
        <v>-5.3258224322162429E-3</v>
      </c>
      <c r="U64" s="160">
        <v>-6.5789473684210176E-3</v>
      </c>
      <c r="V64" s="160">
        <v>4.8399999999999999E-2</v>
      </c>
      <c r="W64" s="160"/>
    </row>
    <row r="65" spans="2:23" x14ac:dyDescent="0.25">
      <c r="B65" s="156">
        <v>36342</v>
      </c>
      <c r="C65" s="157">
        <v>1.09E-2</v>
      </c>
      <c r="D65" s="157">
        <v>1.55E-2</v>
      </c>
      <c r="E65" s="157">
        <v>7.9469999999999992E-3</v>
      </c>
      <c r="F65" s="157">
        <v>1.6200000000000003E-2</v>
      </c>
      <c r="G65" s="157"/>
      <c r="H65" s="157"/>
      <c r="I65" s="157"/>
      <c r="J65" s="157"/>
      <c r="K65" s="157"/>
      <c r="L65" s="157"/>
      <c r="M65" s="157"/>
      <c r="N65" s="157"/>
      <c r="O65" s="157"/>
      <c r="P65" s="157"/>
      <c r="Q65" s="157"/>
      <c r="R65" s="157"/>
      <c r="S65" s="157">
        <v>1.6949152542372836E-2</v>
      </c>
      <c r="T65" s="157">
        <v>2.5718990510865236E-2</v>
      </c>
      <c r="U65" s="157">
        <v>-1.6393442622950838E-2</v>
      </c>
      <c r="V65" s="157">
        <v>-0.10189999999999999</v>
      </c>
      <c r="W65" s="157"/>
    </row>
    <row r="66" spans="2:23" x14ac:dyDescent="0.25">
      <c r="B66" s="156">
        <v>36373</v>
      </c>
      <c r="C66" s="157">
        <v>5.6000000000000008E-3</v>
      </c>
      <c r="D66" s="157">
        <v>1.5600000000000001E-2</v>
      </c>
      <c r="E66" s="157">
        <v>7.9590000000000008E-3</v>
      </c>
      <c r="F66" s="157">
        <v>1.55E-2</v>
      </c>
      <c r="G66" s="157"/>
      <c r="H66" s="157"/>
      <c r="I66" s="157"/>
      <c r="J66" s="157"/>
      <c r="K66" s="157"/>
      <c r="L66" s="157"/>
      <c r="M66" s="157"/>
      <c r="N66" s="157"/>
      <c r="O66" s="157"/>
      <c r="P66" s="157"/>
      <c r="Q66" s="157"/>
      <c r="R66" s="157"/>
      <c r="S66" s="157">
        <v>4.9207217058502062E-2</v>
      </c>
      <c r="T66" s="157">
        <v>9.0019088867500985E-2</v>
      </c>
      <c r="U66" s="157">
        <v>3.2786885245901676E-2</v>
      </c>
      <c r="V66" s="157">
        <v>1.1699999999999999E-2</v>
      </c>
      <c r="W66" s="157"/>
    </row>
    <row r="67" spans="2:23" x14ac:dyDescent="0.25">
      <c r="B67" s="156">
        <v>36404</v>
      </c>
      <c r="C67" s="157">
        <v>3.0999999999999999E-3</v>
      </c>
      <c r="D67" s="157">
        <v>1.4499999999999999E-2</v>
      </c>
      <c r="E67" s="157">
        <v>7.7280000000000005E-3</v>
      </c>
      <c r="F67" s="157">
        <v>1.47E-2</v>
      </c>
      <c r="G67" s="157"/>
      <c r="H67" s="157"/>
      <c r="I67" s="157"/>
      <c r="J67" s="157"/>
      <c r="K67" s="157"/>
      <c r="L67" s="157"/>
      <c r="M67" s="157"/>
      <c r="N67" s="157"/>
      <c r="O67" s="157"/>
      <c r="P67" s="157"/>
      <c r="Q67" s="157"/>
      <c r="R67" s="157"/>
      <c r="S67" s="157">
        <v>1.5503875968991832E-3</v>
      </c>
      <c r="T67" s="157">
        <v>-8.1086899991866801E-5</v>
      </c>
      <c r="U67" s="157">
        <v>0.16408668730650167</v>
      </c>
      <c r="V67" s="157">
        <v>5.1200000000000002E-2</v>
      </c>
      <c r="W67" s="157"/>
    </row>
    <row r="68" spans="2:23" x14ac:dyDescent="0.25">
      <c r="B68" s="156">
        <v>36434</v>
      </c>
      <c r="C68" s="157">
        <v>1.1899999999999999E-2</v>
      </c>
      <c r="D68" s="157">
        <v>1.7000000000000001E-2</v>
      </c>
      <c r="E68" s="157">
        <v>7.2760000000000003E-3</v>
      </c>
      <c r="F68" s="157">
        <v>1.37E-2</v>
      </c>
      <c r="G68" s="157"/>
      <c r="H68" s="157"/>
      <c r="I68" s="157"/>
      <c r="J68" s="157"/>
      <c r="K68" s="157"/>
      <c r="L68" s="157"/>
      <c r="M68" s="157"/>
      <c r="N68" s="157"/>
      <c r="O68" s="157"/>
      <c r="P68" s="157"/>
      <c r="Q68" s="157"/>
      <c r="R68" s="157"/>
      <c r="S68" s="157">
        <v>6.1919504643963563E-3</v>
      </c>
      <c r="T68" s="157">
        <v>2.5707367643968082E-2</v>
      </c>
      <c r="U68" s="157">
        <v>-1.5789473684210575E-2</v>
      </c>
      <c r="V68" s="157">
        <v>5.3399999999999996E-2</v>
      </c>
      <c r="W68" s="157"/>
    </row>
    <row r="69" spans="2:23" x14ac:dyDescent="0.25">
      <c r="B69" s="156">
        <v>36465</v>
      </c>
      <c r="C69" s="157">
        <v>9.4999999999999998E-3</v>
      </c>
      <c r="D69" s="157">
        <v>2.3900000000000001E-2</v>
      </c>
      <c r="E69" s="157">
        <v>7.0070000000000002E-3</v>
      </c>
      <c r="F69" s="157">
        <v>1.37E-2</v>
      </c>
      <c r="G69" s="157"/>
      <c r="H69" s="157"/>
      <c r="I69" s="157"/>
      <c r="J69" s="157"/>
      <c r="K69" s="157"/>
      <c r="L69" s="157"/>
      <c r="M69" s="157"/>
      <c r="N69" s="157"/>
      <c r="O69" s="157"/>
      <c r="P69" s="157"/>
      <c r="Q69" s="157"/>
      <c r="R69" s="157"/>
      <c r="S69" s="157">
        <v>-1.029336078229548E-2</v>
      </c>
      <c r="T69" s="157">
        <v>-4.9164478498557873E-2</v>
      </c>
      <c r="U69" s="157">
        <v>1.3812154696132506E-2</v>
      </c>
      <c r="V69" s="157">
        <v>0.17760000000000001</v>
      </c>
      <c r="W69" s="157"/>
    </row>
    <row r="70" spans="2:23" x14ac:dyDescent="0.25">
      <c r="B70" s="158">
        <v>36495</v>
      </c>
      <c r="C70" s="159">
        <v>6.0000000000000001E-3</v>
      </c>
      <c r="D70" s="159">
        <v>1.8100000000000002E-2</v>
      </c>
      <c r="E70" s="159">
        <v>8.012E-3</v>
      </c>
      <c r="F70" s="159">
        <v>1.5800000000000002E-2</v>
      </c>
      <c r="G70" s="159"/>
      <c r="H70" s="159"/>
      <c r="I70" s="159"/>
      <c r="J70" s="159"/>
      <c r="K70" s="159"/>
      <c r="L70" s="159"/>
      <c r="M70" s="159"/>
      <c r="N70" s="159"/>
      <c r="O70" s="159"/>
      <c r="P70" s="159"/>
      <c r="Q70" s="159"/>
      <c r="R70" s="159"/>
      <c r="S70" s="159">
        <v>-5.5439330543933019E-2</v>
      </c>
      <c r="T70" s="159">
        <v>-7.9374852301114629E-2</v>
      </c>
      <c r="U70" s="159">
        <v>-7.1823204419889541E-2</v>
      </c>
      <c r="V70" s="159">
        <v>0.2404</v>
      </c>
      <c r="W70" s="159"/>
    </row>
    <row r="71" spans="2:23" x14ac:dyDescent="0.25">
      <c r="B71" s="156">
        <v>36526</v>
      </c>
      <c r="C71" s="157">
        <v>6.1999999999999998E-3</v>
      </c>
      <c r="D71" s="157">
        <v>1.24E-2</v>
      </c>
      <c r="E71" s="157">
        <v>7.1589999999999996E-3</v>
      </c>
      <c r="F71" s="157">
        <v>1.44E-2</v>
      </c>
      <c r="G71" s="157"/>
      <c r="H71" s="157"/>
      <c r="I71" s="157"/>
      <c r="J71" s="157"/>
      <c r="K71" s="157"/>
      <c r="L71" s="157"/>
      <c r="M71" s="157"/>
      <c r="N71" s="157"/>
      <c r="O71" s="157"/>
      <c r="P71" s="157"/>
      <c r="Q71" s="157"/>
      <c r="R71" s="157"/>
      <c r="S71" s="157">
        <v>-2.0318506315211371E-2</v>
      </c>
      <c r="T71" s="157">
        <v>-3.0217499584924479E-2</v>
      </c>
      <c r="U71" s="157">
        <v>-2.3529411764705799E-2</v>
      </c>
      <c r="V71" s="157">
        <v>-4.1100000000000005E-2</v>
      </c>
      <c r="W71" s="157"/>
    </row>
    <row r="72" spans="2:23" x14ac:dyDescent="0.25">
      <c r="B72" s="156">
        <v>36557</v>
      </c>
      <c r="C72" s="157">
        <v>1.2999999999999999E-3</v>
      </c>
      <c r="D72" s="157">
        <v>3.4999999999999996E-3</v>
      </c>
      <c r="E72" s="157">
        <v>7.339E-3</v>
      </c>
      <c r="F72" s="157">
        <v>1.44E-2</v>
      </c>
      <c r="G72" s="157">
        <v>1.5728971516034695E-2</v>
      </c>
      <c r="H72" s="157"/>
      <c r="I72" s="157"/>
      <c r="J72" s="157"/>
      <c r="K72" s="157"/>
      <c r="L72" s="157"/>
      <c r="M72" s="157"/>
      <c r="N72" s="157"/>
      <c r="O72" s="157"/>
      <c r="P72" s="157"/>
      <c r="Q72" s="157"/>
      <c r="R72" s="157"/>
      <c r="S72" s="157">
        <v>-1.340033500837523E-2</v>
      </c>
      <c r="T72" s="157">
        <v>-2.4767448496262001E-2</v>
      </c>
      <c r="U72" s="157">
        <v>1.6918429003021096E-2</v>
      </c>
      <c r="V72" s="157">
        <v>7.7600000000000002E-2</v>
      </c>
      <c r="W72" s="157"/>
    </row>
    <row r="73" spans="2:23" x14ac:dyDescent="0.25">
      <c r="B73" s="156">
        <v>36586</v>
      </c>
      <c r="C73" s="157">
        <v>2.2000000000000001E-3</v>
      </c>
      <c r="D73" s="157">
        <v>1.5E-3</v>
      </c>
      <c r="E73" s="157">
        <v>7.252999999999999E-3</v>
      </c>
      <c r="F73" s="157">
        <v>1.44E-2</v>
      </c>
      <c r="G73" s="157">
        <v>1.9458442795494468E-2</v>
      </c>
      <c r="H73" s="157"/>
      <c r="I73" s="157"/>
      <c r="J73" s="157"/>
      <c r="K73" s="157"/>
      <c r="L73" s="157"/>
      <c r="M73" s="157"/>
      <c r="N73" s="157"/>
      <c r="O73" s="157"/>
      <c r="P73" s="157"/>
      <c r="Q73" s="157"/>
      <c r="R73" s="157"/>
      <c r="S73" s="157">
        <v>-1.5873015873015928E-2</v>
      </c>
      <c r="T73" s="157">
        <v>-2.0715079875943676E-2</v>
      </c>
      <c r="U73" s="157">
        <v>-5.4534676941316085E-2</v>
      </c>
      <c r="V73" s="157">
        <v>9.0000000000000011E-3</v>
      </c>
      <c r="W73" s="157"/>
    </row>
    <row r="74" spans="2:23" x14ac:dyDescent="0.25">
      <c r="B74" s="156">
        <v>36617</v>
      </c>
      <c r="C74" s="157">
        <v>4.1999999999999997E-3</v>
      </c>
      <c r="D74" s="157">
        <v>2.3E-3</v>
      </c>
      <c r="E74" s="157">
        <v>6.3070000000000001E-3</v>
      </c>
      <c r="F74" s="157">
        <v>1.2800000000000001E-2</v>
      </c>
      <c r="G74" s="157">
        <v>6.6410411575281714E-3</v>
      </c>
      <c r="H74" s="157"/>
      <c r="I74" s="157"/>
      <c r="J74" s="157"/>
      <c r="K74" s="157"/>
      <c r="L74" s="157"/>
      <c r="M74" s="157"/>
      <c r="N74" s="157"/>
      <c r="O74" s="157"/>
      <c r="P74" s="157"/>
      <c r="Q74" s="157"/>
      <c r="R74" s="157"/>
      <c r="S74" s="157">
        <v>3.6739380022962065E-2</v>
      </c>
      <c r="T74" s="157">
        <v>-1.3504631012847268E-2</v>
      </c>
      <c r="U74" s="157">
        <v>4.6728971962616717E-2</v>
      </c>
      <c r="V74" s="157">
        <v>-0.128</v>
      </c>
      <c r="W74" s="157"/>
    </row>
    <row r="75" spans="2:23" x14ac:dyDescent="0.25">
      <c r="B75" s="156">
        <v>36647</v>
      </c>
      <c r="C75" s="157">
        <v>1E-4</v>
      </c>
      <c r="D75" s="157">
        <v>3.0999999999999999E-3</v>
      </c>
      <c r="E75" s="157">
        <v>7.5039999999999994E-3</v>
      </c>
      <c r="F75" s="157">
        <v>1.49E-2</v>
      </c>
      <c r="G75" s="157">
        <v>1.445870472773203E-2</v>
      </c>
      <c r="H75" s="157"/>
      <c r="I75" s="157"/>
      <c r="J75" s="157"/>
      <c r="K75" s="157"/>
      <c r="L75" s="157"/>
      <c r="M75" s="157"/>
      <c r="N75" s="157"/>
      <c r="O75" s="157"/>
      <c r="P75" s="157"/>
      <c r="Q75" s="157"/>
      <c r="R75" s="157"/>
      <c r="S75" s="157">
        <v>1.1640798226163929E-2</v>
      </c>
      <c r="T75" s="157">
        <v>3.9251317463201874E-2</v>
      </c>
      <c r="U75" s="157">
        <v>5.9347181008901906E-3</v>
      </c>
      <c r="V75" s="157">
        <v>-3.73E-2</v>
      </c>
      <c r="W75" s="157"/>
    </row>
    <row r="76" spans="2:23" x14ac:dyDescent="0.25">
      <c r="B76" s="156">
        <v>36678</v>
      </c>
      <c r="C76" s="160">
        <v>2.3E-3</v>
      </c>
      <c r="D76" s="160">
        <v>8.5000000000000006E-3</v>
      </c>
      <c r="E76" s="160">
        <v>7.1500000000000001E-3</v>
      </c>
      <c r="F76" s="160">
        <v>1.3899999999999999E-2</v>
      </c>
      <c r="G76" s="160">
        <v>2.3114620952053411E-2</v>
      </c>
      <c r="H76" s="160"/>
      <c r="I76" s="160"/>
      <c r="J76" s="160"/>
      <c r="K76" s="160"/>
      <c r="L76" s="160"/>
      <c r="M76" s="160"/>
      <c r="N76" s="160"/>
      <c r="O76" s="160"/>
      <c r="P76" s="160"/>
      <c r="Q76" s="160"/>
      <c r="R76" s="160"/>
      <c r="S76" s="160">
        <v>-7.1428571428572285E-3</v>
      </c>
      <c r="T76" s="160">
        <v>1.9234131841230351E-3</v>
      </c>
      <c r="U76" s="160">
        <v>3.4685479129923591E-2</v>
      </c>
      <c r="V76" s="160">
        <v>0.11840000000000001</v>
      </c>
      <c r="W76" s="160"/>
    </row>
    <row r="77" spans="2:23" x14ac:dyDescent="0.25">
      <c r="B77" s="156">
        <v>36708</v>
      </c>
      <c r="C77" s="157">
        <v>1.61E-2</v>
      </c>
      <c r="D77" s="157">
        <v>1.5700000000000002E-2</v>
      </c>
      <c r="E77" s="157">
        <v>6.5539999999999999E-3</v>
      </c>
      <c r="F77" s="157">
        <v>1.3000000000000001E-2</v>
      </c>
      <c r="G77" s="157">
        <v>1.6748409814693943E-2</v>
      </c>
      <c r="H77" s="157"/>
      <c r="I77" s="157"/>
      <c r="J77" s="157"/>
      <c r="K77" s="157"/>
      <c r="L77" s="157"/>
      <c r="M77" s="157"/>
      <c r="N77" s="157"/>
      <c r="O77" s="157"/>
      <c r="P77" s="157"/>
      <c r="Q77" s="157"/>
      <c r="R77" s="157"/>
      <c r="S77" s="157">
        <v>-1.7630853994490381E-2</v>
      </c>
      <c r="T77" s="157">
        <v>-4.1826643397324115E-2</v>
      </c>
      <c r="U77" s="157">
        <v>-2.1468926553672274E-2</v>
      </c>
      <c r="V77" s="157">
        <v>-1.6299999999999999E-2</v>
      </c>
      <c r="W77" s="157"/>
    </row>
    <row r="78" spans="2:23" x14ac:dyDescent="0.25">
      <c r="B78" s="156">
        <v>36739</v>
      </c>
      <c r="C78" s="157">
        <v>1.3100000000000001E-2</v>
      </c>
      <c r="D78" s="157">
        <v>2.3900000000000001E-2</v>
      </c>
      <c r="E78" s="157">
        <v>7.0350000000000005E-3</v>
      </c>
      <c r="F78" s="157">
        <v>1.3999999999999999E-2</v>
      </c>
      <c r="G78" s="157">
        <v>1.6465566858716141E-2</v>
      </c>
      <c r="H78" s="157"/>
      <c r="I78" s="157"/>
      <c r="J78" s="157"/>
      <c r="K78" s="157"/>
      <c r="L78" s="157"/>
      <c r="M78" s="157"/>
      <c r="N78" s="157"/>
      <c r="O78" s="157"/>
      <c r="P78" s="157"/>
      <c r="Q78" s="157"/>
      <c r="R78" s="157"/>
      <c r="S78" s="157">
        <v>1.9564002235886058E-2</v>
      </c>
      <c r="T78" s="157">
        <v>-1.4996053670086829E-2</v>
      </c>
      <c r="U78" s="157">
        <v>1.5670342426001183E-2</v>
      </c>
      <c r="V78" s="157">
        <v>5.4199999999999998E-2</v>
      </c>
      <c r="W78" s="157"/>
    </row>
    <row r="79" spans="2:23" x14ac:dyDescent="0.25">
      <c r="B79" s="156">
        <v>36770</v>
      </c>
      <c r="C79" s="157">
        <v>2.3E-3</v>
      </c>
      <c r="D79" s="157">
        <v>1.1599999999999999E-2</v>
      </c>
      <c r="E79" s="157">
        <v>6.0429999999999998E-3</v>
      </c>
      <c r="F79" s="157">
        <v>1.2199999999999999E-2</v>
      </c>
      <c r="G79" s="157">
        <v>1.2915026353500059E-2</v>
      </c>
      <c r="H79" s="157"/>
      <c r="I79" s="157"/>
      <c r="J79" s="157"/>
      <c r="K79" s="157"/>
      <c r="L79" s="157"/>
      <c r="M79" s="157"/>
      <c r="N79" s="157"/>
      <c r="O79" s="157"/>
      <c r="P79" s="157"/>
      <c r="Q79" s="157"/>
      <c r="R79" s="157"/>
      <c r="S79" s="157">
        <v>1.0958904109588996E-2</v>
      </c>
      <c r="T79" s="157">
        <v>5.6706114398421548E-3</v>
      </c>
      <c r="U79" s="157">
        <v>8.6455331412103043E-3</v>
      </c>
      <c r="V79" s="157">
        <v>-8.1699999999999995E-2</v>
      </c>
      <c r="W79" s="157"/>
    </row>
    <row r="80" spans="2:23" x14ac:dyDescent="0.25">
      <c r="B80" s="156">
        <v>36800</v>
      </c>
      <c r="C80" s="157">
        <v>1.4000000000000002E-3</v>
      </c>
      <c r="D80" s="157">
        <v>3.8E-3</v>
      </c>
      <c r="E80" s="157">
        <v>6.3219999999999995E-3</v>
      </c>
      <c r="F80" s="157">
        <v>1.2800000000000001E-2</v>
      </c>
      <c r="G80" s="157">
        <v>1.1295109342176257E-2</v>
      </c>
      <c r="H80" s="157"/>
      <c r="I80" s="157"/>
      <c r="J80" s="157"/>
      <c r="K80" s="157"/>
      <c r="L80" s="157"/>
      <c r="M80" s="157"/>
      <c r="N80" s="157"/>
      <c r="O80" s="157"/>
      <c r="P80" s="157"/>
      <c r="Q80" s="157"/>
      <c r="R80" s="157"/>
      <c r="S80" s="157">
        <v>2.5903939557474498E-2</v>
      </c>
      <c r="T80" s="157">
        <v>-5.0870311350821318E-3</v>
      </c>
      <c r="U80" s="157">
        <v>4.0509259259260411E-3</v>
      </c>
      <c r="V80" s="157">
        <v>-6.6600000000000006E-2</v>
      </c>
      <c r="W80" s="157"/>
    </row>
    <row r="81" spans="2:23" x14ac:dyDescent="0.25">
      <c r="B81" s="156">
        <v>36831</v>
      </c>
      <c r="C81" s="157">
        <v>3.2000000000000002E-3</v>
      </c>
      <c r="D81" s="157">
        <v>2.8999999999999998E-3</v>
      </c>
      <c r="E81" s="157">
        <v>6.202E-3</v>
      </c>
      <c r="F81" s="157">
        <v>1.2199999999999999E-2</v>
      </c>
      <c r="G81" s="157">
        <v>1.0587442077650611E-2</v>
      </c>
      <c r="H81" s="157"/>
      <c r="I81" s="157"/>
      <c r="J81" s="157"/>
      <c r="K81" s="157"/>
      <c r="L81" s="157"/>
      <c r="M81" s="157"/>
      <c r="N81" s="157"/>
      <c r="O81" s="157"/>
      <c r="P81" s="157"/>
      <c r="Q81" s="157"/>
      <c r="R81" s="157"/>
      <c r="S81" s="157">
        <v>3.0161206448257927E-2</v>
      </c>
      <c r="T81" s="157">
        <v>5.525780816854553E-2</v>
      </c>
      <c r="U81" s="157">
        <v>2.7745664739884379E-2</v>
      </c>
      <c r="V81" s="157">
        <v>-0.10619999999999999</v>
      </c>
      <c r="W81" s="157"/>
    </row>
    <row r="82" spans="2:23" x14ac:dyDescent="0.25">
      <c r="B82" s="158">
        <v>36861</v>
      </c>
      <c r="C82" s="159">
        <v>5.8999999999999999E-3</v>
      </c>
      <c r="D82" s="159">
        <v>6.3E-3</v>
      </c>
      <c r="E82" s="159">
        <v>5.9950000000000003E-3</v>
      </c>
      <c r="F82" s="159">
        <v>1.1899999999999999E-2</v>
      </c>
      <c r="G82" s="159">
        <v>1.9103032086256189E-2</v>
      </c>
      <c r="H82" s="159"/>
      <c r="I82" s="159"/>
      <c r="J82" s="159"/>
      <c r="K82" s="159"/>
      <c r="L82" s="159"/>
      <c r="M82" s="159"/>
      <c r="N82" s="159"/>
      <c r="O82" s="159"/>
      <c r="P82" s="159"/>
      <c r="Q82" s="159"/>
      <c r="R82" s="159"/>
      <c r="S82" s="159">
        <v>-1.2151898734177213E-2</v>
      </c>
      <c r="T82" s="159">
        <v>7.5131348511383367E-2</v>
      </c>
      <c r="U82" s="159">
        <v>3.9481105470953182E-3</v>
      </c>
      <c r="V82" s="159">
        <v>0.1484</v>
      </c>
      <c r="W82" s="159"/>
    </row>
    <row r="83" spans="2:23" x14ac:dyDescent="0.25">
      <c r="B83" s="156">
        <v>36892</v>
      </c>
      <c r="C83" s="157">
        <v>5.6999999999999993E-3</v>
      </c>
      <c r="D83" s="157">
        <v>6.1999999999999998E-3</v>
      </c>
      <c r="E83" s="157">
        <v>6.3749999999999996E-3</v>
      </c>
      <c r="F83" s="157">
        <v>1.26E-2</v>
      </c>
      <c r="G83" s="157">
        <v>1.7354836175060839E-2</v>
      </c>
      <c r="H83" s="157">
        <v>1.6929037249369783E-2</v>
      </c>
      <c r="I83" s="157">
        <v>2.7647600939161299E-2</v>
      </c>
      <c r="J83" s="157"/>
      <c r="K83" s="157"/>
      <c r="L83" s="157"/>
      <c r="M83" s="157"/>
      <c r="N83" s="157"/>
      <c r="O83" s="157"/>
      <c r="P83" s="157"/>
      <c r="Q83" s="157"/>
      <c r="R83" s="157"/>
      <c r="S83" s="157">
        <v>1.544004117344322E-2</v>
      </c>
      <c r="T83" s="157">
        <v>1.0859531954172663E-3</v>
      </c>
      <c r="U83" s="157">
        <v>-1.6949152542372947E-2</v>
      </c>
      <c r="V83" s="157">
        <v>0.15810000000000002</v>
      </c>
      <c r="W83" s="157"/>
    </row>
    <row r="84" spans="2:23" x14ac:dyDescent="0.25">
      <c r="B84" s="156">
        <v>36923</v>
      </c>
      <c r="C84" s="157">
        <v>4.5999999999999999E-3</v>
      </c>
      <c r="D84" s="157">
        <v>2.3E-3</v>
      </c>
      <c r="E84" s="157">
        <v>5.3690000000000005E-3</v>
      </c>
      <c r="F84" s="157">
        <v>1.01E-2</v>
      </c>
      <c r="G84" s="157">
        <v>6.5937460780245427E-3</v>
      </c>
      <c r="H84" s="157">
        <v>7.549516139920831E-3</v>
      </c>
      <c r="I84" s="157">
        <v>-1.5452621661399268E-3</v>
      </c>
      <c r="J84" s="157"/>
      <c r="K84" s="157"/>
      <c r="L84" s="157"/>
      <c r="M84" s="157"/>
      <c r="N84" s="157"/>
      <c r="O84" s="157"/>
      <c r="P84" s="157"/>
      <c r="Q84" s="157"/>
      <c r="R84" s="157"/>
      <c r="S84" s="157">
        <v>2.8126569563033721E-2</v>
      </c>
      <c r="T84" s="157">
        <v>2.5926126810218664E-2</v>
      </c>
      <c r="U84" s="157">
        <v>-2.7932960893852776E-3</v>
      </c>
      <c r="V84" s="157">
        <v>-0.1007</v>
      </c>
      <c r="W84" s="157"/>
    </row>
    <row r="85" spans="2:23" x14ac:dyDescent="0.25">
      <c r="B85" s="156">
        <v>36951</v>
      </c>
      <c r="C85" s="157">
        <v>3.8E-3</v>
      </c>
      <c r="D85" s="157">
        <v>5.6000000000000008E-3</v>
      </c>
      <c r="E85" s="157">
        <v>6.7320000000000001E-3</v>
      </c>
      <c r="F85" s="157">
        <v>1.2500000000000001E-2</v>
      </c>
      <c r="G85" s="157">
        <v>-9.9744883279317964E-4</v>
      </c>
      <c r="H85" s="157">
        <v>1.2642777302613872E-3</v>
      </c>
      <c r="I85" s="157">
        <v>-2.0920077640356416E-2</v>
      </c>
      <c r="J85" s="157"/>
      <c r="K85" s="157"/>
      <c r="L85" s="157"/>
      <c r="M85" s="157"/>
      <c r="N85" s="157"/>
      <c r="O85" s="157"/>
      <c r="P85" s="157"/>
      <c r="Q85" s="157"/>
      <c r="R85" s="157"/>
      <c r="S85" s="157">
        <v>5.4875061244488155E-2</v>
      </c>
      <c r="T85" s="157">
        <v>5.3925455987311466E-3</v>
      </c>
      <c r="U85" s="157">
        <v>2.2598870056497189E-2</v>
      </c>
      <c r="V85" s="157">
        <v>-9.1400000000000009E-2</v>
      </c>
      <c r="W85" s="157"/>
    </row>
    <row r="86" spans="2:23" x14ac:dyDescent="0.25">
      <c r="B86" s="156">
        <v>36982</v>
      </c>
      <c r="C86" s="157">
        <v>5.7999999999999996E-3</v>
      </c>
      <c r="D86" s="157">
        <v>0.01</v>
      </c>
      <c r="E86" s="157">
        <v>6.5529999999999998E-3</v>
      </c>
      <c r="F86" s="157">
        <v>1.18E-2</v>
      </c>
      <c r="G86" s="157">
        <v>8.3619746164629305E-3</v>
      </c>
      <c r="H86" s="157">
        <v>9.6888661645193608E-3</v>
      </c>
      <c r="I86" s="157">
        <v>-3.6166354421274249E-3</v>
      </c>
      <c r="J86" s="157"/>
      <c r="K86" s="157"/>
      <c r="L86" s="157"/>
      <c r="M86" s="157"/>
      <c r="N86" s="157"/>
      <c r="O86" s="157"/>
      <c r="P86" s="157"/>
      <c r="Q86" s="157"/>
      <c r="R86" s="157"/>
      <c r="S86" s="157">
        <v>1.6158818097876226E-2</v>
      </c>
      <c r="T86" s="157">
        <v>2.0981227322921514E-2</v>
      </c>
      <c r="U86" s="157">
        <v>5.2054794520547842E-2</v>
      </c>
      <c r="V86" s="157">
        <v>3.3099999999999997E-2</v>
      </c>
      <c r="W86" s="157"/>
    </row>
    <row r="87" spans="2:23" x14ac:dyDescent="0.25">
      <c r="B87" s="156">
        <v>37012</v>
      </c>
      <c r="C87" s="157">
        <v>4.0999999999999995E-3</v>
      </c>
      <c r="D87" s="157">
        <v>8.6E-3</v>
      </c>
      <c r="E87" s="157">
        <v>6.8360000000000001E-3</v>
      </c>
      <c r="F87" s="157">
        <v>1.3300000000000001E-2</v>
      </c>
      <c r="G87" s="157">
        <v>1.4328829986766323E-2</v>
      </c>
      <c r="H87" s="157">
        <v>1.5999468053774724E-2</v>
      </c>
      <c r="I87" s="157">
        <v>2.501426459438072E-4</v>
      </c>
      <c r="J87" s="157"/>
      <c r="K87" s="157"/>
      <c r="L87" s="157"/>
      <c r="M87" s="157"/>
      <c r="N87" s="157"/>
      <c r="O87" s="157"/>
      <c r="P87" s="157"/>
      <c r="Q87" s="157"/>
      <c r="R87" s="157"/>
      <c r="S87" s="157">
        <v>6.1215370866845475E-2</v>
      </c>
      <c r="T87" s="157">
        <v>3.0747836835599562E-2</v>
      </c>
      <c r="U87" s="157">
        <v>0.11052631578947381</v>
      </c>
      <c r="V87" s="157">
        <v>-1.7899999999999999E-2</v>
      </c>
      <c r="W87" s="157"/>
    </row>
    <row r="88" spans="2:23" x14ac:dyDescent="0.25">
      <c r="B88" s="156">
        <v>37043</v>
      </c>
      <c r="C88" s="160">
        <v>5.1999999999999998E-3</v>
      </c>
      <c r="D88" s="160">
        <v>9.7999999999999997E-3</v>
      </c>
      <c r="E88" s="160">
        <v>6.4649999999999994E-3</v>
      </c>
      <c r="F88" s="160">
        <v>1.2699999999999999E-2</v>
      </c>
      <c r="G88" s="160">
        <v>1.1319904634965905E-2</v>
      </c>
      <c r="H88" s="160">
        <v>1.1651204099670798E-2</v>
      </c>
      <c r="I88" s="160">
        <v>9.7496528937441873E-3</v>
      </c>
      <c r="J88" s="160"/>
      <c r="K88" s="160"/>
      <c r="L88" s="160"/>
      <c r="M88" s="160"/>
      <c r="N88" s="160"/>
      <c r="O88" s="160"/>
      <c r="P88" s="160"/>
      <c r="Q88" s="160"/>
      <c r="R88" s="160"/>
      <c r="S88" s="160">
        <v>-2.9387069689336798E-2</v>
      </c>
      <c r="T88" s="160">
        <v>-1.8837755458951722E-2</v>
      </c>
      <c r="U88" s="160">
        <v>0</v>
      </c>
      <c r="V88" s="160">
        <v>-6.0999999999999995E-3</v>
      </c>
      <c r="W88" s="160"/>
    </row>
    <row r="89" spans="2:23" x14ac:dyDescent="0.25">
      <c r="B89" s="156">
        <v>37073</v>
      </c>
      <c r="C89" s="157">
        <v>1.3300000000000001E-2</v>
      </c>
      <c r="D89" s="157">
        <v>1.4800000000000001E-2</v>
      </c>
      <c r="E89" s="157">
        <v>7.4529999999999996E-3</v>
      </c>
      <c r="F89" s="157">
        <v>1.4999999999999999E-2</v>
      </c>
      <c r="G89" s="157">
        <v>1.2780294030293904E-2</v>
      </c>
      <c r="H89" s="157">
        <v>1.3267619099550432E-2</v>
      </c>
      <c r="I89" s="157">
        <v>-3.6922497205812421E-3</v>
      </c>
      <c r="J89" s="157"/>
      <c r="K89" s="157"/>
      <c r="L89" s="157"/>
      <c r="M89" s="157"/>
      <c r="N89" s="157"/>
      <c r="O89" s="157"/>
      <c r="P89" s="157"/>
      <c r="Q89" s="157"/>
      <c r="R89" s="157"/>
      <c r="S89" s="157">
        <v>5.9176672384219753E-2</v>
      </c>
      <c r="T89" s="157">
        <v>8.6168262375229121E-2</v>
      </c>
      <c r="U89" s="157">
        <v>3.8240917782026429E-3</v>
      </c>
      <c r="V89" s="157">
        <v>-5.5300000000000002E-2</v>
      </c>
      <c r="W89" s="157"/>
    </row>
    <row r="90" spans="2:23" x14ac:dyDescent="0.25">
      <c r="B90" s="156">
        <v>37104</v>
      </c>
      <c r="C90" s="157">
        <v>6.9999999999999993E-3</v>
      </c>
      <c r="D90" s="157">
        <v>1.38E-2</v>
      </c>
      <c r="E90" s="157">
        <v>8.4530000000000004E-3</v>
      </c>
      <c r="F90" s="157">
        <v>1.6E-2</v>
      </c>
      <c r="G90" s="157">
        <v>2.5705409591187722E-2</v>
      </c>
      <c r="H90" s="157">
        <v>2.557599201213101E-2</v>
      </c>
      <c r="I90" s="157">
        <v>3.5219011847529957E-2</v>
      </c>
      <c r="J90" s="157"/>
      <c r="K90" s="157"/>
      <c r="L90" s="157"/>
      <c r="M90" s="157"/>
      <c r="N90" s="157"/>
      <c r="O90" s="157"/>
      <c r="P90" s="157"/>
      <c r="Q90" s="157"/>
      <c r="R90" s="157"/>
      <c r="S90" s="157">
        <v>2.8056112224448926E-2</v>
      </c>
      <c r="T90" s="157">
        <v>9.2741935483870996E-2</v>
      </c>
      <c r="U90" s="157">
        <v>6.9124423963133896E-3</v>
      </c>
      <c r="V90" s="157">
        <v>-6.6400000000000001E-2</v>
      </c>
      <c r="W90" s="157"/>
    </row>
    <row r="91" spans="2:23" x14ac:dyDescent="0.25">
      <c r="B91" s="156">
        <v>37135</v>
      </c>
      <c r="C91" s="157">
        <v>2.8000000000000004E-3</v>
      </c>
      <c r="D91" s="157">
        <v>3.0999999999999999E-3</v>
      </c>
      <c r="E91" s="157">
        <v>6.6349999999999994E-3</v>
      </c>
      <c r="F91" s="157">
        <v>1.32E-2</v>
      </c>
      <c r="G91" s="157">
        <v>1.3893107946321592E-2</v>
      </c>
      <c r="H91" s="157">
        <v>1.4114951640548323E-2</v>
      </c>
      <c r="I91" s="157">
        <v>-3.2540622865934177E-3</v>
      </c>
      <c r="J91" s="157"/>
      <c r="K91" s="157"/>
      <c r="L91" s="157"/>
      <c r="M91" s="157"/>
      <c r="N91" s="157"/>
      <c r="O91" s="157"/>
      <c r="P91" s="157"/>
      <c r="Q91" s="157"/>
      <c r="R91" s="157"/>
      <c r="S91" s="157">
        <v>4.0919719407638278E-2</v>
      </c>
      <c r="T91" s="157">
        <v>4.5138590920792865E-2</v>
      </c>
      <c r="U91" s="157">
        <v>0.13242009132420107</v>
      </c>
      <c r="V91" s="157">
        <v>-0.17170000000000002</v>
      </c>
      <c r="W91" s="157"/>
    </row>
    <row r="92" spans="2:23" x14ac:dyDescent="0.25">
      <c r="B92" s="156">
        <v>37165</v>
      </c>
      <c r="C92" s="157">
        <v>8.3000000000000001E-3</v>
      </c>
      <c r="D92" s="157">
        <v>1.18E-2</v>
      </c>
      <c r="E92" s="157">
        <v>7.927E-3</v>
      </c>
      <c r="F92" s="157">
        <v>1.5300000000000001E-2</v>
      </c>
      <c r="G92" s="157">
        <v>2.0875741313523877E-2</v>
      </c>
      <c r="H92" s="157">
        <v>2.0483839385670555E-2</v>
      </c>
      <c r="I92" s="157">
        <v>4.751091550927744E-2</v>
      </c>
      <c r="J92" s="157"/>
      <c r="K92" s="157"/>
      <c r="L92" s="157"/>
      <c r="M92" s="157"/>
      <c r="N92" s="157"/>
      <c r="O92" s="157"/>
      <c r="P92" s="157"/>
      <c r="Q92" s="157"/>
      <c r="R92" s="157"/>
      <c r="S92" s="157">
        <v>7.4654721911160404E-3</v>
      </c>
      <c r="T92" s="157">
        <v>2.4222021512438907E-3</v>
      </c>
      <c r="U92" s="157">
        <v>-5.2000000000000046E-2</v>
      </c>
      <c r="V92" s="157">
        <v>6.8499999999999991E-2</v>
      </c>
      <c r="W92" s="157"/>
    </row>
    <row r="93" spans="2:23" x14ac:dyDescent="0.25">
      <c r="B93" s="156">
        <v>37196</v>
      </c>
      <c r="C93" s="157">
        <v>7.0999999999999995E-3</v>
      </c>
      <c r="D93" s="157">
        <v>1.1000000000000001E-2</v>
      </c>
      <c r="E93" s="157">
        <v>6.9369999999999996E-3</v>
      </c>
      <c r="F93" s="157">
        <v>1.3899999999999999E-2</v>
      </c>
      <c r="G93" s="157">
        <v>1.7686663789382884E-2</v>
      </c>
      <c r="H93" s="157">
        <v>1.7411254093336215E-2</v>
      </c>
      <c r="I93" s="157">
        <v>3.8241867056513446E-2</v>
      </c>
      <c r="J93" s="157"/>
      <c r="K93" s="157"/>
      <c r="L93" s="157"/>
      <c r="M93" s="157"/>
      <c r="N93" s="157"/>
      <c r="O93" s="157"/>
      <c r="P93" s="157"/>
      <c r="Q93" s="157"/>
      <c r="R93" s="157"/>
      <c r="S93" s="157">
        <v>-6.6915887850467204E-2</v>
      </c>
      <c r="T93" s="157">
        <v>-7.0074128680837178E-2</v>
      </c>
      <c r="U93" s="157">
        <v>-8.333333333333337E-2</v>
      </c>
      <c r="V93" s="157">
        <v>0.13780000000000001</v>
      </c>
      <c r="W93" s="157"/>
    </row>
    <row r="94" spans="2:23" x14ac:dyDescent="0.25">
      <c r="B94" s="158">
        <v>37226</v>
      </c>
      <c r="C94" s="159">
        <v>6.5000000000000006E-3</v>
      </c>
      <c r="D94" s="159">
        <v>2.2000000000000001E-3</v>
      </c>
      <c r="E94" s="159">
        <v>6.9920000000000008E-3</v>
      </c>
      <c r="F94" s="159">
        <v>1.3899999999999999E-2</v>
      </c>
      <c r="G94" s="159">
        <v>1.8948421954384509E-2</v>
      </c>
      <c r="H94" s="159">
        <v>1.8164617980248376E-2</v>
      </c>
      <c r="I94" s="159">
        <v>4.9890907548819863E-2</v>
      </c>
      <c r="J94" s="159"/>
      <c r="K94" s="159"/>
      <c r="L94" s="159"/>
      <c r="M94" s="159"/>
      <c r="N94" s="159"/>
      <c r="O94" s="159"/>
      <c r="P94" s="159"/>
      <c r="Q94" s="159"/>
      <c r="R94" s="159"/>
      <c r="S94" s="159">
        <v>-5.584997961679572E-2</v>
      </c>
      <c r="T94" s="159">
        <v>-9.1165330749581552E-2</v>
      </c>
      <c r="U94" s="159">
        <v>-1.3761467889908285E-2</v>
      </c>
      <c r="V94" s="159">
        <v>4.99E-2</v>
      </c>
      <c r="W94" s="159"/>
    </row>
    <row r="95" spans="2:23" x14ac:dyDescent="0.25">
      <c r="B95" s="156">
        <v>37257</v>
      </c>
      <c r="C95" s="157">
        <v>5.1999999999999998E-3</v>
      </c>
      <c r="D95" s="157">
        <v>3.5999999999999999E-3</v>
      </c>
      <c r="E95" s="157">
        <v>7.6029999999999995E-3</v>
      </c>
      <c r="F95" s="157">
        <v>1.5300000000000001E-2</v>
      </c>
      <c r="G95" s="157">
        <v>1.5532784497182428E-2</v>
      </c>
      <c r="H95" s="157">
        <v>1.5497427614185488E-2</v>
      </c>
      <c r="I95" s="157">
        <v>1.6469807833163541E-2</v>
      </c>
      <c r="J95" s="157"/>
      <c r="K95" s="157"/>
      <c r="L95" s="157"/>
      <c r="M95" s="157"/>
      <c r="N95" s="157"/>
      <c r="O95" s="157"/>
      <c r="P95" s="157"/>
      <c r="Q95" s="157"/>
      <c r="R95" s="157"/>
      <c r="S95" s="157">
        <v>4.7743055555555802E-2</v>
      </c>
      <c r="T95" s="157">
        <v>9.1587516960651705E-3</v>
      </c>
      <c r="U95" s="157">
        <v>5.5813953488372148E-2</v>
      </c>
      <c r="V95" s="157">
        <v>-6.3E-2</v>
      </c>
      <c r="W95" s="157"/>
    </row>
    <row r="96" spans="2:23" x14ac:dyDescent="0.25">
      <c r="B96" s="156">
        <v>37288</v>
      </c>
      <c r="C96" s="157">
        <v>3.5999999999999999E-3</v>
      </c>
      <c r="D96" s="157">
        <v>5.9999999999999995E-4</v>
      </c>
      <c r="E96" s="157">
        <v>6.1770000000000002E-3</v>
      </c>
      <c r="F96" s="157">
        <v>1.2500000000000001E-2</v>
      </c>
      <c r="G96" s="157">
        <v>1.6180460495577753E-2</v>
      </c>
      <c r="H96" s="157">
        <v>1.4929995248404104E-2</v>
      </c>
      <c r="I96" s="157">
        <v>2.9649484134052884E-2</v>
      </c>
      <c r="J96" s="157"/>
      <c r="K96" s="157"/>
      <c r="L96" s="157"/>
      <c r="M96" s="157"/>
      <c r="N96" s="157"/>
      <c r="O96" s="157"/>
      <c r="P96" s="157"/>
      <c r="Q96" s="157"/>
      <c r="R96" s="157"/>
      <c r="S96" s="157">
        <v>-1.8672199170124415E-2</v>
      </c>
      <c r="T96" s="157">
        <v>-1.8391356542617032E-2</v>
      </c>
      <c r="U96" s="157">
        <v>-2.1505376344086002E-2</v>
      </c>
      <c r="V96" s="157">
        <v>0.10310000000000001</v>
      </c>
      <c r="W96" s="157"/>
    </row>
    <row r="97" spans="2:23" x14ac:dyDescent="0.25">
      <c r="B97" s="156">
        <v>37316</v>
      </c>
      <c r="C97" s="157">
        <v>6.0000000000000001E-3</v>
      </c>
      <c r="D97" s="157">
        <v>8.9999999999999998E-4</v>
      </c>
      <c r="E97" s="157">
        <v>6.7669999999999996E-3</v>
      </c>
      <c r="F97" s="157">
        <v>1.37E-2</v>
      </c>
      <c r="G97" s="157">
        <v>1.4720947303041854E-2</v>
      </c>
      <c r="H97" s="157">
        <v>1.4059943702611433E-2</v>
      </c>
      <c r="I97" s="157">
        <v>2.1242150157785522E-2</v>
      </c>
      <c r="J97" s="157"/>
      <c r="K97" s="157"/>
      <c r="L97" s="157"/>
      <c r="M97" s="157"/>
      <c r="N97" s="157"/>
      <c r="O97" s="157"/>
      <c r="P97" s="157"/>
      <c r="Q97" s="157"/>
      <c r="R97" s="157"/>
      <c r="S97" s="157">
        <v>-8.5287846481876262E-3</v>
      </c>
      <c r="T97" s="157">
        <v>-8.9032384306820811E-3</v>
      </c>
      <c r="U97" s="157">
        <v>1.103265666372466E-2</v>
      </c>
      <c r="V97" s="157">
        <v>-5.5399999999999998E-2</v>
      </c>
      <c r="W97" s="157"/>
    </row>
    <row r="98" spans="2:23" x14ac:dyDescent="0.25">
      <c r="B98" s="156">
        <v>37347</v>
      </c>
      <c r="C98" s="157">
        <v>8.0000000000000002E-3</v>
      </c>
      <c r="D98" s="157">
        <v>5.6000000000000008E-3</v>
      </c>
      <c r="E98" s="157">
        <v>7.3689999999999997E-3</v>
      </c>
      <c r="F98" s="157">
        <v>1.4800000000000001E-2</v>
      </c>
      <c r="G98" s="157">
        <v>1.2090812254566874E-2</v>
      </c>
      <c r="H98" s="157">
        <v>1.2349021614052491E-2</v>
      </c>
      <c r="I98" s="157">
        <v>-1.7929778404189078E-2</v>
      </c>
      <c r="J98" s="157"/>
      <c r="K98" s="157"/>
      <c r="L98" s="157"/>
      <c r="M98" s="157"/>
      <c r="N98" s="157"/>
      <c r="O98" s="157"/>
      <c r="P98" s="157"/>
      <c r="Q98" s="157"/>
      <c r="R98" s="157"/>
      <c r="S98" s="157">
        <v>2.517361111111116E-2</v>
      </c>
      <c r="T98" s="157">
        <v>5.1036525172754255E-2</v>
      </c>
      <c r="U98" s="157">
        <v>6.2780269058295923E-2</v>
      </c>
      <c r="V98" s="157">
        <v>-1.2699999999999999E-2</v>
      </c>
      <c r="W98" s="157"/>
    </row>
    <row r="99" spans="2:23" x14ac:dyDescent="0.25">
      <c r="B99" s="156">
        <v>37377</v>
      </c>
      <c r="C99" s="157">
        <v>2.0999999999999999E-3</v>
      </c>
      <c r="D99" s="157">
        <v>8.3000000000000001E-3</v>
      </c>
      <c r="E99" s="157">
        <v>7.1130000000000004E-3</v>
      </c>
      <c r="F99" s="157">
        <v>1.3999999999999999E-2</v>
      </c>
      <c r="G99" s="157">
        <v>1.5496508769311745E-2</v>
      </c>
      <c r="H99" s="157">
        <v>1.5589039598486121E-2</v>
      </c>
      <c r="I99" s="157">
        <v>1.2198138583334739E-3</v>
      </c>
      <c r="J99" s="157"/>
      <c r="K99" s="157"/>
      <c r="L99" s="157"/>
      <c r="M99" s="157"/>
      <c r="N99" s="157"/>
      <c r="O99" s="157"/>
      <c r="P99" s="157"/>
      <c r="Q99" s="157"/>
      <c r="R99" s="157"/>
      <c r="S99" s="157">
        <v>5.0083472454090172E-2</v>
      </c>
      <c r="T99" s="157">
        <v>0.10819949281487751</v>
      </c>
      <c r="U99" s="157">
        <v>9.4650205761316997E-2</v>
      </c>
      <c r="V99" s="157">
        <v>-1.7000000000000001E-2</v>
      </c>
      <c r="W99" s="157"/>
    </row>
    <row r="100" spans="2:23" x14ac:dyDescent="0.25">
      <c r="B100" s="156">
        <v>37408</v>
      </c>
      <c r="C100" s="160">
        <v>4.1999999999999997E-3</v>
      </c>
      <c r="D100" s="160">
        <v>1.54E-2</v>
      </c>
      <c r="E100" s="160">
        <v>6.5900000000000004E-3</v>
      </c>
      <c r="F100" s="160">
        <v>1.3100000000000001E-2</v>
      </c>
      <c r="G100" s="160">
        <v>6.8062989202721802E-4</v>
      </c>
      <c r="H100" s="160">
        <v>1.1328916855650739E-3</v>
      </c>
      <c r="I100" s="160">
        <v>-6.7840631217721326E-2</v>
      </c>
      <c r="J100" s="160"/>
      <c r="K100" s="160"/>
      <c r="L100" s="160"/>
      <c r="M100" s="160"/>
      <c r="N100" s="160"/>
      <c r="O100" s="160"/>
      <c r="P100" s="160"/>
      <c r="Q100" s="160"/>
      <c r="R100" s="160"/>
      <c r="S100" s="160">
        <v>0.11198738170347</v>
      </c>
      <c r="T100" s="160">
        <v>0.19692346809051631</v>
      </c>
      <c r="U100" s="160">
        <v>7.8066914498141404E-2</v>
      </c>
      <c r="V100" s="160">
        <v>-0.13390000000000002</v>
      </c>
      <c r="W100" s="160"/>
    </row>
    <row r="101" spans="2:23" x14ac:dyDescent="0.25">
      <c r="B101" s="156">
        <v>37438</v>
      </c>
      <c r="C101" s="157">
        <v>1.1899999999999999E-2</v>
      </c>
      <c r="D101" s="157">
        <v>1.95E-2</v>
      </c>
      <c r="E101" s="157">
        <v>7.6690000000000005E-3</v>
      </c>
      <c r="F101" s="157">
        <v>1.5300000000000001E-2</v>
      </c>
      <c r="G101" s="157">
        <v>1.2521255217189609E-2</v>
      </c>
      <c r="H101" s="157">
        <v>1.2632507377479341E-2</v>
      </c>
      <c r="I101" s="157">
        <v>-5.7128859717731073E-3</v>
      </c>
      <c r="J101" s="157"/>
      <c r="K101" s="157"/>
      <c r="L101" s="157"/>
      <c r="M101" s="157"/>
      <c r="N101" s="157"/>
      <c r="O101" s="157"/>
      <c r="P101" s="157"/>
      <c r="Q101" s="157"/>
      <c r="R101" s="157"/>
      <c r="S101" s="157">
        <v>0.19820441988950277</v>
      </c>
      <c r="T101" s="157">
        <v>0.18881217914675164</v>
      </c>
      <c r="U101" s="157">
        <v>0.1739864864864864</v>
      </c>
      <c r="V101" s="157">
        <v>-0.1235</v>
      </c>
      <c r="W101" s="157"/>
    </row>
    <row r="102" spans="2:23" x14ac:dyDescent="0.25">
      <c r="B102" s="156">
        <v>37469</v>
      </c>
      <c r="C102" s="157">
        <v>6.5000000000000006E-3</v>
      </c>
      <c r="D102" s="157">
        <v>2.3199999999999998E-2</v>
      </c>
      <c r="E102" s="157">
        <v>7.4929999999999997E-3</v>
      </c>
      <c r="F102" s="157">
        <v>1.4499999999999999E-2</v>
      </c>
      <c r="G102" s="157">
        <v>3.0580152671755734E-2</v>
      </c>
      <c r="H102" s="157">
        <v>3.0141419531984015E-2</v>
      </c>
      <c r="I102" s="157">
        <v>9.2640220828764441E-2</v>
      </c>
      <c r="J102" s="157"/>
      <c r="K102" s="157"/>
      <c r="L102" s="157"/>
      <c r="M102" s="157"/>
      <c r="N102" s="157"/>
      <c r="O102" s="157"/>
      <c r="P102" s="157"/>
      <c r="Q102" s="157"/>
      <c r="R102" s="157"/>
      <c r="S102" s="157">
        <v>-4.140127388535042E-2</v>
      </c>
      <c r="T102" s="157">
        <v>-0.11442015605455957</v>
      </c>
      <c r="U102" s="157">
        <v>-2.8213166144200552E-2</v>
      </c>
      <c r="V102" s="157">
        <v>6.3399999999999998E-2</v>
      </c>
      <c r="W102" s="157"/>
    </row>
    <row r="103" spans="2:23" x14ac:dyDescent="0.25">
      <c r="B103" s="156">
        <v>37500</v>
      </c>
      <c r="C103" s="157">
        <v>7.1999999999999998E-3</v>
      </c>
      <c r="D103" s="157">
        <v>2.4E-2</v>
      </c>
      <c r="E103" s="157">
        <v>6.9649999999999998E-3</v>
      </c>
      <c r="F103" s="157">
        <v>1.38E-2</v>
      </c>
      <c r="G103" s="157">
        <v>1.0303245781668968E-2</v>
      </c>
      <c r="H103" s="157">
        <v>1.0851060882324237E-2</v>
      </c>
      <c r="I103" s="157">
        <v>-5.2855951733666973E-2</v>
      </c>
      <c r="J103" s="157"/>
      <c r="K103" s="157"/>
      <c r="L103" s="157"/>
      <c r="M103" s="157"/>
      <c r="N103" s="157"/>
      <c r="O103" s="157"/>
      <c r="P103" s="157"/>
      <c r="Q103" s="157"/>
      <c r="R103" s="157"/>
      <c r="S103" s="157">
        <v>0.22795558458523835</v>
      </c>
      <c r="T103" s="157">
        <v>0.2959375840731775</v>
      </c>
      <c r="U103" s="157">
        <v>0.19617224880382778</v>
      </c>
      <c r="V103" s="157">
        <v>-0.16940000000000002</v>
      </c>
      <c r="W103" s="157"/>
    </row>
    <row r="104" spans="2:23" x14ac:dyDescent="0.25">
      <c r="B104" s="156">
        <v>37530</v>
      </c>
      <c r="C104" s="157">
        <v>1.3100000000000001E-2</v>
      </c>
      <c r="D104" s="157">
        <v>3.8699999999999998E-2</v>
      </c>
      <c r="E104" s="157">
        <v>7.7819999999999999E-3</v>
      </c>
      <c r="F104" s="157">
        <v>1.6399999999999998E-2</v>
      </c>
      <c r="G104" s="157">
        <v>1.7485721826726364E-2</v>
      </c>
      <c r="H104" s="157">
        <v>1.7336444152623587E-2</v>
      </c>
      <c r="I104" s="157">
        <v>3.5120266159219371E-2</v>
      </c>
      <c r="J104" s="157"/>
      <c r="K104" s="157"/>
      <c r="L104" s="157"/>
      <c r="M104" s="157"/>
      <c r="N104" s="157"/>
      <c r="O104" s="157"/>
      <c r="P104" s="157"/>
      <c r="Q104" s="157"/>
      <c r="R104" s="157"/>
      <c r="S104" s="157">
        <v>5.5401662049860967E-3</v>
      </c>
      <c r="T104" s="157">
        <v>-6.2071828939173845E-2</v>
      </c>
      <c r="U104" s="157">
        <v>-4.0871934604904681E-2</v>
      </c>
      <c r="V104" s="157">
        <v>0.17920000000000003</v>
      </c>
      <c r="W104" s="157"/>
    </row>
    <row r="105" spans="2:23" x14ac:dyDescent="0.25">
      <c r="B105" s="156">
        <v>37561</v>
      </c>
      <c r="C105" s="157">
        <v>3.0200000000000001E-2</v>
      </c>
      <c r="D105" s="157">
        <v>5.1900000000000002E-2</v>
      </c>
      <c r="E105" s="157">
        <v>7.6570000000000006E-3</v>
      </c>
      <c r="F105" s="157">
        <v>1.5300000000000001E-2</v>
      </c>
      <c r="G105" s="157">
        <v>1.7559914109898989E-2</v>
      </c>
      <c r="H105" s="157">
        <v>1.7455931163460781E-2</v>
      </c>
      <c r="I105" s="157">
        <v>1.7832524134326677E-2</v>
      </c>
      <c r="J105" s="157"/>
      <c r="K105" s="157"/>
      <c r="L105" s="157"/>
      <c r="M105" s="157"/>
      <c r="N105" s="157"/>
      <c r="O105" s="157"/>
      <c r="P105" s="157"/>
      <c r="Q105" s="157"/>
      <c r="R105" s="157"/>
      <c r="S105" s="157">
        <v>1.5277777777777724E-2</v>
      </c>
      <c r="T105" s="157">
        <v>2.1027003098716968E-3</v>
      </c>
      <c r="U105" s="157">
        <v>1.0820435556772923E-2</v>
      </c>
      <c r="V105" s="157">
        <v>3.3500000000000002E-2</v>
      </c>
      <c r="W105" s="157"/>
    </row>
    <row r="106" spans="2:23" x14ac:dyDescent="0.25">
      <c r="B106" s="158">
        <v>37591</v>
      </c>
      <c r="C106" s="159">
        <v>2.1000000000000001E-2</v>
      </c>
      <c r="D106" s="159">
        <v>3.7499999999999999E-2</v>
      </c>
      <c r="E106" s="159">
        <v>8.627000000000001E-3</v>
      </c>
      <c r="F106" s="159">
        <v>1.7299999999999999E-2</v>
      </c>
      <c r="G106" s="159">
        <v>2.1250681565511798E-2</v>
      </c>
      <c r="H106" s="159">
        <v>2.0396637272213525E-2</v>
      </c>
      <c r="I106" s="159">
        <v>5.1679620478548793E-2</v>
      </c>
      <c r="J106" s="159"/>
      <c r="K106" s="159"/>
      <c r="L106" s="159"/>
      <c r="M106" s="159"/>
      <c r="N106" s="159"/>
      <c r="O106" s="159"/>
      <c r="P106" s="159"/>
      <c r="Q106" s="159"/>
      <c r="R106" s="159"/>
      <c r="S106" s="159">
        <v>-2.4255788313120252E-2</v>
      </c>
      <c r="T106" s="159">
        <v>2.1866372170071813E-2</v>
      </c>
      <c r="U106" s="159">
        <v>6.7215363511659687E-2</v>
      </c>
      <c r="V106" s="159">
        <v>7.22E-2</v>
      </c>
      <c r="W106" s="159"/>
    </row>
    <row r="107" spans="2:23" x14ac:dyDescent="0.25">
      <c r="B107" s="156">
        <v>37622</v>
      </c>
      <c r="C107" s="157">
        <v>2.2499999999999999E-2</v>
      </c>
      <c r="D107" s="157">
        <v>2.3300000000000001E-2</v>
      </c>
      <c r="E107" s="157">
        <v>9.9019999999999993E-3</v>
      </c>
      <c r="F107" s="157">
        <v>1.9699999999999999E-2</v>
      </c>
      <c r="G107" s="157">
        <v>2.2264595756483097E-2</v>
      </c>
      <c r="H107" s="157">
        <v>2.1746328850210439E-2</v>
      </c>
      <c r="I107" s="157">
        <v>3.9916300804935911E-2</v>
      </c>
      <c r="J107" s="157"/>
      <c r="K107" s="157"/>
      <c r="L107" s="157"/>
      <c r="M107" s="157"/>
      <c r="N107" s="157"/>
      <c r="O107" s="157"/>
      <c r="P107" s="157"/>
      <c r="Q107" s="157"/>
      <c r="R107" s="157"/>
      <c r="S107" s="157">
        <v>-4.2492917847024581E-3</v>
      </c>
      <c r="T107" s="157">
        <v>2.6099643358910685E-2</v>
      </c>
      <c r="U107" s="157">
        <v>4.6272493573264795E-2</v>
      </c>
      <c r="V107" s="157">
        <v>-2.8999999999999998E-2</v>
      </c>
      <c r="W107" s="157"/>
    </row>
    <row r="108" spans="2:23" x14ac:dyDescent="0.25">
      <c r="B108" s="156">
        <v>37653</v>
      </c>
      <c r="C108" s="157">
        <v>1.5700000000000002E-2</v>
      </c>
      <c r="D108" s="157">
        <v>2.2799999999999997E-2</v>
      </c>
      <c r="E108" s="157">
        <v>9.1369999999999993E-3</v>
      </c>
      <c r="F108" s="157">
        <v>1.83E-2</v>
      </c>
      <c r="G108" s="157">
        <v>1.8822364360276955E-2</v>
      </c>
      <c r="H108" s="157">
        <v>1.8823249831909861E-2</v>
      </c>
      <c r="I108" s="157">
        <v>1.8823249408913112E-2</v>
      </c>
      <c r="J108" s="157"/>
      <c r="K108" s="157"/>
      <c r="L108" s="157"/>
      <c r="M108" s="157"/>
      <c r="N108" s="157"/>
      <c r="O108" s="157"/>
      <c r="P108" s="157"/>
      <c r="Q108" s="157"/>
      <c r="R108" s="157"/>
      <c r="S108" s="157">
        <v>1.7069701280227667E-2</v>
      </c>
      <c r="T108" s="157">
        <v>1.4719047869819368E-2</v>
      </c>
      <c r="U108" s="157">
        <v>-5.727923627684961E-2</v>
      </c>
      <c r="V108" s="157">
        <v>-6.0299999999999999E-2</v>
      </c>
      <c r="W108" s="157"/>
    </row>
    <row r="109" spans="2:23" x14ac:dyDescent="0.25">
      <c r="B109" s="156">
        <v>37681</v>
      </c>
      <c r="C109" s="157">
        <v>1.23E-2</v>
      </c>
      <c r="D109" s="157">
        <v>1.5300000000000001E-2</v>
      </c>
      <c r="E109" s="157">
        <v>8.8009999999999998E-3</v>
      </c>
      <c r="F109" s="157">
        <v>1.77E-2</v>
      </c>
      <c r="G109" s="157">
        <v>1.9180325686057875E-2</v>
      </c>
      <c r="H109" s="157">
        <v>1.9183812267892231E-2</v>
      </c>
      <c r="I109" s="157">
        <v>1.9183812797743505E-2</v>
      </c>
      <c r="J109" s="157"/>
      <c r="K109" s="157"/>
      <c r="L109" s="157"/>
      <c r="M109" s="157"/>
      <c r="N109" s="157"/>
      <c r="O109" s="157"/>
      <c r="P109" s="157"/>
      <c r="Q109" s="157"/>
      <c r="R109" s="157"/>
      <c r="S109" s="157">
        <v>-5.5993247045582395E-2</v>
      </c>
      <c r="T109" s="157">
        <v>-4.8576692529257559E-2</v>
      </c>
      <c r="U109" s="157">
        <v>-0.1108343711083436</v>
      </c>
      <c r="V109" s="157">
        <v>9.6500000000000002E-2</v>
      </c>
      <c r="W109" s="157"/>
    </row>
    <row r="110" spans="2:23" x14ac:dyDescent="0.25">
      <c r="B110" s="156">
        <v>37712</v>
      </c>
      <c r="C110" s="157">
        <v>9.7000000000000003E-3</v>
      </c>
      <c r="D110" s="157">
        <v>9.1999999999999998E-3</v>
      </c>
      <c r="E110" s="157">
        <v>9.2049999999999996E-3</v>
      </c>
      <c r="F110" s="157">
        <v>1.8700000000000001E-2</v>
      </c>
      <c r="G110" s="157">
        <v>2.8480537210867185E-2</v>
      </c>
      <c r="H110" s="157">
        <v>2.7844172950630242E-2</v>
      </c>
      <c r="I110" s="157">
        <v>4.2363118623534479E-2</v>
      </c>
      <c r="J110" s="157"/>
      <c r="K110" s="157"/>
      <c r="L110" s="157"/>
      <c r="M110" s="157"/>
      <c r="N110" s="157"/>
      <c r="O110" s="157"/>
      <c r="P110" s="157"/>
      <c r="Q110" s="157"/>
      <c r="R110" s="157"/>
      <c r="S110" s="157">
        <v>-0.12134017506791428</v>
      </c>
      <c r="T110" s="157">
        <v>-0.11785081140051823</v>
      </c>
      <c r="U110" s="157">
        <v>-0.11111111111111105</v>
      </c>
      <c r="V110" s="157">
        <v>0.11380000000000001</v>
      </c>
      <c r="W110" s="157"/>
    </row>
    <row r="111" spans="2:23" x14ac:dyDescent="0.25">
      <c r="B111" s="156">
        <v>37742</v>
      </c>
      <c r="C111" s="157">
        <v>6.0999999999999995E-3</v>
      </c>
      <c r="D111" s="157">
        <v>-2.5999999999999999E-3</v>
      </c>
      <c r="E111" s="157">
        <v>9.673000000000001E-3</v>
      </c>
      <c r="F111" s="157">
        <v>1.9599999999999999E-2</v>
      </c>
      <c r="G111" s="157">
        <v>1.664687164569667E-2</v>
      </c>
      <c r="H111" s="157">
        <v>1.6519773090516221E-2</v>
      </c>
      <c r="I111" s="157">
        <v>2.340428612014045E-2</v>
      </c>
      <c r="J111" s="157"/>
      <c r="K111" s="157"/>
      <c r="L111" s="157"/>
      <c r="M111" s="157"/>
      <c r="N111" s="157"/>
      <c r="O111" s="157"/>
      <c r="P111" s="157"/>
      <c r="Q111" s="157"/>
      <c r="R111" s="157"/>
      <c r="S111" s="157">
        <v>1.0118043844857816E-3</v>
      </c>
      <c r="T111" s="157">
        <v>8.1746228048478864E-2</v>
      </c>
      <c r="U111" s="157">
        <v>9.7178683385579889E-2</v>
      </c>
      <c r="V111" s="157">
        <v>6.88E-2</v>
      </c>
      <c r="W111" s="157"/>
    </row>
    <row r="112" spans="2:23" x14ac:dyDescent="0.25">
      <c r="B112" s="156">
        <v>37773</v>
      </c>
      <c r="C112" s="160">
        <v>-1.5E-3</v>
      </c>
      <c r="D112" s="160">
        <v>-0.01</v>
      </c>
      <c r="E112" s="160">
        <v>9.186999999999999E-3</v>
      </c>
      <c r="F112" s="160">
        <v>1.8500000000000003E-2</v>
      </c>
      <c r="G112" s="160">
        <v>2.2915261014068822E-2</v>
      </c>
      <c r="H112" s="160">
        <v>2.2203753424084871E-2</v>
      </c>
      <c r="I112" s="160">
        <v>2.7228576643149927E-2</v>
      </c>
      <c r="J112" s="160"/>
      <c r="K112" s="160"/>
      <c r="L112" s="160"/>
      <c r="M112" s="160"/>
      <c r="N112" s="160"/>
      <c r="O112" s="160"/>
      <c r="P112" s="160"/>
      <c r="Q112" s="160"/>
      <c r="R112" s="160"/>
      <c r="S112" s="160">
        <v>-4.5637583892617517E-2</v>
      </c>
      <c r="T112" s="160">
        <v>-5.3646964673602415E-2</v>
      </c>
      <c r="U112" s="160">
        <v>-8.085106382978724E-2</v>
      </c>
      <c r="V112" s="160">
        <v>-3.3399999999999999E-2</v>
      </c>
      <c r="W112" s="160"/>
    </row>
    <row r="113" spans="2:23" x14ac:dyDescent="0.25">
      <c r="B113" s="156">
        <v>37803</v>
      </c>
      <c r="C113" s="157">
        <v>2E-3</v>
      </c>
      <c r="D113" s="157">
        <v>-4.1999999999999997E-3</v>
      </c>
      <c r="E113" s="157">
        <v>1.0492E-2</v>
      </c>
      <c r="F113" s="157">
        <v>2.0799999999999999E-2</v>
      </c>
      <c r="G113" s="157">
        <v>2.2450774417354769E-2</v>
      </c>
      <c r="H113" s="157">
        <v>2.2209101312965496E-2</v>
      </c>
      <c r="I113" s="157">
        <v>2.4042688976895654E-2</v>
      </c>
      <c r="J113" s="157"/>
      <c r="K113" s="157"/>
      <c r="L113" s="157"/>
      <c r="M113" s="157"/>
      <c r="N113" s="157"/>
      <c r="O113" s="157"/>
      <c r="P113" s="157"/>
      <c r="Q113" s="157"/>
      <c r="R113" s="157"/>
      <c r="S113" s="157">
        <v>4.6159267089499467E-2</v>
      </c>
      <c r="T113" s="157">
        <v>8.0033825616865339E-3</v>
      </c>
      <c r="U113" s="157">
        <v>4.0341085271317967E-2</v>
      </c>
      <c r="V113" s="157">
        <v>4.6100000000000002E-2</v>
      </c>
      <c r="W113" s="157"/>
    </row>
    <row r="114" spans="2:23" x14ac:dyDescent="0.25">
      <c r="B114" s="156">
        <v>37834</v>
      </c>
      <c r="C114" s="157">
        <v>3.4000000000000002E-3</v>
      </c>
      <c r="D114" s="157">
        <v>3.8E-3</v>
      </c>
      <c r="E114" s="157">
        <v>9.0580000000000001E-3</v>
      </c>
      <c r="F114" s="157">
        <v>1.7600000000000001E-2</v>
      </c>
      <c r="G114" s="157">
        <v>2.674240795164029E-2</v>
      </c>
      <c r="H114" s="157">
        <v>2.5569853718798274E-2</v>
      </c>
      <c r="I114" s="157">
        <v>3.8604553485271254E-2</v>
      </c>
      <c r="J114" s="157"/>
      <c r="K114" s="157"/>
      <c r="L114" s="157"/>
      <c r="M114" s="157"/>
      <c r="N114" s="157"/>
      <c r="O114" s="157"/>
      <c r="P114" s="157"/>
      <c r="Q114" s="157"/>
      <c r="R114" s="157"/>
      <c r="S114" s="157">
        <v>-1.8451400329489331E-2</v>
      </c>
      <c r="T114" s="157">
        <v>-2.2980584851390318E-2</v>
      </c>
      <c r="U114" s="157">
        <v>7.2072072072072224E-2</v>
      </c>
      <c r="V114" s="157">
        <v>0.11800000000000001</v>
      </c>
      <c r="W114" s="157"/>
    </row>
    <row r="115" spans="2:23" x14ac:dyDescent="0.25">
      <c r="B115" s="156">
        <v>37865</v>
      </c>
      <c r="C115" s="157">
        <v>7.8000000000000005E-3</v>
      </c>
      <c r="D115" s="157">
        <v>1.18E-2</v>
      </c>
      <c r="E115" s="157">
        <v>8.3809999999999996E-3</v>
      </c>
      <c r="F115" s="157">
        <v>1.67E-2</v>
      </c>
      <c r="G115" s="157">
        <v>2.0612139229386317E-2</v>
      </c>
      <c r="H115" s="157">
        <v>2.0144013363688318E-2</v>
      </c>
      <c r="I115" s="157">
        <v>2.4426482890547829E-2</v>
      </c>
      <c r="J115" s="157"/>
      <c r="K115" s="157"/>
      <c r="L115" s="157"/>
      <c r="M115" s="157"/>
      <c r="N115" s="157"/>
      <c r="O115" s="157"/>
      <c r="P115" s="157"/>
      <c r="Q115" s="157"/>
      <c r="R115" s="157"/>
      <c r="S115" s="157">
        <v>-3.1480241125251274E-2</v>
      </c>
      <c r="T115" s="157">
        <v>4.6735563801404645E-2</v>
      </c>
      <c r="U115" s="157">
        <v>1.2711864406779849E-2</v>
      </c>
      <c r="V115" s="157">
        <v>5.5099999999999996E-2</v>
      </c>
      <c r="W115" s="157"/>
    </row>
    <row r="116" spans="2:23" x14ac:dyDescent="0.25">
      <c r="B116" s="156">
        <v>37895</v>
      </c>
      <c r="C116" s="157">
        <v>2.8999999999999998E-3</v>
      </c>
      <c r="D116" s="157">
        <v>3.8E-3</v>
      </c>
      <c r="E116" s="157">
        <v>8.2290000000000002E-3</v>
      </c>
      <c r="F116" s="157">
        <v>1.6299999999999999E-2</v>
      </c>
      <c r="G116" s="157">
        <v>1.8138081991883048E-2</v>
      </c>
      <c r="H116" s="157">
        <v>1.775661807225859E-2</v>
      </c>
      <c r="I116" s="157">
        <v>2.1710099042524078E-2</v>
      </c>
      <c r="J116" s="157"/>
      <c r="K116" s="157"/>
      <c r="L116" s="157"/>
      <c r="M116" s="157"/>
      <c r="N116" s="157"/>
      <c r="O116" s="157"/>
      <c r="P116" s="157"/>
      <c r="Q116" s="157"/>
      <c r="R116" s="157"/>
      <c r="S116" s="157">
        <v>-1.3425129087779597E-2</v>
      </c>
      <c r="T116" s="157">
        <v>-3.0586236193712812E-2</v>
      </c>
      <c r="U116" s="157">
        <v>-7.2524407252440026E-3</v>
      </c>
      <c r="V116" s="157">
        <v>0.1231</v>
      </c>
      <c r="W116" s="157"/>
    </row>
    <row r="117" spans="2:23" x14ac:dyDescent="0.25">
      <c r="B117" s="156">
        <v>37926</v>
      </c>
      <c r="C117" s="157">
        <v>3.4000000000000002E-3</v>
      </c>
      <c r="D117" s="157">
        <v>4.8999999999999998E-3</v>
      </c>
      <c r="E117" s="157">
        <v>6.7850000000000002E-3</v>
      </c>
      <c r="F117" s="157">
        <v>1.34E-2</v>
      </c>
      <c r="G117" s="157">
        <v>2.1336513375211252E-2</v>
      </c>
      <c r="H117" s="157">
        <v>1.9947655696437527E-2</v>
      </c>
      <c r="I117" s="157">
        <v>3.0364789526685865E-2</v>
      </c>
      <c r="J117" s="157"/>
      <c r="K117" s="157"/>
      <c r="L117" s="157"/>
      <c r="M117" s="157"/>
      <c r="N117" s="157"/>
      <c r="O117" s="157"/>
      <c r="P117" s="157"/>
      <c r="Q117" s="157"/>
      <c r="R117" s="157"/>
      <c r="S117" s="157">
        <v>3.4035087719298307E-2</v>
      </c>
      <c r="T117" s="157">
        <v>6.963039076430233E-2</v>
      </c>
      <c r="U117" s="157">
        <v>9.0909090909090828E-2</v>
      </c>
      <c r="V117" s="157">
        <v>0.12240000000000001</v>
      </c>
      <c r="W117" s="157"/>
    </row>
    <row r="118" spans="2:23" x14ac:dyDescent="0.25">
      <c r="B118" s="158">
        <v>37956</v>
      </c>
      <c r="C118" s="159">
        <v>5.1999999999999998E-3</v>
      </c>
      <c r="D118" s="159">
        <v>6.0999999999999995E-3</v>
      </c>
      <c r="E118" s="159">
        <v>6.9080000000000001E-3</v>
      </c>
      <c r="F118" s="159">
        <v>1.37E-2</v>
      </c>
      <c r="G118" s="159">
        <v>1.4159243524736187E-2</v>
      </c>
      <c r="H118" s="159">
        <v>1.3941979732987164E-2</v>
      </c>
      <c r="I118" s="159">
        <v>1.555868111370029E-2</v>
      </c>
      <c r="J118" s="159"/>
      <c r="K118" s="159"/>
      <c r="L118" s="159"/>
      <c r="M118" s="159"/>
      <c r="N118" s="159"/>
      <c r="O118" s="159"/>
      <c r="P118" s="159"/>
      <c r="Q118" s="159"/>
      <c r="R118" s="159"/>
      <c r="S118" s="159">
        <v>-8.2023239917976554E-3</v>
      </c>
      <c r="T118" s="159">
        <v>3.1446896278925163E-2</v>
      </c>
      <c r="U118" s="159">
        <v>2.9333333333333433E-2</v>
      </c>
      <c r="V118" s="159">
        <v>0.1016</v>
      </c>
      <c r="W118" s="159"/>
    </row>
    <row r="119" spans="2:23" x14ac:dyDescent="0.25">
      <c r="B119" s="156">
        <v>37987</v>
      </c>
      <c r="C119" s="157">
        <v>7.6E-3</v>
      </c>
      <c r="D119" s="157">
        <v>8.8000000000000005E-3</v>
      </c>
      <c r="E119" s="157">
        <v>6.2860000000000008E-3</v>
      </c>
      <c r="F119" s="157">
        <v>1.26E-2</v>
      </c>
      <c r="G119" s="157">
        <v>1.1377886361670919E-2</v>
      </c>
      <c r="H119" s="157">
        <v>1.1269389786170425E-2</v>
      </c>
      <c r="I119" s="157">
        <v>1.6888728340834769E-2</v>
      </c>
      <c r="J119" s="157"/>
      <c r="K119" s="157"/>
      <c r="L119" s="157"/>
      <c r="M119" s="157"/>
      <c r="N119" s="157"/>
      <c r="O119" s="157"/>
      <c r="P119" s="157"/>
      <c r="Q119" s="157"/>
      <c r="R119" s="157"/>
      <c r="S119" s="157">
        <v>1.8409169850642559E-2</v>
      </c>
      <c r="T119" s="157">
        <v>4.8211252944723171E-3</v>
      </c>
      <c r="U119" s="157">
        <v>-1.308900523560208E-2</v>
      </c>
      <c r="V119" s="157">
        <v>-1.7299999999999999E-2</v>
      </c>
      <c r="W119" s="157"/>
    </row>
    <row r="120" spans="2:23" x14ac:dyDescent="0.25">
      <c r="B120" s="156">
        <v>38018</v>
      </c>
      <c r="C120" s="157">
        <v>6.0999999999999995E-3</v>
      </c>
      <c r="D120" s="157">
        <v>6.8999999999999999E-3</v>
      </c>
      <c r="E120" s="157">
        <v>5.4600000000000004E-3</v>
      </c>
      <c r="F120" s="157">
        <v>1.0800000000000001E-2</v>
      </c>
      <c r="G120" s="157">
        <v>1.0608562740162419E-2</v>
      </c>
      <c r="H120" s="157">
        <v>1.0748988328936893E-2</v>
      </c>
      <c r="I120" s="157">
        <v>9.0010326799672136E-3</v>
      </c>
      <c r="J120" s="157"/>
      <c r="K120" s="157"/>
      <c r="L120" s="157"/>
      <c r="M120" s="157"/>
      <c r="N120" s="157"/>
      <c r="O120" s="157"/>
      <c r="P120" s="157"/>
      <c r="Q120" s="157"/>
      <c r="R120" s="157"/>
      <c r="S120" s="157">
        <v>-1.1556764106050443E-2</v>
      </c>
      <c r="T120" s="157">
        <v>-6.3246278828853475E-3</v>
      </c>
      <c r="U120" s="157">
        <v>-1.3333333333333308E-2</v>
      </c>
      <c r="V120" s="157">
        <v>-4.4000000000000003E-3</v>
      </c>
      <c r="W120" s="157"/>
    </row>
    <row r="121" spans="2:23" x14ac:dyDescent="0.25">
      <c r="B121" s="156">
        <v>38047</v>
      </c>
      <c r="C121" s="157">
        <v>4.6999999999999993E-3</v>
      </c>
      <c r="D121" s="157">
        <v>1.1299999999999999E-2</v>
      </c>
      <c r="E121" s="157">
        <v>6.7869999999999996E-3</v>
      </c>
      <c r="F121" s="157">
        <v>1.37E-2</v>
      </c>
      <c r="G121" s="157">
        <v>1.5748447894742501E-2</v>
      </c>
      <c r="H121" s="157">
        <v>1.5742226620809374E-2</v>
      </c>
      <c r="I121" s="157">
        <v>1.6784901182381073E-2</v>
      </c>
      <c r="J121" s="157"/>
      <c r="K121" s="157"/>
      <c r="L121" s="157"/>
      <c r="M121" s="157"/>
      <c r="N121" s="157"/>
      <c r="O121" s="157"/>
      <c r="P121" s="157"/>
      <c r="Q121" s="157"/>
      <c r="R121" s="157"/>
      <c r="S121" s="157">
        <v>6.9108500345538282E-4</v>
      </c>
      <c r="T121" s="157">
        <v>-1.7037037037037073E-2</v>
      </c>
      <c r="U121" s="157">
        <v>6.2162162162162193E-2</v>
      </c>
      <c r="V121" s="157">
        <v>1.77E-2</v>
      </c>
      <c r="W121" s="157"/>
    </row>
    <row r="122" spans="2:23" x14ac:dyDescent="0.25">
      <c r="B122" s="156">
        <v>38078</v>
      </c>
      <c r="C122" s="157">
        <v>3.7000000000000002E-3</v>
      </c>
      <c r="D122" s="157">
        <v>1.21E-2</v>
      </c>
      <c r="E122" s="157">
        <v>5.8779999999999995E-3</v>
      </c>
      <c r="F122" s="157">
        <v>1.1699999999999999E-2</v>
      </c>
      <c r="G122" s="157">
        <v>7.7469335054873856E-3</v>
      </c>
      <c r="H122" s="157">
        <v>9.138179783088507E-3</v>
      </c>
      <c r="I122" s="157">
        <v>-2.0668894511646219E-3</v>
      </c>
      <c r="J122" s="157"/>
      <c r="K122" s="157"/>
      <c r="L122" s="157"/>
      <c r="M122" s="157"/>
      <c r="N122" s="157"/>
      <c r="O122" s="157"/>
      <c r="P122" s="157"/>
      <c r="Q122" s="157"/>
      <c r="R122" s="157"/>
      <c r="S122" s="157">
        <v>1.453287197231834E-2</v>
      </c>
      <c r="T122" s="157">
        <v>-1.4401741605961638E-2</v>
      </c>
      <c r="U122" s="157">
        <v>-7.7117572692793845E-2</v>
      </c>
      <c r="V122" s="157">
        <v>-0.1144</v>
      </c>
      <c r="W122" s="157"/>
    </row>
    <row r="123" spans="2:23" x14ac:dyDescent="0.25">
      <c r="B123" s="156">
        <v>38108</v>
      </c>
      <c r="C123" s="157">
        <v>5.1000000000000004E-3</v>
      </c>
      <c r="D123" s="157">
        <v>1.3100000000000001E-2</v>
      </c>
      <c r="E123" s="157">
        <v>6.5539999999999999E-3</v>
      </c>
      <c r="F123" s="157">
        <v>1.2199999999999999E-2</v>
      </c>
      <c r="G123" s="157">
        <v>-1.8598499721034223E-4</v>
      </c>
      <c r="H123" s="157">
        <v>3.5150754985111554E-3</v>
      </c>
      <c r="I123" s="157">
        <v>-2.5592885973065305E-2</v>
      </c>
      <c r="J123" s="157">
        <v>1.2158412691609444E-2</v>
      </c>
      <c r="K123" s="157">
        <v>2.8004034560304758E-2</v>
      </c>
      <c r="L123" s="157">
        <v>2.99482806732565E-2</v>
      </c>
      <c r="M123" s="157">
        <v>2.6569262325963239E-2</v>
      </c>
      <c r="N123" s="157">
        <v>-3.7135245226566083E-3</v>
      </c>
      <c r="O123" s="157">
        <v>6.9173196014258309E-3</v>
      </c>
      <c r="P123" s="157">
        <v>-6.1661608826397707E-3</v>
      </c>
      <c r="Q123" s="157">
        <v>1.123989490040711E-2</v>
      </c>
      <c r="R123" s="157"/>
      <c r="S123" s="157">
        <v>7.0110701107011009E-2</v>
      </c>
      <c r="T123" s="157">
        <v>8.1952821906946527E-2</v>
      </c>
      <c r="U123" s="157">
        <v>8.1855388813096841E-2</v>
      </c>
      <c r="V123" s="157">
        <v>-3.0999999999999999E-3</v>
      </c>
      <c r="W123" s="157"/>
    </row>
    <row r="124" spans="2:23" x14ac:dyDescent="0.25">
      <c r="B124" s="156">
        <v>38139</v>
      </c>
      <c r="C124" s="160">
        <v>7.0999999999999995E-3</v>
      </c>
      <c r="D124" s="160">
        <v>1.38E-2</v>
      </c>
      <c r="E124" s="160">
        <v>6.7700000000000008E-3</v>
      </c>
      <c r="F124" s="160">
        <v>1.2199999999999999E-2</v>
      </c>
      <c r="G124" s="160">
        <v>2.1180397668554507E-2</v>
      </c>
      <c r="H124" s="160">
        <v>1.8461873400922757E-2</v>
      </c>
      <c r="I124" s="160">
        <v>4.0907454123307208E-2</v>
      </c>
      <c r="J124" s="160">
        <v>1.3352986458382121E-2</v>
      </c>
      <c r="K124" s="160">
        <v>2.4061663715141179E-2</v>
      </c>
      <c r="L124" s="160">
        <v>1.7975345419154909E-2</v>
      </c>
      <c r="M124" s="160">
        <v>2.8512658715575956E-2</v>
      </c>
      <c r="N124" s="160">
        <v>1.3758039855596982E-2</v>
      </c>
      <c r="O124" s="160">
        <v>1.7591590928445866E-2</v>
      </c>
      <c r="P124" s="160">
        <v>1.1433485201146842E-2</v>
      </c>
      <c r="Q124" s="160">
        <v>1.6247568005183011E-2</v>
      </c>
      <c r="R124" s="160"/>
      <c r="S124" s="160">
        <v>-1.8441971383147848E-2</v>
      </c>
      <c r="T124" s="160">
        <v>-6.6741696547752971E-3</v>
      </c>
      <c r="U124" s="160">
        <v>-2.4081115335868208E-2</v>
      </c>
      <c r="V124" s="160">
        <v>8.199999999999999E-2</v>
      </c>
      <c r="W124" s="160"/>
    </row>
    <row r="125" spans="2:23" x14ac:dyDescent="0.25">
      <c r="B125" s="156">
        <v>38169</v>
      </c>
      <c r="C125" s="157">
        <v>9.1000000000000004E-3</v>
      </c>
      <c r="D125" s="157">
        <v>1.3100000000000001E-2</v>
      </c>
      <c r="E125" s="157">
        <v>6.9620000000000003E-3</v>
      </c>
      <c r="F125" s="157">
        <v>1.2800000000000001E-2</v>
      </c>
      <c r="G125" s="157">
        <v>1.1805067121395396E-2</v>
      </c>
      <c r="H125" s="157">
        <v>2.3262090239991151E-2</v>
      </c>
      <c r="I125" s="157">
        <v>3.5567174656709888E-3</v>
      </c>
      <c r="J125" s="157">
        <v>1.2789142476570925E-2</v>
      </c>
      <c r="K125" s="157">
        <v>1.9331207248765914E-2</v>
      </c>
      <c r="L125" s="157">
        <v>1.3952469326463435E-2</v>
      </c>
      <c r="M125" s="157">
        <v>2.3201665622179179E-2</v>
      </c>
      <c r="N125" s="157">
        <v>1.6832890433384984E-2</v>
      </c>
      <c r="O125" s="157">
        <v>1.6013394981453599E-2</v>
      </c>
      <c r="P125" s="157">
        <v>1.738135429955201E-2</v>
      </c>
      <c r="Q125" s="157">
        <v>1.3650542453750081E-2</v>
      </c>
      <c r="R125" s="157"/>
      <c r="S125" s="157">
        <v>-1.1711125569290881E-2</v>
      </c>
      <c r="T125" s="157">
        <v>-4.0893760539628898E-2</v>
      </c>
      <c r="U125" s="157">
        <v>-1.041666666666663E-2</v>
      </c>
      <c r="V125" s="157">
        <v>5.6100000000000004E-2</v>
      </c>
      <c r="W125" s="157"/>
    </row>
    <row r="126" spans="2:23" x14ac:dyDescent="0.25">
      <c r="B126" s="156">
        <v>38200</v>
      </c>
      <c r="C126" s="157">
        <v>6.8999999999999999E-3</v>
      </c>
      <c r="D126" s="157">
        <v>1.2199999999999999E-2</v>
      </c>
      <c r="E126" s="157">
        <v>7.0150000000000004E-3</v>
      </c>
      <c r="F126" s="157">
        <v>1.29E-2</v>
      </c>
      <c r="G126" s="157">
        <v>1.312262452490498E-2</v>
      </c>
      <c r="H126" s="157">
        <v>1.3184274188594358E-2</v>
      </c>
      <c r="I126" s="157">
        <v>1.2227611916718173E-2</v>
      </c>
      <c r="J126" s="157">
        <v>1.2930657640849219E-2</v>
      </c>
      <c r="K126" s="157">
        <v>-8.2297692751409635E-4</v>
      </c>
      <c r="L126" s="157">
        <v>2.5860195317612966E-3</v>
      </c>
      <c r="M126" s="157">
        <v>-3.2558231039790941E-3</v>
      </c>
      <c r="N126" s="157">
        <v>9.3556426889152E-3</v>
      </c>
      <c r="O126" s="157">
        <v>1.1203317024877535E-2</v>
      </c>
      <c r="P126" s="157">
        <v>8.1280820225657635E-3</v>
      </c>
      <c r="Q126" s="157">
        <v>1.0956251058475086E-2</v>
      </c>
      <c r="R126" s="157"/>
      <c r="S126" s="157">
        <v>-3.9041994750656284E-2</v>
      </c>
      <c r="T126" s="157">
        <v>-1.708791208791216E-2</v>
      </c>
      <c r="U126" s="157">
        <v>9.0658257784785867E-3</v>
      </c>
      <c r="V126" s="157">
        <v>2.0799999999999999E-2</v>
      </c>
      <c r="W126" s="157"/>
    </row>
    <row r="127" spans="2:23" x14ac:dyDescent="0.25">
      <c r="B127" s="156">
        <v>38231</v>
      </c>
      <c r="C127" s="157">
        <v>3.3E-3</v>
      </c>
      <c r="D127" s="157">
        <v>6.8999999999999999E-3</v>
      </c>
      <c r="E127" s="157">
        <v>6.7369999999999999E-3</v>
      </c>
      <c r="F127" s="157">
        <v>1.24E-2</v>
      </c>
      <c r="G127" s="157">
        <v>1.4700075030604554E-2</v>
      </c>
      <c r="H127" s="157">
        <v>1.404035510458268E-2</v>
      </c>
      <c r="I127" s="157">
        <v>2.420063202030831E-2</v>
      </c>
      <c r="J127" s="157">
        <v>1.197546284860973E-2</v>
      </c>
      <c r="K127" s="157">
        <v>1.5333110162644159E-2</v>
      </c>
      <c r="L127" s="157">
        <v>1.7164980049956702E-2</v>
      </c>
      <c r="M127" s="157">
        <v>1.4000397136095355E-2</v>
      </c>
      <c r="N127" s="157">
        <v>1.3027714724043404E-2</v>
      </c>
      <c r="O127" s="157">
        <v>1.3270722541084412E-2</v>
      </c>
      <c r="P127" s="157">
        <v>1.2868371539147772E-2</v>
      </c>
      <c r="Q127" s="157">
        <v>1.2935699710091786E-2</v>
      </c>
      <c r="R127" s="157"/>
      <c r="S127" s="157">
        <v>-2.488919195363104E-2</v>
      </c>
      <c r="T127" s="157">
        <v>-5.7297780759124617E-3</v>
      </c>
      <c r="U127" s="157">
        <v>2.6041666666667407E-3</v>
      </c>
      <c r="V127" s="157">
        <v>1.9299999999999998E-2</v>
      </c>
      <c r="W127" s="157"/>
    </row>
    <row r="128" spans="2:23" x14ac:dyDescent="0.25">
      <c r="B128" s="156">
        <v>38261</v>
      </c>
      <c r="C128" s="157">
        <v>4.4000000000000003E-3</v>
      </c>
      <c r="D128" s="157">
        <v>3.9000000000000003E-3</v>
      </c>
      <c r="E128" s="157">
        <v>6.1140000000000005E-3</v>
      </c>
      <c r="F128" s="157">
        <v>1.21E-2</v>
      </c>
      <c r="G128" s="157">
        <v>1.0634261196135641E-2</v>
      </c>
      <c r="H128" s="157">
        <v>1.0850094325679738E-2</v>
      </c>
      <c r="I128" s="157">
        <v>8.5151525239632875E-3</v>
      </c>
      <c r="J128" s="157">
        <v>1.269168578907065E-2</v>
      </c>
      <c r="K128" s="157">
        <v>5.6956753946790784E-3</v>
      </c>
      <c r="L128" s="157">
        <v>4.2794940325012742E-3</v>
      </c>
      <c r="M128" s="157">
        <v>6.7047176850787427E-3</v>
      </c>
      <c r="N128" s="157">
        <v>9.5124789071172611E-3</v>
      </c>
      <c r="O128" s="157">
        <v>9.4885959601860304E-3</v>
      </c>
      <c r="P128" s="157">
        <v>9.5253631154050833E-3</v>
      </c>
      <c r="Q128" s="157">
        <v>1.1253503856711866E-2</v>
      </c>
      <c r="R128" s="157"/>
      <c r="S128" s="157">
        <v>7.3995771670190003E-3</v>
      </c>
      <c r="T128" s="157">
        <v>2.8195541562420878E-2</v>
      </c>
      <c r="U128" s="157">
        <v>2.8947368421052611E-2</v>
      </c>
      <c r="V128" s="157">
        <v>-8.3000000000000001E-3</v>
      </c>
      <c r="W128" s="157"/>
    </row>
    <row r="129" spans="2:23" x14ac:dyDescent="0.25">
      <c r="B129" s="156">
        <v>38292</v>
      </c>
      <c r="C129" s="157">
        <v>6.8999999999999999E-3</v>
      </c>
      <c r="D129" s="157">
        <v>8.199999999999999E-3</v>
      </c>
      <c r="E129" s="157">
        <v>6.1519999999999995E-3</v>
      </c>
      <c r="F129" s="157">
        <v>1.2500000000000001E-2</v>
      </c>
      <c r="G129" s="157">
        <v>1.2967633864104711E-2</v>
      </c>
      <c r="H129" s="157">
        <v>1.2686245884301117E-2</v>
      </c>
      <c r="I129" s="157">
        <v>1.5659413104003761E-2</v>
      </c>
      <c r="J129" s="157">
        <v>1.2697146108430868E-2</v>
      </c>
      <c r="K129" s="157">
        <v>1.078962204392897E-2</v>
      </c>
      <c r="L129" s="157">
        <v>1.217810741806602E-2</v>
      </c>
      <c r="M129" s="157">
        <v>9.8090689736940462E-3</v>
      </c>
      <c r="N129" s="157">
        <v>1.1877996763569376E-2</v>
      </c>
      <c r="O129" s="157">
        <v>1.1344768401225558E-2</v>
      </c>
      <c r="P129" s="157">
        <v>1.2203674475243398E-2</v>
      </c>
      <c r="Q129" s="157">
        <v>1.243589117498356E-2</v>
      </c>
      <c r="R129" s="157"/>
      <c r="S129" s="157">
        <v>-4.6951646811492553E-2</v>
      </c>
      <c r="T129" s="157">
        <v>-6.3976377952755792E-3</v>
      </c>
      <c r="U129" s="157">
        <v>1.4529696660718905E-2</v>
      </c>
      <c r="V129" s="157">
        <v>0.09</v>
      </c>
      <c r="W129" s="157"/>
    </row>
    <row r="130" spans="2:23" x14ac:dyDescent="0.25">
      <c r="B130" s="158">
        <v>38322</v>
      </c>
      <c r="C130" s="159">
        <v>8.6E-3</v>
      </c>
      <c r="D130" s="159">
        <v>7.4000000000000003E-3</v>
      </c>
      <c r="E130" s="159">
        <v>7.4119999999999993E-3</v>
      </c>
      <c r="F130" s="159">
        <v>1.4800000000000001E-2</v>
      </c>
      <c r="G130" s="159">
        <v>1.4849697303770171E-2</v>
      </c>
      <c r="H130" s="159">
        <v>1.4410918463608535E-2</v>
      </c>
      <c r="I130" s="159">
        <v>1.9125445528799911E-2</v>
      </c>
      <c r="J130" s="159">
        <v>1.5833233785487844E-2</v>
      </c>
      <c r="K130" s="159">
        <v>1.4738711953844241E-2</v>
      </c>
      <c r="L130" s="159">
        <v>1.4967990454948676E-2</v>
      </c>
      <c r="M130" s="159">
        <v>1.4576594858074277E-2</v>
      </c>
      <c r="N130" s="159">
        <v>1.5070885993065497E-2</v>
      </c>
      <c r="O130" s="159">
        <v>1.4639727333807917E-2</v>
      </c>
      <c r="P130" s="159">
        <v>1.532613510885783E-2</v>
      </c>
      <c r="Q130" s="159">
        <v>1.5354237789813263E-2</v>
      </c>
      <c r="R130" s="159"/>
      <c r="S130" s="159">
        <v>-2.1025451862781264E-2</v>
      </c>
      <c r="T130" s="159">
        <v>-4.044906719498087E-3</v>
      </c>
      <c r="U130" s="159">
        <v>-5.3030303030303094E-2</v>
      </c>
      <c r="V130" s="159">
        <v>4.24E-2</v>
      </c>
      <c r="W130" s="159"/>
    </row>
    <row r="131" spans="2:23" x14ac:dyDescent="0.25">
      <c r="B131" s="156">
        <v>38353</v>
      </c>
      <c r="C131" s="157">
        <v>5.7999999999999996E-3</v>
      </c>
      <c r="D131" s="157">
        <v>3.9000000000000003E-3</v>
      </c>
      <c r="E131" s="157">
        <v>6.8889999999999993E-3</v>
      </c>
      <c r="F131" s="157">
        <v>1.38E-2</v>
      </c>
      <c r="G131" s="157">
        <v>1.054001788665837E-2</v>
      </c>
      <c r="H131" s="157">
        <v>1.0811151662153407E-2</v>
      </c>
      <c r="I131" s="157">
        <v>-5.3474861832695231E-3</v>
      </c>
      <c r="J131" s="157">
        <v>1.4463095231752154E-2</v>
      </c>
      <c r="K131" s="157">
        <v>3.5990066666451437E-3</v>
      </c>
      <c r="L131" s="157">
        <v>-2.0719139769163064E-3</v>
      </c>
      <c r="M131" s="157">
        <v>7.6518956729345611E-3</v>
      </c>
      <c r="N131" s="157">
        <v>1.2081285103071382E-2</v>
      </c>
      <c r="O131" s="157">
        <v>1.2823074439783255E-2</v>
      </c>
      <c r="P131" s="157">
        <v>1.165148670070848E-2</v>
      </c>
      <c r="Q131" s="157">
        <v>1.2347142822985102E-2</v>
      </c>
      <c r="R131" s="157"/>
      <c r="S131" s="157">
        <v>-2.4299065420560706E-2</v>
      </c>
      <c r="T131" s="157">
        <v>-5.3736703964636034E-2</v>
      </c>
      <c r="U131" s="157">
        <v>-4.4808156694392309E-2</v>
      </c>
      <c r="V131" s="157">
        <v>-7.0400000000000004E-2</v>
      </c>
      <c r="W131" s="157"/>
    </row>
    <row r="132" spans="2:23" x14ac:dyDescent="0.25">
      <c r="B132" s="156">
        <v>38384</v>
      </c>
      <c r="C132" s="157">
        <v>5.8999999999999999E-3</v>
      </c>
      <c r="D132" s="157">
        <v>3.0000000000000001E-3</v>
      </c>
      <c r="E132" s="157">
        <v>5.9670000000000001E-3</v>
      </c>
      <c r="F132" s="157">
        <v>1.2199999999999999E-2</v>
      </c>
      <c r="G132" s="157">
        <v>1.3580887599736746E-2</v>
      </c>
      <c r="H132" s="157">
        <v>1.3302286611435843E-2</v>
      </c>
      <c r="I132" s="157">
        <v>1.5870269654794988E-2</v>
      </c>
      <c r="J132" s="157">
        <v>1.2600846270265587E-2</v>
      </c>
      <c r="K132" s="157">
        <v>6.1143107676249198E-3</v>
      </c>
      <c r="L132" s="157">
        <v>5.768818371373774E-3</v>
      </c>
      <c r="M132" s="157">
        <v>6.3673501416088296E-3</v>
      </c>
      <c r="N132" s="157">
        <v>5.4741980114514366E-3</v>
      </c>
      <c r="O132" s="157">
        <v>-6.1050683377145143E-3</v>
      </c>
      <c r="P132" s="157">
        <v>1.1915743296139425E-2</v>
      </c>
      <c r="Q132" s="157">
        <v>1.171037683150522E-2</v>
      </c>
      <c r="R132" s="157"/>
      <c r="S132" s="157">
        <v>-8.0459770114942319E-3</v>
      </c>
      <c r="T132" s="157">
        <v>4.4963503649635417E-3</v>
      </c>
      <c r="U132" s="157">
        <v>2.528089887640439E-2</v>
      </c>
      <c r="V132" s="157">
        <v>0.1555</v>
      </c>
      <c r="W132" s="157"/>
    </row>
    <row r="133" spans="2:23" x14ac:dyDescent="0.25">
      <c r="B133" s="156">
        <v>38412</v>
      </c>
      <c r="C133" s="157">
        <v>6.0999999999999995E-3</v>
      </c>
      <c r="D133" s="157">
        <v>8.5000000000000006E-3</v>
      </c>
      <c r="E133" s="157">
        <v>7.6480000000000003E-3</v>
      </c>
      <c r="F133" s="157">
        <v>1.52E-2</v>
      </c>
      <c r="G133" s="157">
        <v>1.2790915615614296E-2</v>
      </c>
      <c r="H133" s="157">
        <v>1.4166416681544058E-2</v>
      </c>
      <c r="I133" s="157">
        <v>4.9271926528446919E-3</v>
      </c>
      <c r="J133" s="157">
        <v>1.5834760116426816E-2</v>
      </c>
      <c r="K133" s="157">
        <v>1.8942285859705699E-2</v>
      </c>
      <c r="L133" s="157">
        <v>2.4125941076496238E-2</v>
      </c>
      <c r="M133" s="157">
        <v>1.5325453370152564E-2</v>
      </c>
      <c r="N133" s="157">
        <v>9.799449305466279E-3</v>
      </c>
      <c r="O133" s="157">
        <v>1.0237308461430894E-2</v>
      </c>
      <c r="P133" s="157">
        <v>9.564084150352592E-3</v>
      </c>
      <c r="Q133" s="157">
        <v>1.5195990626374556E-2</v>
      </c>
      <c r="R133" s="157"/>
      <c r="S133" s="157">
        <v>1.9098548510313229E-2</v>
      </c>
      <c r="T133" s="157">
        <v>5.784211138239792E-3</v>
      </c>
      <c r="U133" s="157">
        <v>1.3736263736263687E-2</v>
      </c>
      <c r="V133" s="157">
        <v>-5.4299999999999994E-2</v>
      </c>
      <c r="W133" s="157"/>
    </row>
    <row r="134" spans="2:23" x14ac:dyDescent="0.25">
      <c r="B134" s="156">
        <v>38443</v>
      </c>
      <c r="C134" s="157">
        <v>8.6999999999999994E-3</v>
      </c>
      <c r="D134" s="157">
        <v>8.6E-3</v>
      </c>
      <c r="E134" s="157">
        <v>7.0130000000000001E-3</v>
      </c>
      <c r="F134" s="157">
        <v>1.41E-2</v>
      </c>
      <c r="G134" s="157">
        <v>1.4236256866489105E-2</v>
      </c>
      <c r="H134" s="157">
        <v>1.4042266315041241E-2</v>
      </c>
      <c r="I134" s="157">
        <v>1.4945434077626718E-2</v>
      </c>
      <c r="J134" s="157">
        <v>1.4340000000000019E-2</v>
      </c>
      <c r="K134" s="157">
        <v>1.6759999999999886E-2</v>
      </c>
      <c r="L134" s="157">
        <v>1.8990000000000062E-2</v>
      </c>
      <c r="M134" s="157">
        <v>1.5220000000000011E-2</v>
      </c>
      <c r="N134" s="157">
        <v>1.3640000000000096E-2</v>
      </c>
      <c r="O134" s="157">
        <v>1.3319999999999999E-2</v>
      </c>
      <c r="P134" s="157">
        <v>1.3800000000000034E-2</v>
      </c>
      <c r="Q134" s="157">
        <v>1.4569999999999972E-2</v>
      </c>
      <c r="R134" s="157">
        <v>1.4281179148609935E-2</v>
      </c>
      <c r="S134" s="157">
        <v>-4.9248120300751985E-2</v>
      </c>
      <c r="T134" s="157">
        <v>-5.6960379157876551E-2</v>
      </c>
      <c r="U134" s="157">
        <v>-3.551912568306026E-2</v>
      </c>
      <c r="V134" s="157">
        <v>-6.6299999999999998E-2</v>
      </c>
      <c r="W134" s="157"/>
    </row>
    <row r="135" spans="2:23" x14ac:dyDescent="0.25">
      <c r="B135" s="156">
        <v>38473</v>
      </c>
      <c r="C135" s="157">
        <v>4.8999999999999998E-3</v>
      </c>
      <c r="D135" s="157">
        <v>-2.2000000000000001E-3</v>
      </c>
      <c r="E135" s="157">
        <v>7.5399999999999998E-3</v>
      </c>
      <c r="F135" s="157">
        <v>1.4999999999999999E-2</v>
      </c>
      <c r="G135" s="157">
        <v>1.633726596677354E-2</v>
      </c>
      <c r="H135" s="157">
        <v>1.5444480335060629E-2</v>
      </c>
      <c r="I135" s="157">
        <v>2.0219015785164718E-2</v>
      </c>
      <c r="J135" s="157">
        <v>1.5211861900348955E-2</v>
      </c>
      <c r="K135" s="157">
        <v>-5.9010976041440344E-5</v>
      </c>
      <c r="L135" s="157">
        <v>-7.0265655207607525E-3</v>
      </c>
      <c r="M135" s="157">
        <v>4.7575894879927638E-3</v>
      </c>
      <c r="N135" s="157">
        <v>1.4512055562132531E-2</v>
      </c>
      <c r="O135" s="157">
        <v>1.3302806615876461E-2</v>
      </c>
      <c r="P135" s="157">
        <v>1.5121325705267363E-2</v>
      </c>
      <c r="Q135" s="157">
        <v>1.3759523739121038E-2</v>
      </c>
      <c r="R135" s="157">
        <v>1.5487971794927891E-2</v>
      </c>
      <c r="S135" s="157">
        <v>-4.0621266427718128E-2</v>
      </c>
      <c r="T135" s="157">
        <v>-9.2302034812453915E-2</v>
      </c>
      <c r="U135" s="157">
        <v>-6.3218390804597568E-2</v>
      </c>
      <c r="V135" s="157">
        <v>1.46E-2</v>
      </c>
      <c r="W135" s="157"/>
    </row>
    <row r="136" spans="2:23" x14ac:dyDescent="0.25">
      <c r="B136" s="156">
        <v>38504</v>
      </c>
      <c r="C136" s="160">
        <v>-2.0000000000000001E-4</v>
      </c>
      <c r="D136" s="160">
        <v>-4.4000000000000003E-3</v>
      </c>
      <c r="E136" s="160">
        <v>8.0079999999999995E-3</v>
      </c>
      <c r="F136" s="160">
        <v>1.5800000000000002E-2</v>
      </c>
      <c r="G136" s="160">
        <v>1.7537176186222636E-2</v>
      </c>
      <c r="H136" s="160">
        <v>1.6766741103210414E-2</v>
      </c>
      <c r="I136" s="160">
        <v>1.9716039552751807E-2</v>
      </c>
      <c r="J136" s="160">
        <v>1.6188080833584362E-2</v>
      </c>
      <c r="K136" s="160">
        <v>-2.2622209107903135E-4</v>
      </c>
      <c r="L136" s="160">
        <v>-4.1508949131774386E-4</v>
      </c>
      <c r="M136" s="160">
        <v>-1.1764129209357321E-4</v>
      </c>
      <c r="N136" s="160">
        <v>5.1538872951817361E-3</v>
      </c>
      <c r="O136" s="160">
        <v>2.804830541488279E-3</v>
      </c>
      <c r="P136" s="160">
        <v>6.2479958800150115E-3</v>
      </c>
      <c r="Q136" s="160">
        <v>1.4399191078529494E-2</v>
      </c>
      <c r="R136" s="160">
        <v>1.6169300763314576E-2</v>
      </c>
      <c r="S136" s="160">
        <v>-4.5008183306055605E-2</v>
      </c>
      <c r="T136" s="160">
        <v>-3.9196488858879275E-2</v>
      </c>
      <c r="U136" s="160">
        <v>1.0687022900763399E-2</v>
      </c>
      <c r="V136" s="160">
        <v>-6.0999999999999995E-3</v>
      </c>
      <c r="W136" s="160"/>
    </row>
    <row r="137" spans="2:23" x14ac:dyDescent="0.25">
      <c r="B137" s="156">
        <v>38534</v>
      </c>
      <c r="C137" s="157">
        <v>2.5000000000000001E-3</v>
      </c>
      <c r="D137" s="157">
        <v>-3.4000000000000002E-3</v>
      </c>
      <c r="E137" s="157">
        <v>7.5880000000000001E-3</v>
      </c>
      <c r="F137" s="157">
        <v>1.5100000000000001E-2</v>
      </c>
      <c r="G137" s="157">
        <v>1.2660461233254594E-2</v>
      </c>
      <c r="H137" s="157">
        <v>1.4323771208950342E-2</v>
      </c>
      <c r="I137" s="157">
        <v>8.2290613074886831E-3</v>
      </c>
      <c r="J137" s="157">
        <v>1.5309047819273003E-2</v>
      </c>
      <c r="K137" s="157">
        <v>2.7939830983698677E-3</v>
      </c>
      <c r="L137" s="157">
        <v>4.1723929959165407E-3</v>
      </c>
      <c r="M137" s="157">
        <v>1.9511142921573299E-3</v>
      </c>
      <c r="N137" s="157">
        <v>7.3138876795819652E-3</v>
      </c>
      <c r="O137" s="157">
        <v>3.8361432678113427E-3</v>
      </c>
      <c r="P137" s="157">
        <v>9.782146857738816E-3</v>
      </c>
      <c r="Q137" s="157">
        <v>1.3130906511779505E-2</v>
      </c>
      <c r="R137" s="157">
        <v>1.4289338958713094E-2</v>
      </c>
      <c r="S137" s="157">
        <v>9.7581671616460142E-3</v>
      </c>
      <c r="T137" s="157">
        <v>1.8904388769809266E-2</v>
      </c>
      <c r="U137" s="157">
        <v>1.8461538461538529E-2</v>
      </c>
      <c r="V137" s="157">
        <v>3.95E-2</v>
      </c>
      <c r="W137" s="157"/>
    </row>
    <row r="138" spans="2:23" x14ac:dyDescent="0.25">
      <c r="B138" s="156">
        <v>38565</v>
      </c>
      <c r="C138" s="157">
        <v>1.7000000000000001E-3</v>
      </c>
      <c r="D138" s="157">
        <v>-6.5000000000000006E-3</v>
      </c>
      <c r="E138" s="157">
        <v>8.483000000000001E-3</v>
      </c>
      <c r="F138" s="157">
        <v>1.6500000000000001E-2</v>
      </c>
      <c r="G138" s="157">
        <v>1.5158147025952085E-2</v>
      </c>
      <c r="H138" s="157">
        <v>1.6033316659557428E-2</v>
      </c>
      <c r="I138" s="157">
        <v>1.3212704405822118E-2</v>
      </c>
      <c r="J138" s="157">
        <v>1.6480620446887473E-2</v>
      </c>
      <c r="K138" s="157">
        <v>-1.6677948808506704E-3</v>
      </c>
      <c r="L138" s="157">
        <v>-3.4165985644378782E-3</v>
      </c>
      <c r="M138" s="157">
        <v>-6.1648661343349787E-4</v>
      </c>
      <c r="N138" s="157">
        <v>1.0612652586894145E-2</v>
      </c>
      <c r="O138" s="157">
        <v>1.1222584483809417E-2</v>
      </c>
      <c r="P138" s="157">
        <v>9.993401486100062E-3</v>
      </c>
      <c r="Q138" s="157">
        <v>1.411488685385609E-2</v>
      </c>
      <c r="R138" s="157">
        <v>1.5843593260679967E-2</v>
      </c>
      <c r="S138" s="157">
        <v>-4.6433094132546371E-3</v>
      </c>
      <c r="T138" s="157">
        <v>5.2419215780941109E-3</v>
      </c>
      <c r="U138" s="157">
        <v>-1.4925373134328401E-2</v>
      </c>
      <c r="V138" s="157">
        <v>7.6799999999999993E-2</v>
      </c>
      <c r="W138" s="157"/>
    </row>
    <row r="139" spans="2:23" x14ac:dyDescent="0.25">
      <c r="B139" s="156">
        <v>38596</v>
      </c>
      <c r="C139" s="157">
        <v>3.4999999999999996E-3</v>
      </c>
      <c r="D139" s="157">
        <v>-5.3E-3</v>
      </c>
      <c r="E139" s="157">
        <v>7.6500000000000005E-3</v>
      </c>
      <c r="F139" s="157">
        <v>1.4999999999999999E-2</v>
      </c>
      <c r="G139" s="157">
        <v>1.7447652855336893E-2</v>
      </c>
      <c r="H139" s="157">
        <v>1.5551121055598305E-2</v>
      </c>
      <c r="I139" s="157">
        <v>2.1046921525929463E-2</v>
      </c>
      <c r="J139" s="157">
        <v>1.5417094919303098E-2</v>
      </c>
      <c r="K139" s="157">
        <v>-5.6210139444384799E-3</v>
      </c>
      <c r="L139" s="157">
        <v>-3.4085520075877174E-3</v>
      </c>
      <c r="M139" s="157">
        <v>-6.9422005502843831E-3</v>
      </c>
      <c r="N139" s="157">
        <v>5.7020128105220724E-3</v>
      </c>
      <c r="O139" s="157">
        <v>3.3581125685255842E-3</v>
      </c>
      <c r="P139" s="157">
        <v>8.3416971234873127E-3</v>
      </c>
      <c r="Q139" s="157">
        <v>1.3526624127766063E-2</v>
      </c>
      <c r="R139" s="157">
        <v>1.5558411023558927E-2</v>
      </c>
      <c r="S139" s="157">
        <v>-5.6284384257300091E-2</v>
      </c>
      <c r="T139" s="157">
        <v>-8.3399087447253661E-2</v>
      </c>
      <c r="U139" s="157">
        <v>7.4626865671640896E-3</v>
      </c>
      <c r="V139" s="157">
        <v>0.12609999999999999</v>
      </c>
      <c r="W139" s="157">
        <v>0.10994895502263299</v>
      </c>
    </row>
    <row r="140" spans="2:23" x14ac:dyDescent="0.25">
      <c r="B140" s="156">
        <v>38626</v>
      </c>
      <c r="C140" s="157">
        <v>7.4999999999999997E-3</v>
      </c>
      <c r="D140" s="157">
        <v>6.0000000000000001E-3</v>
      </c>
      <c r="E140" s="157">
        <v>7.11E-3</v>
      </c>
      <c r="F140" s="157">
        <v>1.3999999999999999E-2</v>
      </c>
      <c r="G140" s="157">
        <v>1.3400314333440466E-2</v>
      </c>
      <c r="H140" s="157">
        <v>1.5063805817501219E-2</v>
      </c>
      <c r="I140" s="157">
        <v>1.0477000135263426E-2</v>
      </c>
      <c r="J140" s="157">
        <v>1.4371432219000502E-2</v>
      </c>
      <c r="K140" s="157">
        <v>1.225429641561826E-2</v>
      </c>
      <c r="L140" s="157">
        <v>1.9569549226239547E-2</v>
      </c>
      <c r="M140" s="157">
        <v>7.9570104515873652E-3</v>
      </c>
      <c r="N140" s="157">
        <v>8.9769999811011303E-3</v>
      </c>
      <c r="O140" s="157">
        <v>7.084692106718693E-3</v>
      </c>
      <c r="P140" s="157">
        <v>1.1061552185548607E-2</v>
      </c>
      <c r="Q140" s="157">
        <v>1.3686652062662175E-2</v>
      </c>
      <c r="R140" s="157">
        <v>1.3836155192407329E-2</v>
      </c>
      <c r="S140" s="157">
        <v>1.0767160161507361E-2</v>
      </c>
      <c r="T140" s="157">
        <v>1.130324126057336E-2</v>
      </c>
      <c r="U140" s="157">
        <v>0</v>
      </c>
      <c r="V140" s="157">
        <v>-4.4000000000000004E-2</v>
      </c>
      <c r="W140" s="157">
        <v>-5.4492129878694201E-2</v>
      </c>
    </row>
    <row r="141" spans="2:23" x14ac:dyDescent="0.25">
      <c r="B141" s="156">
        <v>38657</v>
      </c>
      <c r="C141" s="157">
        <v>5.5000000000000005E-3</v>
      </c>
      <c r="D141" s="157">
        <v>4.0000000000000001E-3</v>
      </c>
      <c r="E141" s="157">
        <v>6.9389999999999999E-3</v>
      </c>
      <c r="F141" s="157">
        <v>1.38E-2</v>
      </c>
      <c r="G141" s="157">
        <v>1.8582198927372229E-2</v>
      </c>
      <c r="H141" s="157">
        <v>1.583085325164979E-2</v>
      </c>
      <c r="I141" s="157">
        <v>2.2752965346736209E-2</v>
      </c>
      <c r="J141" s="157">
        <v>1.5156691058810789E-2</v>
      </c>
      <c r="K141" s="157">
        <v>7.3221450956271195E-3</v>
      </c>
      <c r="L141" s="157">
        <v>1.2815401818270233E-2</v>
      </c>
      <c r="M141" s="157">
        <v>4.1182857757735558E-3</v>
      </c>
      <c r="N141" s="157">
        <v>1.943320596388709E-2</v>
      </c>
      <c r="O141" s="157">
        <v>2.2534251114877391E-2</v>
      </c>
      <c r="P141" s="157">
        <v>1.4609047764992278E-2</v>
      </c>
      <c r="Q141" s="157">
        <v>1.5608400751818241E-2</v>
      </c>
      <c r="R141" s="157">
        <v>1.6444310536173345E-2</v>
      </c>
      <c r="S141" s="157">
        <v>-1.6926503340757404E-2</v>
      </c>
      <c r="T141" s="157">
        <v>-3.6824574389341169E-2</v>
      </c>
      <c r="U141" s="157">
        <v>3.9267788603484011E-2</v>
      </c>
      <c r="V141" s="157">
        <v>5.7000000000000002E-2</v>
      </c>
      <c r="W141" s="157">
        <v>3.4359341445955503E-2</v>
      </c>
    </row>
    <row r="142" spans="2:23" x14ac:dyDescent="0.25">
      <c r="B142" s="158">
        <v>38687</v>
      </c>
      <c r="C142" s="159">
        <v>3.5999999999999999E-3</v>
      </c>
      <c r="D142" s="159">
        <v>-1E-4</v>
      </c>
      <c r="E142" s="159">
        <v>7.28E-3</v>
      </c>
      <c r="F142" s="159">
        <v>1.47E-2</v>
      </c>
      <c r="G142" s="159">
        <v>1.7585536175504624E-2</v>
      </c>
      <c r="H142" s="159">
        <v>1.4831883781761368E-2</v>
      </c>
      <c r="I142" s="159">
        <v>2.1072504429497707E-2</v>
      </c>
      <c r="J142" s="159">
        <v>1.5904502143034183E-2</v>
      </c>
      <c r="K142" s="159">
        <v>1.164965739152346E-2</v>
      </c>
      <c r="L142" s="159">
        <v>1.3680481552950763E-2</v>
      </c>
      <c r="M142" s="159">
        <v>1.1222819733458067E-2</v>
      </c>
      <c r="N142" s="159">
        <v>1.8235937198555652E-2</v>
      </c>
      <c r="O142" s="159">
        <v>2.026908154856133E-2</v>
      </c>
      <c r="P142" s="159">
        <v>1.2979880270215904E-2</v>
      </c>
      <c r="Q142" s="159">
        <v>1.6262561241640716E-2</v>
      </c>
      <c r="R142" s="159">
        <v>1.6640924597505657E-2</v>
      </c>
      <c r="S142" s="159">
        <v>4.6825754164790734E-2</v>
      </c>
      <c r="T142" s="159">
        <v>6.4015369836695424E-2</v>
      </c>
      <c r="U142" s="159">
        <v>7.7777777777777724E-2</v>
      </c>
      <c r="V142" s="159">
        <v>4.82E-2</v>
      </c>
      <c r="W142" s="159">
        <v>5.2364475201845499E-2</v>
      </c>
    </row>
    <row r="143" spans="2:23" x14ac:dyDescent="0.25">
      <c r="B143" s="156">
        <v>38718</v>
      </c>
      <c r="C143" s="157">
        <v>5.8999999999999999E-3</v>
      </c>
      <c r="D143" s="157">
        <v>9.1999999999999998E-3</v>
      </c>
      <c r="E143" s="157">
        <v>7.3379999999999999E-3</v>
      </c>
      <c r="F143" s="157">
        <v>1.43E-2</v>
      </c>
      <c r="G143" s="157">
        <v>1.7978848413630955E-2</v>
      </c>
      <c r="H143" s="157">
        <v>1.64351112712664E-2</v>
      </c>
      <c r="I143" s="157">
        <v>2.1089414753757252E-2</v>
      </c>
      <c r="J143" s="157">
        <v>1.5080195258019513E-2</v>
      </c>
      <c r="K143" s="157">
        <v>2.14790047997242E-2</v>
      </c>
      <c r="L143" s="157">
        <v>2.2758267984998248E-2</v>
      </c>
      <c r="M143" s="157">
        <v>2.0982658959537437E-2</v>
      </c>
      <c r="N143" s="157">
        <v>2.6868526471543808E-2</v>
      </c>
      <c r="O143" s="157">
        <v>2.9804149347467224E-2</v>
      </c>
      <c r="P143" s="157">
        <v>1.6970288440685266E-2</v>
      </c>
      <c r="Q143" s="157">
        <v>1.7453880057358484E-2</v>
      </c>
      <c r="R143" s="157">
        <v>1.7114047130094789E-2</v>
      </c>
      <c r="S143" s="157">
        <v>-5.3418803418803451E-2</v>
      </c>
      <c r="T143" s="157">
        <v>-2.5351197139864889E-2</v>
      </c>
      <c r="U143" s="157">
        <v>5.1546391752577359E-2</v>
      </c>
      <c r="V143" s="157">
        <v>0.1472</v>
      </c>
      <c r="W143" s="157">
        <v>0.142531952922133</v>
      </c>
    </row>
    <row r="144" spans="2:23" x14ac:dyDescent="0.25">
      <c r="B144" s="156">
        <v>38749</v>
      </c>
      <c r="C144" s="157">
        <v>4.0999999999999995E-3</v>
      </c>
      <c r="D144" s="157">
        <v>1E-4</v>
      </c>
      <c r="E144" s="157">
        <v>5.7289999999999997E-3</v>
      </c>
      <c r="F144" s="157">
        <v>1.1399999999999999E-2</v>
      </c>
      <c r="G144" s="157">
        <v>1.6260725691638722E-2</v>
      </c>
      <c r="H144" s="157">
        <v>1.317961437167714E-2</v>
      </c>
      <c r="I144" s="157">
        <v>2.0917104632866446E-2</v>
      </c>
      <c r="J144" s="157">
        <v>1.1884929154143409E-2</v>
      </c>
      <c r="K144" s="157">
        <v>5.2990442962587814E-2</v>
      </c>
      <c r="L144" s="157">
        <v>7.7321258253002512E-3</v>
      </c>
      <c r="M144" s="157">
        <v>6.9363452792088998E-2</v>
      </c>
      <c r="N144" s="157">
        <v>5.2998752350325917E-2</v>
      </c>
      <c r="O144" s="157">
        <v>3.1250550806380506E-2</v>
      </c>
      <c r="P144" s="157">
        <v>0.13544276803326749</v>
      </c>
      <c r="Q144" s="157">
        <v>2.1555488305736947E-2</v>
      </c>
      <c r="R144" s="157">
        <v>1.8939584825856448E-2</v>
      </c>
      <c r="S144" s="157">
        <v>-3.8236617183985633E-2</v>
      </c>
      <c r="T144" s="157">
        <v>-6.0469079995553843E-2</v>
      </c>
      <c r="U144" s="157">
        <v>-4.4009779951100225E-2</v>
      </c>
      <c r="V144" s="157">
        <v>5.8999999999999999E-3</v>
      </c>
      <c r="W144" s="157">
        <v>2.0484363700763002E-2</v>
      </c>
    </row>
    <row r="145" spans="2:23" x14ac:dyDescent="0.25">
      <c r="B145" s="156">
        <v>38777</v>
      </c>
      <c r="C145" s="157">
        <v>4.3E-3</v>
      </c>
      <c r="D145" s="157">
        <v>-2.3E-3</v>
      </c>
      <c r="E145" s="157">
        <v>7.0830000000000008E-3</v>
      </c>
      <c r="F145" s="157">
        <v>1.4199999999999999E-2</v>
      </c>
      <c r="G145" s="157">
        <v>1.3770464492874446E-2</v>
      </c>
      <c r="H145" s="157">
        <v>1.489612498452253E-2</v>
      </c>
      <c r="I145" s="157">
        <v>1.2283203535477405E-2</v>
      </c>
      <c r="J145" s="157">
        <v>1.4350696742875702E-2</v>
      </c>
      <c r="K145" s="157">
        <v>3.2866316923927386E-3</v>
      </c>
      <c r="L145" s="157">
        <v>5.5317663058460642E-3</v>
      </c>
      <c r="M145" s="157">
        <v>2.2059666987266358E-3</v>
      </c>
      <c r="N145" s="157">
        <v>-3.8382590991773435E-3</v>
      </c>
      <c r="O145" s="157">
        <v>3.8969029876256833E-3</v>
      </c>
      <c r="P145" s="157">
        <v>-2.0565794107289537E-2</v>
      </c>
      <c r="Q145" s="157">
        <v>1.0639198293665553E-2</v>
      </c>
      <c r="R145" s="157">
        <v>1.1245724408964097E-2</v>
      </c>
      <c r="S145" s="157">
        <v>2.3156899810964138E-2</v>
      </c>
      <c r="T145" s="157">
        <v>3.8253736640769809E-2</v>
      </c>
      <c r="U145" s="157">
        <v>7.571801566579639E-2</v>
      </c>
      <c r="V145" s="157">
        <v>-1.7000000000000001E-2</v>
      </c>
      <c r="W145" s="157">
        <v>-1.6052757169509001E-3</v>
      </c>
    </row>
    <row r="146" spans="2:23" x14ac:dyDescent="0.25">
      <c r="B146" s="156">
        <v>38808</v>
      </c>
      <c r="C146" s="157">
        <v>2.0999999999999999E-3</v>
      </c>
      <c r="D146" s="157">
        <v>-4.1999999999999997E-3</v>
      </c>
      <c r="E146" s="157">
        <v>5.8589999999999996E-3</v>
      </c>
      <c r="F146" s="157">
        <v>1.0800000000000001E-2</v>
      </c>
      <c r="G146" s="157">
        <v>1.084955163901058E-2</v>
      </c>
      <c r="H146" s="157">
        <v>1.1052890119223058E-2</v>
      </c>
      <c r="I146" s="157">
        <v>1.0358601987014326E-2</v>
      </c>
      <c r="J146" s="157">
        <v>1.0809454089102832E-2</v>
      </c>
      <c r="K146" s="157">
        <v>-3.746382344063548E-3</v>
      </c>
      <c r="L146" s="157">
        <v>2.0927002229775837E-3</v>
      </c>
      <c r="M146" s="157">
        <v>-6.2071333609206025E-3</v>
      </c>
      <c r="N146" s="157">
        <v>4.556648183204004E-3</v>
      </c>
      <c r="O146" s="157">
        <v>6.9803868155815518E-3</v>
      </c>
      <c r="P146" s="157">
        <v>-1.6539226731224765E-3</v>
      </c>
      <c r="Q146" s="157">
        <v>8.776851890624382E-3</v>
      </c>
      <c r="R146" s="157">
        <v>9.8158168330326756E-3</v>
      </c>
      <c r="S146" s="157">
        <v>-2.4299065420560817E-2</v>
      </c>
      <c r="T146" s="157">
        <v>1.3294336612603708E-3</v>
      </c>
      <c r="U146" s="157">
        <v>7.5794621026894937E-2</v>
      </c>
      <c r="V146" s="157">
        <v>6.3500000000000001E-2</v>
      </c>
      <c r="W146" s="157">
        <v>1.0110666898429901E-2</v>
      </c>
    </row>
    <row r="147" spans="2:23" x14ac:dyDescent="0.25">
      <c r="B147" s="156">
        <v>38838</v>
      </c>
      <c r="C147" s="157">
        <v>1E-3</v>
      </c>
      <c r="D147" s="157">
        <v>3.8E-3</v>
      </c>
      <c r="E147" s="157">
        <v>6.8969999999999995E-3</v>
      </c>
      <c r="F147" s="157">
        <v>1.2800000000000001E-2</v>
      </c>
      <c r="G147" s="157">
        <v>3.6429737898011627E-3</v>
      </c>
      <c r="H147" s="157">
        <v>1.0726043568055177E-2</v>
      </c>
      <c r="I147" s="157">
        <v>-6.7473879782484758E-3</v>
      </c>
      <c r="J147" s="157">
        <v>1.2804489434433908E-2</v>
      </c>
      <c r="K147" s="157">
        <v>-8.9199786134378511E-3</v>
      </c>
      <c r="L147" s="157">
        <v>1.0040398697757524E-2</v>
      </c>
      <c r="M147" s="157">
        <v>-1.6921523114268977E-2</v>
      </c>
      <c r="N147" s="157">
        <v>-3.3836404569332013E-2</v>
      </c>
      <c r="O147" s="157">
        <v>-1.7583606668244878E-2</v>
      </c>
      <c r="P147" s="157">
        <v>-8.1736694677871258E-2</v>
      </c>
      <c r="Q147" s="157">
        <v>1.3117149427577246E-3</v>
      </c>
      <c r="R147" s="157">
        <v>2.1558458692860771E-3</v>
      </c>
      <c r="S147" s="157">
        <v>0.12815533980582505</v>
      </c>
      <c r="T147" s="157">
        <v>0.11823837341628107</v>
      </c>
      <c r="U147" s="157">
        <v>0.12471655328798192</v>
      </c>
      <c r="V147" s="157">
        <v>-9.4899999999999998E-2</v>
      </c>
      <c r="W147" s="157">
        <v>-7.9014540969971597E-2</v>
      </c>
    </row>
    <row r="148" spans="2:23" x14ac:dyDescent="0.25">
      <c r="B148" s="156">
        <v>38869</v>
      </c>
      <c r="C148" s="160">
        <v>-2.0999999999999999E-3</v>
      </c>
      <c r="D148" s="160">
        <v>7.4999999999999997E-3</v>
      </c>
      <c r="E148" s="160">
        <v>6.9470000000000001E-3</v>
      </c>
      <c r="F148" s="160">
        <v>1.18E-2</v>
      </c>
      <c r="G148" s="160">
        <v>1.8148753515630611E-2</v>
      </c>
      <c r="H148" s="160">
        <v>1.3815689461879499E-2</v>
      </c>
      <c r="I148" s="160">
        <v>2.4416429663619121E-2</v>
      </c>
      <c r="J148" s="160">
        <v>1.1882579843744967E-2</v>
      </c>
      <c r="K148" s="160">
        <v>4.2348879238260917E-3</v>
      </c>
      <c r="L148" s="160">
        <v>1.298326080283152E-2</v>
      </c>
      <c r="M148" s="160">
        <v>4.5059658988511053E-4</v>
      </c>
      <c r="N148" s="160">
        <v>1.7847279756973311E-2</v>
      </c>
      <c r="O148" s="160">
        <v>1.9378377448112216E-2</v>
      </c>
      <c r="P148" s="160">
        <v>1.2550441444346694E-2</v>
      </c>
      <c r="Q148" s="160">
        <v>1.4277304723449902E-2</v>
      </c>
      <c r="R148" s="160">
        <v>1.5098663562860049E-2</v>
      </c>
      <c r="S148" s="160">
        <v>-3.8615179760319696E-2</v>
      </c>
      <c r="T148" s="160">
        <v>-6.0992570982733474E-2</v>
      </c>
      <c r="U148" s="160">
        <v>-7.7253218884120178E-2</v>
      </c>
      <c r="V148" s="160">
        <v>2.7000000000000001E-3</v>
      </c>
      <c r="W148" s="160">
        <v>1.09927752864971E-2</v>
      </c>
    </row>
    <row r="149" spans="2:23" x14ac:dyDescent="0.25">
      <c r="B149" s="156">
        <v>38899</v>
      </c>
      <c r="C149" s="157">
        <v>1.9E-3</v>
      </c>
      <c r="D149" s="157">
        <v>1.8E-3</v>
      </c>
      <c r="E149" s="157">
        <v>6.7600000000000004E-3</v>
      </c>
      <c r="F149" s="157">
        <v>1.1699999999999999E-2</v>
      </c>
      <c r="G149" s="157">
        <v>1.5507603751618193E-2</v>
      </c>
      <c r="H149" s="157">
        <v>1.2702396748412115E-2</v>
      </c>
      <c r="I149" s="157">
        <v>2.0519328604654996E-2</v>
      </c>
      <c r="J149" s="157">
        <v>1.1702660356329497E-2</v>
      </c>
      <c r="K149" s="157">
        <v>8.9264929716177388E-3</v>
      </c>
      <c r="L149" s="157">
        <v>1.2834682163356925E-2</v>
      </c>
      <c r="M149" s="157">
        <v>7.1792746860754875E-3</v>
      </c>
      <c r="N149" s="157">
        <v>3.4085128031202228E-2</v>
      </c>
      <c r="O149" s="157">
        <v>2.3779376012965869E-2</v>
      </c>
      <c r="P149" s="157">
        <v>6.9703986159050491E-2</v>
      </c>
      <c r="Q149" s="157">
        <v>1.6087237294924561E-2</v>
      </c>
      <c r="R149" s="157">
        <v>1.6664528949247082E-2</v>
      </c>
      <c r="S149" s="157">
        <v>-1.8348623853211565E-3</v>
      </c>
      <c r="T149" s="157">
        <v>3.7209638380115706E-3</v>
      </c>
      <c r="U149" s="157">
        <v>2.7713625866050862E-2</v>
      </c>
      <c r="V149" s="157">
        <v>1.21E-2</v>
      </c>
      <c r="W149" s="157">
        <v>-3.1726474665022498E-3</v>
      </c>
    </row>
    <row r="150" spans="2:23" x14ac:dyDescent="0.25">
      <c r="B150" s="156">
        <v>38930</v>
      </c>
      <c r="C150" s="157">
        <v>5.0000000000000001E-4</v>
      </c>
      <c r="D150" s="157">
        <v>3.7000000000000002E-3</v>
      </c>
      <c r="E150" s="157">
        <v>7.4479999999999998E-3</v>
      </c>
      <c r="F150" s="157">
        <v>1.2500000000000001E-2</v>
      </c>
      <c r="G150" s="157">
        <v>1.7122226850813327E-2</v>
      </c>
      <c r="H150" s="157">
        <v>1.4152066172963051E-2</v>
      </c>
      <c r="I150" s="157">
        <v>2.2097882241593592E-2</v>
      </c>
      <c r="J150" s="157">
        <v>1.2565160816496057E-2</v>
      </c>
      <c r="K150" s="157">
        <v>1.1775981257820423E-2</v>
      </c>
      <c r="L150" s="157">
        <v>1.4238445563025781E-2</v>
      </c>
      <c r="M150" s="157">
        <v>1.0669790986575611E-2</v>
      </c>
      <c r="N150" s="157">
        <v>2.2154804854050525E-2</v>
      </c>
      <c r="O150" s="157">
        <v>1.8980714209150706E-2</v>
      </c>
      <c r="P150" s="157">
        <v>3.2468316234158134E-2</v>
      </c>
      <c r="Q150" s="157">
        <v>1.5502691048342232E-2</v>
      </c>
      <c r="R150" s="157">
        <v>1.579797563757257E-2</v>
      </c>
      <c r="S150" s="157">
        <v>-2.1441605839416122E-2</v>
      </c>
      <c r="T150" s="157">
        <v>-1.3820904117477606E-2</v>
      </c>
      <c r="U150" s="157">
        <v>-4.7930283224400738E-2</v>
      </c>
      <c r="V150" s="157">
        <v>-2.2700000000000001E-2</v>
      </c>
      <c r="W150" s="157">
        <v>3.2229157654038797E-2</v>
      </c>
    </row>
    <row r="151" spans="2:23" x14ac:dyDescent="0.25">
      <c r="B151" s="156">
        <v>38961</v>
      </c>
      <c r="C151" s="157">
        <v>2.0999999999999999E-3</v>
      </c>
      <c r="D151" s="157">
        <v>2.8999999999999998E-3</v>
      </c>
      <c r="E151" s="157">
        <v>6.5290000000000001E-3</v>
      </c>
      <c r="F151" s="157">
        <v>1.0500000000000001E-2</v>
      </c>
      <c r="G151" s="157">
        <v>1.3301968691366239E-2</v>
      </c>
      <c r="H151" s="157">
        <v>1.1655058041503796E-2</v>
      </c>
      <c r="I151" s="157">
        <v>1.5820870272566401E-2</v>
      </c>
      <c r="J151" s="157">
        <v>1.0564407407699372E-2</v>
      </c>
      <c r="K151" s="157">
        <v>1.1998526496745932E-2</v>
      </c>
      <c r="L151" s="157">
        <v>1.2962673746681252E-2</v>
      </c>
      <c r="M151" s="157">
        <v>1.1574811511096961E-2</v>
      </c>
      <c r="N151" s="157">
        <v>5.8237474130049538E-3</v>
      </c>
      <c r="O151" s="157">
        <v>6.7970513743800254E-3</v>
      </c>
      <c r="P151" s="157">
        <v>3.0706881770712346E-3</v>
      </c>
      <c r="Q151" s="157">
        <v>1.0908831637988392E-2</v>
      </c>
      <c r="R151" s="157">
        <v>1.0823812764027219E-2</v>
      </c>
      <c r="S151" s="157">
        <v>1.4960261804581654E-2</v>
      </c>
      <c r="T151" s="157">
        <v>6.3868613138684527E-3</v>
      </c>
      <c r="U151" s="157">
        <v>-3.935185185185186E-2</v>
      </c>
      <c r="V151" s="157">
        <v>5.8999999999999999E-3</v>
      </c>
      <c r="W151" s="157">
        <v>2.9321957790749999E-2</v>
      </c>
    </row>
    <row r="152" spans="2:23" x14ac:dyDescent="0.25">
      <c r="B152" s="156">
        <v>38991</v>
      </c>
      <c r="C152" s="157">
        <v>3.3E-3</v>
      </c>
      <c r="D152" s="157">
        <v>4.6999999999999993E-3</v>
      </c>
      <c r="E152" s="157">
        <v>6.8840000000000004E-3</v>
      </c>
      <c r="F152" s="157">
        <v>1.09E-2</v>
      </c>
      <c r="G152" s="157">
        <v>1.546263541896975E-2</v>
      </c>
      <c r="H152" s="157">
        <v>1.2333260716631766E-2</v>
      </c>
      <c r="I152" s="157">
        <v>1.9851871226336248E-2</v>
      </c>
      <c r="J152" s="157">
        <v>1.0953261403796155E-2</v>
      </c>
      <c r="K152" s="157">
        <v>2.7031946057443967E-2</v>
      </c>
      <c r="L152" s="157">
        <v>1.7730496453900679E-2</v>
      </c>
      <c r="M152" s="157">
        <v>3.1072853243754084E-2</v>
      </c>
      <c r="N152" s="157">
        <v>2.760232239129734E-2</v>
      </c>
      <c r="O152" s="157">
        <v>2.6916245388714399E-2</v>
      </c>
      <c r="P152" s="157">
        <v>2.947849328692187E-2</v>
      </c>
      <c r="Q152" s="157">
        <v>1.6229771560675621E-2</v>
      </c>
      <c r="R152" s="157">
        <v>1.5407251592564064E-2</v>
      </c>
      <c r="S152" s="157">
        <v>-7.8740157480314821E-3</v>
      </c>
      <c r="T152" s="157">
        <v>-7.978241160471411E-3</v>
      </c>
      <c r="U152" s="157">
        <v>1.4423076923076872E-2</v>
      </c>
      <c r="V152" s="157">
        <v>7.7100000000000002E-2</v>
      </c>
      <c r="W152" s="157">
        <v>7.1747444342654204E-2</v>
      </c>
    </row>
    <row r="153" spans="2:23" x14ac:dyDescent="0.25">
      <c r="B153" s="156">
        <v>39022</v>
      </c>
      <c r="C153" s="157">
        <v>3.0999999999999999E-3</v>
      </c>
      <c r="D153" s="157">
        <v>7.4999999999999997E-3</v>
      </c>
      <c r="E153" s="157">
        <v>6.2880000000000002E-3</v>
      </c>
      <c r="F153" s="157">
        <v>1.0200000000000001E-2</v>
      </c>
      <c r="G153" s="157">
        <v>1.2369534747642463E-2</v>
      </c>
      <c r="H153" s="157">
        <v>1.0708937250065054E-2</v>
      </c>
      <c r="I153" s="157">
        <v>1.437921578648238E-2</v>
      </c>
      <c r="J153" s="157">
        <v>1.0217231932708293E-2</v>
      </c>
      <c r="K153" s="157">
        <v>3.2143188665074485E-2</v>
      </c>
      <c r="L153" s="157">
        <v>2.5021461394738154E-2</v>
      </c>
      <c r="M153" s="157">
        <v>3.5082807303332464E-2</v>
      </c>
      <c r="N153" s="157">
        <v>2.0589992937469326E-2</v>
      </c>
      <c r="O153" s="157">
        <v>1.6732930532511014E-2</v>
      </c>
      <c r="P153" s="157">
        <v>3.0664613805491348E-2</v>
      </c>
      <c r="Q153" s="157">
        <v>1.4243190721490606E-2</v>
      </c>
      <c r="R153" s="157">
        <v>1.2861413805797639E-2</v>
      </c>
      <c r="S153" s="157">
        <v>1.025641025641022E-2</v>
      </c>
      <c r="T153" s="157">
        <v>5.0630597696947666E-2</v>
      </c>
      <c r="U153" s="157">
        <v>5.4778554778554867E-2</v>
      </c>
      <c r="V153" s="157">
        <v>6.7900000000000002E-2</v>
      </c>
      <c r="W153" s="157">
        <v>0.100077337421814</v>
      </c>
    </row>
    <row r="154" spans="2:23" x14ac:dyDescent="0.25">
      <c r="B154" s="158">
        <v>39052</v>
      </c>
      <c r="C154" s="159">
        <v>4.7999999999999996E-3</v>
      </c>
      <c r="D154" s="159">
        <v>3.2000000000000002E-3</v>
      </c>
      <c r="E154" s="159">
        <v>6.5300000000000002E-3</v>
      </c>
      <c r="F154" s="159">
        <v>9.7999999999999997E-3</v>
      </c>
      <c r="G154" s="159">
        <v>1.4883192644765897E-2</v>
      </c>
      <c r="H154" s="159">
        <v>1.0589684402091626E-2</v>
      </c>
      <c r="I154" s="159">
        <v>1.9657824513977573E-2</v>
      </c>
      <c r="J154" s="159">
        <v>9.8770901924238874E-3</v>
      </c>
      <c r="K154" s="159">
        <v>2.3097048483361915E-2</v>
      </c>
      <c r="L154" s="159">
        <v>1.5493755696233569E-2</v>
      </c>
      <c r="M154" s="159">
        <v>2.5754309461553104E-2</v>
      </c>
      <c r="N154" s="159">
        <v>2.8995756718529053E-2</v>
      </c>
      <c r="O154" s="159">
        <v>2.4617042567931735E-2</v>
      </c>
      <c r="P154" s="159">
        <v>3.9952841587276078E-2</v>
      </c>
      <c r="Q154" s="159">
        <v>1.5807121187929152E-2</v>
      </c>
      <c r="R154" s="159">
        <v>1.5246801060412096E-2</v>
      </c>
      <c r="S154" s="159">
        <v>-1.384402399630813E-2</v>
      </c>
      <c r="T154" s="159">
        <v>-1.87195546276967E-2</v>
      </c>
      <c r="U154" s="159">
        <v>-1.3157894736842146E-2</v>
      </c>
      <c r="V154" s="159">
        <v>6.0599999999999994E-2</v>
      </c>
      <c r="W154" s="159">
        <v>7.6332959212619803E-2</v>
      </c>
    </row>
    <row r="155" spans="2:23" x14ac:dyDescent="0.25">
      <c r="B155" s="156">
        <v>39083</v>
      </c>
      <c r="C155" s="157">
        <v>4.4000000000000003E-3</v>
      </c>
      <c r="D155" s="157">
        <v>5.0000000000000001E-3</v>
      </c>
      <c r="E155" s="157">
        <v>7.1999999999999998E-3</v>
      </c>
      <c r="F155" s="157">
        <v>1.0800000000000001E-2</v>
      </c>
      <c r="G155" s="157">
        <v>1.040021456030038E-2</v>
      </c>
      <c r="H155" s="157">
        <v>1.0282974993789828E-2</v>
      </c>
      <c r="I155" s="157">
        <v>9.8652850046070384E-3</v>
      </c>
      <c r="J155" s="157">
        <v>1.0839472927792304E-2</v>
      </c>
      <c r="K155" s="157">
        <v>1.8955528029727997E-2</v>
      </c>
      <c r="L155" s="157">
        <v>1.2920648781513222E-2</v>
      </c>
      <c r="M155" s="157">
        <v>2.1064239537801344E-2</v>
      </c>
      <c r="N155" s="157">
        <v>1.4706425747330165E-2</v>
      </c>
      <c r="O155" s="157">
        <v>1.4559605733690084E-2</v>
      </c>
      <c r="P155" s="157">
        <v>1.5075659956202303E-2</v>
      </c>
      <c r="Q155" s="157">
        <v>1.1960898788940355E-2</v>
      </c>
      <c r="R155" s="157">
        <v>1.140313367960899E-2</v>
      </c>
      <c r="S155" s="157">
        <v>-3.7523452157598447E-3</v>
      </c>
      <c r="T155" s="157">
        <v>-1.9679455357776043E-2</v>
      </c>
      <c r="U155" s="157">
        <v>4.4186046511627941E-2</v>
      </c>
      <c r="V155" s="157">
        <v>-5.7000000000000002E-3</v>
      </c>
      <c r="W155" s="157">
        <v>-2.6687903928129399E-2</v>
      </c>
    </row>
    <row r="156" spans="2:23" x14ac:dyDescent="0.25">
      <c r="B156" s="156">
        <v>39114</v>
      </c>
      <c r="C156" s="157">
        <v>4.4000000000000003E-3</v>
      </c>
      <c r="D156" s="157">
        <v>2.7000000000000001E-3</v>
      </c>
      <c r="E156" s="157">
        <v>5.7250000000000001E-3</v>
      </c>
      <c r="F156" s="157">
        <v>8.6999999999999994E-3</v>
      </c>
      <c r="G156" s="157">
        <v>1.1295935822568381E-2</v>
      </c>
      <c r="H156" s="157">
        <v>9.1797811130185369E-3</v>
      </c>
      <c r="I156" s="157">
        <v>1.4081789975351588E-2</v>
      </c>
      <c r="J156" s="157">
        <v>8.7177760317282971E-3</v>
      </c>
      <c r="K156" s="157">
        <v>1.1756217305716632E-2</v>
      </c>
      <c r="L156" s="157">
        <v>8.8125419074682743E-3</v>
      </c>
      <c r="M156" s="157">
        <v>1.2772251657183986E-2</v>
      </c>
      <c r="N156" s="157">
        <v>1.3815957175630889E-2</v>
      </c>
      <c r="O156" s="157">
        <v>1.0722272410882194E-2</v>
      </c>
      <c r="P156" s="157">
        <v>2.110184658499703E-2</v>
      </c>
      <c r="Q156" s="157">
        <v>1.0776627218934909E-2</v>
      </c>
      <c r="R156" s="157">
        <v>1.0698357445160012E-2</v>
      </c>
      <c r="S156" s="157">
        <v>9.5192765349834119E-3</v>
      </c>
      <c r="T156" s="157">
        <v>1.399790212319596E-2</v>
      </c>
      <c r="U156" s="157">
        <v>2.2222222222222143E-2</v>
      </c>
      <c r="V156" s="157">
        <v>-1.44E-2</v>
      </c>
      <c r="W156" s="157">
        <v>6.2868646911313801E-3</v>
      </c>
    </row>
    <row r="157" spans="2:23" x14ac:dyDescent="0.25">
      <c r="B157" s="156">
        <v>39142</v>
      </c>
      <c r="C157" s="157">
        <v>3.7000000000000002E-3</v>
      </c>
      <c r="D157" s="157">
        <v>3.4000000000000002E-3</v>
      </c>
      <c r="E157" s="157">
        <v>6.8849999999999996E-3</v>
      </c>
      <c r="F157" s="157">
        <v>1.0500000000000001E-2</v>
      </c>
      <c r="G157" s="157">
        <v>1.3872281684116361E-2</v>
      </c>
      <c r="H157" s="157">
        <v>1.0980619203426301E-2</v>
      </c>
      <c r="I157" s="157">
        <v>1.6967118207144027E-2</v>
      </c>
      <c r="J157" s="157">
        <v>1.0541543026706179E-2</v>
      </c>
      <c r="K157" s="157">
        <v>2.8091716664341293E-2</v>
      </c>
      <c r="L157" s="157">
        <v>1.0381389460357715E-2</v>
      </c>
      <c r="M157" s="157">
        <v>3.4062545881662132E-2</v>
      </c>
      <c r="N157" s="157">
        <v>2.1709458197439746E-2</v>
      </c>
      <c r="O157" s="157">
        <v>1.3912699459316835E-2</v>
      </c>
      <c r="P157" s="157">
        <v>3.8804347826086882E-2</v>
      </c>
      <c r="Q157" s="157">
        <v>1.4927885143095621E-2</v>
      </c>
      <c r="R157" s="157">
        <v>1.3946907692839572E-2</v>
      </c>
      <c r="S157" s="157">
        <v>-2.7384324834749729E-2</v>
      </c>
      <c r="T157" s="157">
        <v>-2.3007776271670055E-2</v>
      </c>
      <c r="U157" s="157">
        <v>-1.7543859649122862E-2</v>
      </c>
      <c r="V157" s="157">
        <v>4.4400000000000002E-2</v>
      </c>
      <c r="W157" s="157">
        <v>3.6842043686310402E-2</v>
      </c>
    </row>
    <row r="158" spans="2:23" x14ac:dyDescent="0.25">
      <c r="B158" s="156">
        <v>39173</v>
      </c>
      <c r="C158" s="157">
        <v>2.5000000000000001E-3</v>
      </c>
      <c r="D158" s="157">
        <v>4.0000000000000002E-4</v>
      </c>
      <c r="E158" s="157">
        <v>6.2780000000000006E-3</v>
      </c>
      <c r="F158" s="157">
        <v>9.3999999999999986E-3</v>
      </c>
      <c r="G158" s="157">
        <v>1.7837395567658065E-2</v>
      </c>
      <c r="H158" s="157">
        <v>1.0847241298085342E-2</v>
      </c>
      <c r="I158" s="157">
        <v>2.6193209556696129E-2</v>
      </c>
      <c r="J158" s="157">
        <v>9.4478824850792176E-3</v>
      </c>
      <c r="K158" s="157">
        <v>5.2318479981904531E-2</v>
      </c>
      <c r="L158" s="157">
        <v>9.092190583591675E-3</v>
      </c>
      <c r="M158" s="157">
        <v>6.6239715432269364E-2</v>
      </c>
      <c r="N158" s="157">
        <v>4.3290865114186117E-2</v>
      </c>
      <c r="O158" s="157">
        <v>2.3613911108220753E-2</v>
      </c>
      <c r="P158" s="157">
        <v>8.4094119493564934E-2</v>
      </c>
      <c r="Q158" s="157">
        <v>2.1701983460348684E-2</v>
      </c>
      <c r="R158" s="157">
        <v>1.9371300780309353E-2</v>
      </c>
      <c r="S158" s="157">
        <v>-5.371093750000111E-3</v>
      </c>
      <c r="T158" s="157">
        <v>1.3728139033918563E-2</v>
      </c>
      <c r="U158" s="157">
        <v>2.3076923076922995E-2</v>
      </c>
      <c r="V158" s="157">
        <v>8.1600000000000006E-2</v>
      </c>
      <c r="W158" s="157">
        <v>7.4033535690911895E-2</v>
      </c>
    </row>
    <row r="159" spans="2:23" x14ac:dyDescent="0.25">
      <c r="B159" s="156">
        <v>39203</v>
      </c>
      <c r="C159" s="157">
        <v>2.8000000000000004E-3</v>
      </c>
      <c r="D159" s="157">
        <v>4.0000000000000002E-4</v>
      </c>
      <c r="E159" s="157">
        <v>6.6969999999999998E-3</v>
      </c>
      <c r="F159" s="157">
        <v>1.0200000000000001E-2</v>
      </c>
      <c r="G159" s="157">
        <v>1.4466358729271489E-2</v>
      </c>
      <c r="H159" s="157">
        <v>1.0921083338911064E-2</v>
      </c>
      <c r="I159" s="157">
        <v>1.821433031488362E-2</v>
      </c>
      <c r="J159" s="157">
        <v>1.0297582686098261E-2</v>
      </c>
      <c r="K159" s="157">
        <v>5.2683618855189795E-2</v>
      </c>
      <c r="L159" s="157">
        <v>1.4380728426967249E-2</v>
      </c>
      <c r="M159" s="157">
        <v>6.3231965012860769E-2</v>
      </c>
      <c r="N159" s="157">
        <v>2.5966936467606949E-2</v>
      </c>
      <c r="O159" s="157">
        <v>1.4358221387679171E-2</v>
      </c>
      <c r="P159" s="157">
        <v>4.5351720144054086E-2</v>
      </c>
      <c r="Q159" s="157">
        <v>1.7698490547397139E-2</v>
      </c>
      <c r="R159" s="157">
        <v>1.5086694869479222E-2</v>
      </c>
      <c r="S159" s="157">
        <v>-4.8913043478260865E-2</v>
      </c>
      <c r="T159" s="157">
        <v>-6.5117954258959165E-2</v>
      </c>
      <c r="U159" s="157">
        <v>-4.3478260869565188E-2</v>
      </c>
      <c r="V159" s="157">
        <v>6.6699999999999995E-2</v>
      </c>
      <c r="W159" s="157">
        <v>9.5363667881869493E-2</v>
      </c>
    </row>
    <row r="160" spans="2:23" x14ac:dyDescent="0.25">
      <c r="B160" s="156">
        <v>39234</v>
      </c>
      <c r="C160" s="160">
        <v>2.8000000000000004E-3</v>
      </c>
      <c r="D160" s="160">
        <v>2.5999999999999999E-3</v>
      </c>
      <c r="E160" s="160">
        <v>5.9589999999999999E-3</v>
      </c>
      <c r="F160" s="160">
        <v>9.0000000000000011E-3</v>
      </c>
      <c r="G160" s="160">
        <v>5.4817841334695583E-3</v>
      </c>
      <c r="H160" s="160">
        <v>9.5060270007760739E-3</v>
      </c>
      <c r="I160" s="160">
        <v>1.9293868977836581E-3</v>
      </c>
      <c r="J160" s="160">
        <v>9.0697071780252436E-3</v>
      </c>
      <c r="K160" s="160">
        <v>1.1584378105389259E-2</v>
      </c>
      <c r="L160" s="160">
        <v>1.1323122121402296E-2</v>
      </c>
      <c r="M160" s="160">
        <v>1.1660942763162208E-2</v>
      </c>
      <c r="N160" s="160">
        <v>4.7032857311770648E-3</v>
      </c>
      <c r="O160" s="160">
        <v>1.1461776679773106E-2</v>
      </c>
      <c r="P160" s="160">
        <v>-3.8663735147643763E-3</v>
      </c>
      <c r="Q160" s="160">
        <v>7.0173005581943837E-3</v>
      </c>
      <c r="R160" s="160">
        <v>6.6774614820317435E-3</v>
      </c>
      <c r="S160" s="160">
        <v>1.2067156348373631E-2</v>
      </c>
      <c r="T160" s="160">
        <v>4.4689293832107513E-3</v>
      </c>
      <c r="U160" s="160">
        <v>-2.9680365296803624E-2</v>
      </c>
      <c r="V160" s="160">
        <v>3.56E-2</v>
      </c>
      <c r="W160" s="160">
        <v>2.7642432380587102E-2</v>
      </c>
    </row>
    <row r="161" spans="2:23" x14ac:dyDescent="0.25">
      <c r="B161" s="156">
        <v>39264</v>
      </c>
      <c r="C161" s="157">
        <v>2.3999999999999998E-3</v>
      </c>
      <c r="D161" s="157">
        <v>2.8000000000000004E-3</v>
      </c>
      <c r="E161" s="157">
        <v>6.4759999999999991E-3</v>
      </c>
      <c r="F161" s="157">
        <v>9.7000000000000003E-3</v>
      </c>
      <c r="G161" s="157">
        <v>4.565310413402246E-3</v>
      </c>
      <c r="H161" s="157">
        <v>8.8961405531546855E-3</v>
      </c>
      <c r="I161" s="157">
        <v>-5.8021877121006149E-5</v>
      </c>
      <c r="J161" s="157">
        <v>9.7443360155224923E-3</v>
      </c>
      <c r="K161" s="157">
        <v>2.7519108623101918E-3</v>
      </c>
      <c r="L161" s="157">
        <v>1.1196344544808223E-2</v>
      </c>
      <c r="M161" s="157">
        <v>5.2778356964133799E-4</v>
      </c>
      <c r="N161" s="157">
        <v>-9.5325269695978321E-3</v>
      </c>
      <c r="O161" s="157">
        <v>2.2705068046400267E-3</v>
      </c>
      <c r="P161" s="157">
        <v>-2.30913167148461E-2</v>
      </c>
      <c r="Q161" s="157">
        <v>3.4428859647310794E-3</v>
      </c>
      <c r="R161" s="157">
        <v>3.4944488947730168E-3</v>
      </c>
      <c r="S161" s="157">
        <v>-1.7736045905059949E-2</v>
      </c>
      <c r="T161" s="157">
        <v>-1.4497756299620246E-2</v>
      </c>
      <c r="U161" s="157">
        <v>-2.3584905660377409E-2</v>
      </c>
      <c r="V161" s="157">
        <v>1.15E-2</v>
      </c>
      <c r="W161" s="157">
        <v>5.9733811203821503E-3</v>
      </c>
    </row>
    <row r="162" spans="2:23" x14ac:dyDescent="0.25">
      <c r="B162" s="156">
        <v>39295</v>
      </c>
      <c r="C162" s="157">
        <v>4.6999999999999993E-3</v>
      </c>
      <c r="D162" s="157">
        <v>9.7999999999999997E-3</v>
      </c>
      <c r="E162" s="157">
        <v>6.4729999999999996E-3</v>
      </c>
      <c r="F162" s="157">
        <v>9.8999999999999991E-3</v>
      </c>
      <c r="G162" s="157">
        <v>5.7305009744923474E-4</v>
      </c>
      <c r="H162" s="157">
        <v>8.6642924426023615E-3</v>
      </c>
      <c r="I162" s="157">
        <v>-7.7630442843812375E-3</v>
      </c>
      <c r="J162" s="157">
        <v>9.8975626986930187E-3</v>
      </c>
      <c r="K162" s="157">
        <v>-1.150080854575819E-2</v>
      </c>
      <c r="L162" s="157">
        <v>1.5456436191701561E-2</v>
      </c>
      <c r="M162" s="157">
        <v>-1.8553854369501077E-2</v>
      </c>
      <c r="N162" s="157">
        <v>-5.7362765030497531E-3</v>
      </c>
      <c r="O162" s="157">
        <v>5.8487561096161045E-3</v>
      </c>
      <c r="P162" s="157">
        <v>-1.725640888794E-2</v>
      </c>
      <c r="Q162" s="157">
        <v>1.9694360001922817E-3</v>
      </c>
      <c r="R162" s="157">
        <v>2.9787296581416101E-3</v>
      </c>
      <c r="S162" s="157">
        <v>3.8054968287526414E-2</v>
      </c>
      <c r="T162" s="157">
        <v>4.1136407861451563E-2</v>
      </c>
      <c r="U162" s="157">
        <v>4.4334975369457963E-2</v>
      </c>
      <c r="V162" s="157">
        <v>-1.24E-2</v>
      </c>
      <c r="W162" s="157">
        <v>-2.88823736802062E-2</v>
      </c>
    </row>
    <row r="163" spans="2:23" x14ac:dyDescent="0.25">
      <c r="B163" s="156">
        <v>39326</v>
      </c>
      <c r="C163" s="157">
        <v>1.8E-3</v>
      </c>
      <c r="D163" s="157">
        <v>1.29E-2</v>
      </c>
      <c r="E163" s="157">
        <v>5.3540000000000003E-3</v>
      </c>
      <c r="F163" s="157">
        <v>8.0000000000000002E-3</v>
      </c>
      <c r="G163" s="157">
        <v>1.3978089559004037E-2</v>
      </c>
      <c r="H163" s="157">
        <v>8.7275263909294409E-3</v>
      </c>
      <c r="I163" s="157">
        <v>1.9235565637321095E-2</v>
      </c>
      <c r="J163" s="157">
        <v>8.1006778546495184E-3</v>
      </c>
      <c r="K163" s="157">
        <v>2.5040897643888282E-2</v>
      </c>
      <c r="L163" s="157">
        <v>2.1314060059529183E-2</v>
      </c>
      <c r="M163" s="157">
        <v>2.6031160420426858E-2</v>
      </c>
      <c r="N163" s="157">
        <v>2.4723979737490298E-2</v>
      </c>
      <c r="O163" s="157">
        <v>1.349949496328251E-2</v>
      </c>
      <c r="P163" s="157">
        <v>4.059183094682095E-2</v>
      </c>
      <c r="Q163" s="157">
        <v>1.4813648006355429E-2</v>
      </c>
      <c r="R163" s="157">
        <v>1.4058346098827945E-2</v>
      </c>
      <c r="S163" s="157">
        <v>-6.1892583120204625E-2</v>
      </c>
      <c r="T163" s="157">
        <v>-1.9250897129186595E-2</v>
      </c>
      <c r="U163" s="157">
        <v>4.8867699642431317E-2</v>
      </c>
      <c r="V163" s="157">
        <v>0.1123</v>
      </c>
      <c r="W163" s="157">
        <v>4.1339842742359197E-2</v>
      </c>
    </row>
    <row r="164" spans="2:23" x14ac:dyDescent="0.25">
      <c r="B164" s="156">
        <v>39356</v>
      </c>
      <c r="C164" s="157">
        <v>3.0000000000000001E-3</v>
      </c>
      <c r="D164" s="157">
        <v>1.0500000000000001E-2</v>
      </c>
      <c r="E164" s="157">
        <v>6.1479999999999998E-3</v>
      </c>
      <c r="F164" s="157">
        <v>9.1999999999999998E-3</v>
      </c>
      <c r="G164" s="157">
        <v>5.8023106546856162E-3</v>
      </c>
      <c r="H164" s="157">
        <v>8.3029444564557409E-3</v>
      </c>
      <c r="I164" s="157">
        <v>3.313634166563828E-3</v>
      </c>
      <c r="J164" s="157">
        <v>9.4511793156570878E-3</v>
      </c>
      <c r="K164" s="157">
        <v>1.2688069506251454E-2</v>
      </c>
      <c r="L164" s="157">
        <v>1.5855725879170501E-2</v>
      </c>
      <c r="M164" s="157">
        <v>1.1873734858724561E-2</v>
      </c>
      <c r="N164" s="157">
        <v>-2.4555060998917577E-3</v>
      </c>
      <c r="O164" s="157">
        <v>1.0841604826872242E-3</v>
      </c>
      <c r="P164" s="157">
        <v>-7.1093070455204854E-3</v>
      </c>
      <c r="Q164" s="157">
        <v>5.8646078676178881E-3</v>
      </c>
      <c r="R164" s="157">
        <v>5.0486031982168722E-3</v>
      </c>
      <c r="S164" s="157">
        <v>-4.0331491712707113E-2</v>
      </c>
      <c r="T164" s="157">
        <v>-3.9219422952319283E-2</v>
      </c>
      <c r="U164" s="157">
        <v>9.1954022988505857E-2</v>
      </c>
      <c r="V164" s="157">
        <v>8.0799999999999997E-2</v>
      </c>
      <c r="W164" s="157">
        <v>4.3763073874270697E-2</v>
      </c>
    </row>
    <row r="165" spans="2:23" x14ac:dyDescent="0.25">
      <c r="B165" s="156">
        <v>39387</v>
      </c>
      <c r="C165" s="157">
        <v>3.8E-3</v>
      </c>
      <c r="D165" s="157">
        <v>6.8999999999999999E-3</v>
      </c>
      <c r="E165" s="157">
        <v>5.5929999999999999E-3</v>
      </c>
      <c r="F165" s="157">
        <v>8.3999999999999995E-3</v>
      </c>
      <c r="G165" s="157">
        <v>1.4084253264303737E-3</v>
      </c>
      <c r="H165" s="157">
        <v>8.1775629147455842E-3</v>
      </c>
      <c r="I165" s="157">
        <v>-5.1747363197049978E-3</v>
      </c>
      <c r="J165" s="157">
        <v>8.4209223831555047E-3</v>
      </c>
      <c r="K165" s="157">
        <v>3.831968821113696E-3</v>
      </c>
      <c r="L165" s="157">
        <v>1.1304971489032312E-2</v>
      </c>
      <c r="M165" s="157">
        <v>1.9365600812970563E-3</v>
      </c>
      <c r="N165" s="157">
        <v>-4.8386677751220963E-3</v>
      </c>
      <c r="O165" s="157">
        <v>7.27820641316268E-3</v>
      </c>
      <c r="P165" s="157">
        <v>-2.0662991169462241E-2</v>
      </c>
      <c r="Q165" s="157">
        <v>2.7843752935334809E-3</v>
      </c>
      <c r="R165" s="157">
        <v>1.7927076539190345E-3</v>
      </c>
      <c r="S165" s="157">
        <v>2.6315789473684292E-2</v>
      </c>
      <c r="T165" s="157">
        <v>3.9511266264677936E-2</v>
      </c>
      <c r="U165" s="157">
        <v>5.8947368421052637E-2</v>
      </c>
      <c r="V165" s="157">
        <v>-2.9399999999999999E-2</v>
      </c>
      <c r="W165" s="157">
        <v>-6.1046358314434897E-2</v>
      </c>
    </row>
    <row r="166" spans="2:23" x14ac:dyDescent="0.25">
      <c r="B166" s="158">
        <v>39417</v>
      </c>
      <c r="C166" s="159">
        <v>7.4000000000000003E-3</v>
      </c>
      <c r="D166" s="159">
        <v>1.7600000000000001E-2</v>
      </c>
      <c r="E166" s="159">
        <v>5.6430000000000004E-3</v>
      </c>
      <c r="F166" s="159">
        <v>8.3999999999999995E-3</v>
      </c>
      <c r="G166" s="159">
        <v>2.8758640337065433E-3</v>
      </c>
      <c r="H166" s="159">
        <v>8.2969231280878297E-3</v>
      </c>
      <c r="I166" s="159">
        <v>8.048672709426441E-5</v>
      </c>
      <c r="J166" s="159">
        <v>8.5278398865682448E-3</v>
      </c>
      <c r="K166" s="159">
        <v>1.7920656634746956E-2</v>
      </c>
      <c r="L166" s="159">
        <v>2.6064670154126945E-2</v>
      </c>
      <c r="M166" s="159">
        <v>1.5870788308689265E-2</v>
      </c>
      <c r="N166" s="159">
        <v>7.1464466822865891E-3</v>
      </c>
      <c r="O166" s="159">
        <v>6.0035393502286816E-3</v>
      </c>
      <c r="P166" s="159">
        <v>8.6828954116624502E-3</v>
      </c>
      <c r="Q166" s="159">
        <v>6.7576156990787339E-3</v>
      </c>
      <c r="R166" s="159">
        <v>6.6673313591165684E-3</v>
      </c>
      <c r="S166" s="159">
        <v>-9.4760312151617176E-3</v>
      </c>
      <c r="T166" s="159">
        <v>-4.5031292932377065E-3</v>
      </c>
      <c r="U166" s="159">
        <v>-4.115226337448652E-3</v>
      </c>
      <c r="V166" s="159">
        <v>8.0000000000000002E-3</v>
      </c>
      <c r="W166" s="159">
        <v>-1.3283904850169901E-2</v>
      </c>
    </row>
    <row r="167" spans="2:23" x14ac:dyDescent="0.25">
      <c r="B167" s="156">
        <v>39448</v>
      </c>
      <c r="C167" s="157">
        <v>5.4000000000000003E-3</v>
      </c>
      <c r="D167" s="157">
        <v>1.09E-2</v>
      </c>
      <c r="E167" s="157">
        <v>6.0150000000000004E-3</v>
      </c>
      <c r="F167" s="157">
        <v>9.1999999999999998E-3</v>
      </c>
      <c r="G167" s="157">
        <v>1.0953161256369137E-2</v>
      </c>
      <c r="H167" s="157">
        <v>9.8285192134284216E-3</v>
      </c>
      <c r="I167" s="157">
        <v>1.3001690449695236E-2</v>
      </c>
      <c r="J167" s="157">
        <v>9.5371991321215877E-3</v>
      </c>
      <c r="K167" s="157">
        <v>1.3829426408380918E-2</v>
      </c>
      <c r="L167" s="157">
        <v>1.6273515503637315E-2</v>
      </c>
      <c r="M167" s="157">
        <v>1.3192761249325002E-2</v>
      </c>
      <c r="N167" s="157">
        <v>1.3796187094182066E-2</v>
      </c>
      <c r="O167" s="157">
        <v>1.3648070948726776E-2</v>
      </c>
      <c r="P167" s="157">
        <v>1.4005983138428046E-2</v>
      </c>
      <c r="Q167" s="157">
        <v>1.1284566461311485E-2</v>
      </c>
      <c r="R167" s="157">
        <v>1.154463806985917E-2</v>
      </c>
      <c r="S167" s="157">
        <v>-5.6465273856578513E-3</v>
      </c>
      <c r="T167" s="157">
        <v>2.4917580311278886E-3</v>
      </c>
      <c r="U167" s="157">
        <v>5.070993914807298E-2</v>
      </c>
      <c r="V167" s="157">
        <v>-8.0399999999999999E-2</v>
      </c>
      <c r="W167" s="157">
        <v>-0.111392573195955</v>
      </c>
    </row>
    <row r="168" spans="2:23" x14ac:dyDescent="0.25">
      <c r="B168" s="156">
        <v>39479</v>
      </c>
      <c r="C168" s="157">
        <v>4.8999999999999998E-3</v>
      </c>
      <c r="D168" s="157">
        <v>5.3E-3</v>
      </c>
      <c r="E168" s="157">
        <v>5.2439999999999995E-3</v>
      </c>
      <c r="F168" s="157">
        <v>7.9000000000000008E-3</v>
      </c>
      <c r="G168" s="157">
        <v>1.307651580806124E-2</v>
      </c>
      <c r="H168" s="157">
        <v>8.858459767633331E-3</v>
      </c>
      <c r="I168" s="157">
        <v>1.7897503586540076E-2</v>
      </c>
      <c r="J168" s="157">
        <v>8.1615983074225795E-3</v>
      </c>
      <c r="K168" s="157">
        <v>1.0825516658039769E-2</v>
      </c>
      <c r="L168" s="157">
        <v>8.4576276893033597E-3</v>
      </c>
      <c r="M168" s="157">
        <v>1.1422019770072289E-2</v>
      </c>
      <c r="N168" s="157">
        <v>2.1649504304972256E-2</v>
      </c>
      <c r="O168" s="157">
        <v>1.4557956777996095E-2</v>
      </c>
      <c r="P168" s="157">
        <v>3.0330416124913384E-2</v>
      </c>
      <c r="Q168" s="157">
        <v>1.3044706871964573E-2</v>
      </c>
      <c r="R168" s="157">
        <v>1.3266398560503712E-2</v>
      </c>
      <c r="S168" s="157">
        <v>-3.1500572737686139E-2</v>
      </c>
      <c r="T168" s="157">
        <v>-2.2255363083629631E-2</v>
      </c>
      <c r="U168" s="157">
        <v>2.9239766081871288E-2</v>
      </c>
      <c r="V168" s="157">
        <v>9.0499999999999997E-2</v>
      </c>
      <c r="W168" s="157">
        <v>7.6990422908147504E-2</v>
      </c>
    </row>
    <row r="169" spans="2:23" x14ac:dyDescent="0.25">
      <c r="B169" s="156">
        <v>39508</v>
      </c>
      <c r="C169" s="157">
        <v>4.7999999999999996E-3</v>
      </c>
      <c r="D169" s="157">
        <v>7.4000000000000003E-3</v>
      </c>
      <c r="E169" s="157">
        <v>5.411E-3</v>
      </c>
      <c r="F169" s="157">
        <v>8.3999999999999995E-3</v>
      </c>
      <c r="G169" s="157">
        <v>-4.1458885631873166E-4</v>
      </c>
      <c r="H169" s="157">
        <v>7.1961134270734917E-3</v>
      </c>
      <c r="I169" s="157">
        <v>-7.6034037276833111E-3</v>
      </c>
      <c r="J169" s="157">
        <v>8.5338398294558804E-3</v>
      </c>
      <c r="K169" s="157">
        <v>8.8049607523559281E-3</v>
      </c>
      <c r="L169" s="157">
        <v>9.9825722317559151E-3</v>
      </c>
      <c r="M169" s="157">
        <v>8.5111337148737753E-3</v>
      </c>
      <c r="N169" s="157">
        <v>-1.9989489094935919E-2</v>
      </c>
      <c r="O169" s="157">
        <v>-7.5521388044383908E-3</v>
      </c>
      <c r="P169" s="157">
        <v>-3.4434365326829419E-2</v>
      </c>
      <c r="Q169" s="157">
        <v>-9.0169570689047074E-4</v>
      </c>
      <c r="R169" s="157">
        <v>-1.6231729367557346E-3</v>
      </c>
      <c r="S169" s="157">
        <v>4.8444976076555069E-2</v>
      </c>
      <c r="T169" s="157">
        <v>7.9666783996245494E-2</v>
      </c>
      <c r="U169" s="157">
        <v>-2.4621212121212044E-2</v>
      </c>
      <c r="V169" s="157">
        <v>-5.5300000000000002E-2</v>
      </c>
      <c r="W169" s="157">
        <v>-0.10439963518122</v>
      </c>
    </row>
    <row r="170" spans="2:23" x14ac:dyDescent="0.25">
      <c r="B170" s="156">
        <v>39539</v>
      </c>
      <c r="C170" s="157">
        <v>5.5000000000000005E-3</v>
      </c>
      <c r="D170" s="157">
        <v>6.8999999999999999E-3</v>
      </c>
      <c r="E170" s="157">
        <v>5.96E-3</v>
      </c>
      <c r="F170" s="157">
        <v>9.0000000000000011E-3</v>
      </c>
      <c r="G170" s="157">
        <v>5.2487688613940264E-3</v>
      </c>
      <c r="H170" s="157">
        <v>7.3834462806294798E-3</v>
      </c>
      <c r="I170" s="157">
        <v>-2.7226300005943616E-3</v>
      </c>
      <c r="J170" s="157">
        <v>9.0081784778286433E-3</v>
      </c>
      <c r="K170" s="157">
        <v>1.3352151386283762E-2</v>
      </c>
      <c r="L170" s="157">
        <v>1.1649124662823418E-2</v>
      </c>
      <c r="M170" s="157">
        <v>1.3512610351971821E-2</v>
      </c>
      <c r="N170" s="157">
        <v>2.5715179489143702E-2</v>
      </c>
      <c r="O170" s="157">
        <v>1.7879325931851708E-2</v>
      </c>
      <c r="P170" s="157">
        <v>3.4771549804252455E-2</v>
      </c>
      <c r="Q170" s="157">
        <v>1.1823523682757964E-2</v>
      </c>
      <c r="R170" s="157">
        <v>7.1276619782072448E-3</v>
      </c>
      <c r="S170" s="157">
        <v>-4.6418338108882629E-2</v>
      </c>
      <c r="T170" s="157">
        <v>-4.5388683619503101E-2</v>
      </c>
      <c r="U170" s="157">
        <v>-6.9999999999999951E-2</v>
      </c>
      <c r="V170" s="157">
        <v>7.6799999999999993E-2</v>
      </c>
      <c r="W170" s="157">
        <v>0.106917125114843</v>
      </c>
    </row>
    <row r="171" spans="2:23" x14ac:dyDescent="0.25">
      <c r="B171" s="156">
        <v>39569</v>
      </c>
      <c r="C171" s="157">
        <v>7.9000000000000008E-3</v>
      </c>
      <c r="D171" s="157">
        <v>1.61E-2</v>
      </c>
      <c r="E171" s="157">
        <v>5.7399999999999994E-3</v>
      </c>
      <c r="F171" s="157">
        <v>8.6999999999999994E-3</v>
      </c>
      <c r="G171" s="157">
        <v>6.6683519146450987E-3</v>
      </c>
      <c r="H171" s="157">
        <v>8.4705225130492501E-3</v>
      </c>
      <c r="I171" s="157">
        <v>9.8827807778190113E-3</v>
      </c>
      <c r="J171" s="157">
        <v>8.7580760947596481E-3</v>
      </c>
      <c r="K171" s="157">
        <v>2.1282314421150472E-2</v>
      </c>
      <c r="L171" s="157">
        <v>2.1115162922009212E-2</v>
      </c>
      <c r="M171" s="157">
        <v>2.1293559777233018E-2</v>
      </c>
      <c r="N171" s="157">
        <v>1.232362588459357E-2</v>
      </c>
      <c r="O171" s="157">
        <v>5.2267702649166914E-3</v>
      </c>
      <c r="P171" s="157">
        <v>2.1346730025316951E-2</v>
      </c>
      <c r="Q171" s="157">
        <v>9.6447547421649737E-3</v>
      </c>
      <c r="R171" s="157">
        <v>1.2398127749333687E-2</v>
      </c>
      <c r="S171" s="157">
        <v>-1.1536126290224713E-2</v>
      </c>
      <c r="T171" s="157">
        <v>-3.806018290137736E-2</v>
      </c>
      <c r="U171" s="157">
        <v>2.8697571743929506E-2</v>
      </c>
      <c r="V171" s="157">
        <v>9.8799999999999999E-2</v>
      </c>
      <c r="W171" s="157">
        <v>0.10313</v>
      </c>
    </row>
    <row r="172" spans="2:23" x14ac:dyDescent="0.25">
      <c r="B172" s="156">
        <v>39600</v>
      </c>
      <c r="C172" s="160">
        <v>7.4000000000000003E-3</v>
      </c>
      <c r="D172" s="160">
        <v>1.9799999999999998E-2</v>
      </c>
      <c r="E172" s="160">
        <v>6.1519999999999995E-3</v>
      </c>
      <c r="F172" s="160">
        <v>9.4999999999999998E-3</v>
      </c>
      <c r="G172" s="160">
        <v>-1.9713789261612824E-3</v>
      </c>
      <c r="H172" s="160">
        <v>9.2552826745952999E-3</v>
      </c>
      <c r="I172" s="160">
        <v>-8.0914305826298438E-3</v>
      </c>
      <c r="J172" s="160">
        <v>9.5166006780011969E-3</v>
      </c>
      <c r="K172" s="160">
        <v>2.4648898246285578E-2</v>
      </c>
      <c r="L172" s="160">
        <v>2.6336168551478689E-2</v>
      </c>
      <c r="M172" s="160">
        <v>2.4541713869795645E-2</v>
      </c>
      <c r="N172" s="160">
        <v>1.7707058845228829E-3</v>
      </c>
      <c r="O172" s="160">
        <v>8.0536486142892549E-3</v>
      </c>
      <c r="P172" s="160">
        <v>-6.4049243054400407E-3</v>
      </c>
      <c r="Q172" s="160">
        <v>4.6714419184055167E-3</v>
      </c>
      <c r="R172" s="160">
        <v>4.6173050842934771E-3</v>
      </c>
      <c r="S172" s="160">
        <v>-2.204531537048382E-2</v>
      </c>
      <c r="T172" s="160">
        <v>-1.1321499013806746E-2</v>
      </c>
      <c r="U172" s="160">
        <v>8.5836909871244149E-3</v>
      </c>
      <c r="V172" s="160">
        <v>-0.10440000000000001</v>
      </c>
      <c r="W172" s="160">
        <v>-9.4957076681805502E-2</v>
      </c>
    </row>
    <row r="173" spans="2:23" x14ac:dyDescent="0.25">
      <c r="B173" s="156">
        <v>39630</v>
      </c>
      <c r="C173" s="157">
        <v>5.3E-3</v>
      </c>
      <c r="D173" s="157">
        <v>1.7600000000000001E-2</v>
      </c>
      <c r="E173" s="157">
        <v>6.9240000000000005E-3</v>
      </c>
      <c r="F173" s="157">
        <v>1.06E-2</v>
      </c>
      <c r="G173" s="157">
        <v>2.0984744414720646E-2</v>
      </c>
      <c r="H173" s="157">
        <v>1.0658430647639605E-2</v>
      </c>
      <c r="I173" s="157">
        <v>2.71069755702249E-2</v>
      </c>
      <c r="J173" s="157">
        <v>1.0670135795902258E-2</v>
      </c>
      <c r="K173" s="157">
        <v>2.4703897635267369E-2</v>
      </c>
      <c r="L173" s="157">
        <v>2.4824773639968933E-2</v>
      </c>
      <c r="M173" s="157">
        <v>2.4692914107617536E-2</v>
      </c>
      <c r="N173" s="157">
        <v>8.6476202166509974E-3</v>
      </c>
      <c r="O173" s="157">
        <v>1.0763807878325649E-2</v>
      </c>
      <c r="P173" s="157">
        <v>5.7485698339612146E-3</v>
      </c>
      <c r="Q173" s="157">
        <v>1.4246492149246448E-2</v>
      </c>
      <c r="R173" s="157">
        <v>1.3038948519169979E-2</v>
      </c>
      <c r="S173" s="157">
        <v>-2.6791277258566892E-2</v>
      </c>
      <c r="T173" s="157">
        <v>-2.4899999999999999E-2</v>
      </c>
      <c r="U173" s="157">
        <v>-6.1224489795918324E-2</v>
      </c>
      <c r="V173" s="157">
        <v>-8.48E-2</v>
      </c>
      <c r="W173" s="157">
        <v>-2.7043810973777501E-2</v>
      </c>
    </row>
    <row r="174" spans="2:23" x14ac:dyDescent="0.25">
      <c r="B174" s="156">
        <v>39661</v>
      </c>
      <c r="C174" s="157">
        <v>2.8000000000000004E-3</v>
      </c>
      <c r="D174" s="157">
        <v>-3.2000000000000002E-3</v>
      </c>
      <c r="E174" s="157">
        <v>6.5820000000000002E-3</v>
      </c>
      <c r="F174" s="157">
        <v>1.01E-2</v>
      </c>
      <c r="G174" s="157">
        <v>1.3494565633046296E-2</v>
      </c>
      <c r="H174" s="157">
        <v>1.0325226572020618E-2</v>
      </c>
      <c r="I174" s="157">
        <v>1.4130148204275716E-2</v>
      </c>
      <c r="J174" s="157">
        <v>1.0126309381895737E-2</v>
      </c>
      <c r="K174" s="157">
        <v>-8.1291550122193357E-3</v>
      </c>
      <c r="L174" s="157">
        <v>-7.6059508959813726E-4</v>
      </c>
      <c r="M174" s="157">
        <v>-8.6159660952508377E-3</v>
      </c>
      <c r="N174" s="157">
        <v>5.5919291242758629E-3</v>
      </c>
      <c r="O174" s="157">
        <v>1.0093952362533631E-2</v>
      </c>
      <c r="P174" s="157">
        <v>-2.0532171693343759E-4</v>
      </c>
      <c r="Q174" s="157">
        <v>8.9255641630177074E-3</v>
      </c>
      <c r="R174" s="157">
        <v>9.6411647621463814E-3</v>
      </c>
      <c r="S174" s="157">
        <v>4.606525911708248E-2</v>
      </c>
      <c r="T174" s="157">
        <v>-1.8599999999999998E-2</v>
      </c>
      <c r="U174" s="157">
        <v>-5.3763440860215006E-2</v>
      </c>
      <c r="V174" s="157">
        <v>-6.4299999999999996E-2</v>
      </c>
      <c r="W174" s="157">
        <v>-0.10488171467396901</v>
      </c>
    </row>
    <row r="175" spans="2:23" x14ac:dyDescent="0.25">
      <c r="B175" s="156">
        <v>39692</v>
      </c>
      <c r="C175" s="157">
        <v>2.5999999999999999E-3</v>
      </c>
      <c r="D175" s="157">
        <v>1.1000000000000001E-3</v>
      </c>
      <c r="E175" s="157">
        <v>6.9799999999999992E-3</v>
      </c>
      <c r="F175" s="157">
        <v>1.1000000000000001E-2</v>
      </c>
      <c r="G175" s="157">
        <v>8.887770930281258E-3</v>
      </c>
      <c r="H175" s="157">
        <v>1.1653892004723554E-2</v>
      </c>
      <c r="I175" s="157">
        <v>1.4946577930132765E-3</v>
      </c>
      <c r="J175" s="157">
        <v>1.041398575060426E-2</v>
      </c>
      <c r="K175" s="157">
        <v>-2.06186751208981E-3</v>
      </c>
      <c r="L175" s="157">
        <v>5.6570454268662917E-3</v>
      </c>
      <c r="M175" s="157">
        <v>-2.5604439606797813E-3</v>
      </c>
      <c r="N175" s="157">
        <v>-1.6664347131541968E-2</v>
      </c>
      <c r="O175" s="157">
        <v>-2.6434112357329731E-3</v>
      </c>
      <c r="P175" s="157">
        <v>-3.467319390790824E-2</v>
      </c>
      <c r="Q175" s="157">
        <v>2.8499539432607079E-3</v>
      </c>
      <c r="R175" s="157">
        <v>8.3563627935001605E-4</v>
      </c>
      <c r="S175" s="157">
        <v>0.15674362089914951</v>
      </c>
      <c r="T175" s="157">
        <v>0.12280000000000001</v>
      </c>
      <c r="U175" s="157">
        <v>0.19777777777777783</v>
      </c>
      <c r="V175" s="157">
        <v>-0.1103</v>
      </c>
      <c r="W175" s="157">
        <v>-0.232340425531915</v>
      </c>
    </row>
    <row r="176" spans="2:23" x14ac:dyDescent="0.25">
      <c r="B176" s="156">
        <v>39722</v>
      </c>
      <c r="C176" s="157">
        <v>4.5000000000000005E-3</v>
      </c>
      <c r="D176" s="157">
        <v>9.7999999999999997E-3</v>
      </c>
      <c r="E176" s="157">
        <v>7.5190000000000005E-3</v>
      </c>
      <c r="F176" s="157">
        <v>1.1699999999999999E-2</v>
      </c>
      <c r="G176" s="157">
        <v>-1.8136990096267014E-2</v>
      </c>
      <c r="H176" s="157">
        <v>1.0547100857369429E-2</v>
      </c>
      <c r="I176" s="157">
        <v>-2.5261602858398735E-2</v>
      </c>
      <c r="J176" s="157">
        <v>1.1424914887800952E-2</v>
      </c>
      <c r="K176" s="157">
        <v>1.050329486921231E-2</v>
      </c>
      <c r="L176" s="157">
        <v>1.3951038153425133E-2</v>
      </c>
      <c r="M176" s="157">
        <v>1.0273720873690273E-2</v>
      </c>
      <c r="N176" s="157">
        <v>-3.8348645305798401E-2</v>
      </c>
      <c r="O176" s="157">
        <v>-5.6909662876816203E-3</v>
      </c>
      <c r="P176" s="157">
        <v>-8.1657764157289758E-2</v>
      </c>
      <c r="Q176" s="157">
        <v>-9.9064222219483744E-3</v>
      </c>
      <c r="R176" s="157">
        <v>-7.5040301655171504E-3</v>
      </c>
      <c r="S176" s="157">
        <v>0.12207792207792223</v>
      </c>
      <c r="T176" s="157">
        <v>-4.0000000000000002E-4</v>
      </c>
      <c r="U176" s="157">
        <v>-7.4410163339382995E-2</v>
      </c>
      <c r="V176" s="157">
        <v>-0.248</v>
      </c>
      <c r="W176" s="157">
        <v>-0.269311440043147</v>
      </c>
    </row>
    <row r="177" spans="2:23" x14ac:dyDescent="0.25">
      <c r="B177" s="156">
        <v>39753</v>
      </c>
      <c r="C177" s="157">
        <v>3.5999999999999999E-3</v>
      </c>
      <c r="D177" s="157">
        <v>3.8E-3</v>
      </c>
      <c r="E177" s="157">
        <v>6.6259999999999999E-3</v>
      </c>
      <c r="F177" s="157">
        <v>0.01</v>
      </c>
      <c r="G177" s="157">
        <v>2.5872673716523575E-2</v>
      </c>
      <c r="H177" s="157">
        <v>1.2501136048455708E-2</v>
      </c>
      <c r="I177" s="157">
        <v>2.6013981211647774E-2</v>
      </c>
      <c r="J177" s="157">
        <v>1.0018242907071651E-2</v>
      </c>
      <c r="K177" s="157">
        <v>1.3258913315867371E-2</v>
      </c>
      <c r="L177" s="157">
        <v>1.0104327781526701E-2</v>
      </c>
      <c r="M177" s="157">
        <v>1.3465714477601809E-2</v>
      </c>
      <c r="N177" s="157">
        <v>3.3574998240304188E-2</v>
      </c>
      <c r="O177" s="157">
        <v>2.2794506897518163E-2</v>
      </c>
      <c r="P177" s="157">
        <v>4.9136295619181203E-2</v>
      </c>
      <c r="Q177" s="157">
        <v>2.0814265523532161E-2</v>
      </c>
      <c r="R177" s="157">
        <v>1.893151589908304E-2</v>
      </c>
      <c r="S177" s="157">
        <v>6.780442804428044E-2</v>
      </c>
      <c r="T177" s="157">
        <v>0.1004</v>
      </c>
      <c r="U177" s="157">
        <v>0.10305343511450382</v>
      </c>
      <c r="V177" s="157">
        <v>-1.77E-2</v>
      </c>
      <c r="W177" s="157">
        <v>-2.50963667678176E-2</v>
      </c>
    </row>
    <row r="178" spans="2:23" x14ac:dyDescent="0.25">
      <c r="B178" s="158">
        <v>39783</v>
      </c>
      <c r="C178" s="159">
        <v>2.8000000000000004E-3</v>
      </c>
      <c r="D178" s="159">
        <v>-1.2999999999999999E-3</v>
      </c>
      <c r="E178" s="159">
        <v>7.1599999999999997E-3</v>
      </c>
      <c r="F178" s="159">
        <v>1.11E-2</v>
      </c>
      <c r="G178" s="159">
        <v>4.7450756054763898E-2</v>
      </c>
      <c r="H178" s="159">
        <v>1.5543661485889926E-2</v>
      </c>
      <c r="I178" s="159">
        <v>7.2833251747804306E-2</v>
      </c>
      <c r="J178" s="159">
        <v>1.1275040441757866E-2</v>
      </c>
      <c r="K178" s="159">
        <v>7.042966027384967E-3</v>
      </c>
      <c r="L178" s="159">
        <v>5.2085488781814515E-3</v>
      </c>
      <c r="M178" s="159">
        <v>7.1625009664131323E-3</v>
      </c>
      <c r="N178" s="159">
        <v>6.0764963720561616E-2</v>
      </c>
      <c r="O178" s="159">
        <v>4.3830111128025484E-2</v>
      </c>
      <c r="P178" s="159">
        <v>8.5076417194316356E-2</v>
      </c>
      <c r="Q178" s="159">
        <v>3.4253510130890508E-2</v>
      </c>
      <c r="R178" s="159">
        <v>3.7275792917074835E-2</v>
      </c>
      <c r="S178" s="159">
        <v>6.0344827586207295E-3</v>
      </c>
      <c r="T178" s="159">
        <v>9.3100000000000002E-2</v>
      </c>
      <c r="U178" s="159">
        <v>0.10258620689655173</v>
      </c>
      <c r="V178" s="159">
        <v>2.6100000000000002E-2</v>
      </c>
      <c r="W178" s="159">
        <v>3.8487423235467298E-2</v>
      </c>
    </row>
    <row r="179" spans="2:23" x14ac:dyDescent="0.25">
      <c r="B179" s="156">
        <v>39814</v>
      </c>
      <c r="C179" s="157">
        <v>4.7999999999999996E-3</v>
      </c>
      <c r="D179" s="157">
        <v>-4.4000000000000003E-3</v>
      </c>
      <c r="E179" s="157">
        <v>6.8489999999999992E-3</v>
      </c>
      <c r="F179" s="157">
        <v>1.0426999999999999E-2</v>
      </c>
      <c r="G179" s="157">
        <v>1.9151846785225635E-2</v>
      </c>
      <c r="H179" s="157">
        <v>1.5023959563289502E-2</v>
      </c>
      <c r="I179" s="157">
        <v>1.6982892509933345E-2</v>
      </c>
      <c r="J179" s="157">
        <v>1.0656210911190067E-2</v>
      </c>
      <c r="K179" s="157">
        <v>2.4279837687890549E-3</v>
      </c>
      <c r="L179" s="157">
        <v>1.8232505616786465E-3</v>
      </c>
      <c r="M179" s="157">
        <v>2.472872425005157E-3</v>
      </c>
      <c r="N179" s="157">
        <v>4.3148378361026918E-2</v>
      </c>
      <c r="O179" s="157">
        <v>2.7674232745897642E-2</v>
      </c>
      <c r="P179" s="157">
        <v>6.4386793749965587E-2</v>
      </c>
      <c r="Q179" s="157">
        <v>2.0970690570266015E-2</v>
      </c>
      <c r="R179" s="157">
        <v>2.0399277209833366E-2</v>
      </c>
      <c r="S179" s="157">
        <v>-6.4294899271325479E-3</v>
      </c>
      <c r="T179" s="157">
        <v>-8.3099999999999993E-2</v>
      </c>
      <c r="U179" s="157">
        <v>6.315955268546225E-2</v>
      </c>
      <c r="V179" s="157">
        <v>4.6600000000000003E-2</v>
      </c>
      <c r="W179" s="157">
        <v>3.0377901089551101E-4</v>
      </c>
    </row>
    <row r="180" spans="2:23" x14ac:dyDescent="0.25">
      <c r="B180" s="156">
        <v>39845</v>
      </c>
      <c r="C180" s="157">
        <v>5.5000000000000005E-3</v>
      </c>
      <c r="D180" s="157">
        <v>2.5999999999999999E-3</v>
      </c>
      <c r="E180" s="157">
        <v>5.4530000000000004E-3</v>
      </c>
      <c r="F180" s="157">
        <v>8.5269999999999999E-3</v>
      </c>
      <c r="G180" s="157">
        <v>1.3136843190044933E-2</v>
      </c>
      <c r="H180" s="157">
        <v>1.0846476199443122E-2</v>
      </c>
      <c r="I180" s="157">
        <v>1.8249261844205611E-2</v>
      </c>
      <c r="J180" s="157">
        <v>8.5445674163990848E-3</v>
      </c>
      <c r="K180" s="157">
        <v>7.1772199826276584E-3</v>
      </c>
      <c r="L180" s="157">
        <v>7.8668044335901133E-3</v>
      </c>
      <c r="M180" s="157">
        <v>7.1268391401848596E-3</v>
      </c>
      <c r="N180" s="157">
        <v>1.3551014927377425E-2</v>
      </c>
      <c r="O180" s="157">
        <v>1.5820216045002722E-2</v>
      </c>
      <c r="P180" s="157">
        <v>1.062367591587865E-2</v>
      </c>
      <c r="Q180" s="157">
        <v>1.1090188648729793E-2</v>
      </c>
      <c r="R180" s="157">
        <v>1.1620833441295941E-2</v>
      </c>
      <c r="S180" s="157">
        <v>2.068074105988793E-2</v>
      </c>
      <c r="T180" s="157">
        <v>1.7500000000000002E-2</v>
      </c>
      <c r="U180" s="157">
        <v>4.0118870728083289E-2</v>
      </c>
      <c r="V180" s="157">
        <v>-2.8400000000000002E-2</v>
      </c>
      <c r="W180" s="157">
        <v>-4.9824873969995798E-2</v>
      </c>
    </row>
    <row r="181" spans="2:23" x14ac:dyDescent="0.25">
      <c r="B181" s="156">
        <v>39873</v>
      </c>
      <c r="C181" s="157">
        <v>2E-3</v>
      </c>
      <c r="D181" s="157">
        <v>-7.4000000000000003E-3</v>
      </c>
      <c r="E181" s="157">
        <v>6.4449999999999993E-3</v>
      </c>
      <c r="F181" s="157">
        <v>9.665E-3</v>
      </c>
      <c r="G181" s="157">
        <v>1.8192267396323958E-2</v>
      </c>
      <c r="H181" s="157">
        <v>1.4055598212531883E-2</v>
      </c>
      <c r="I181" s="157">
        <v>2.7361779424084798E-2</v>
      </c>
      <c r="J181" s="157">
        <v>9.7524425355171029E-3</v>
      </c>
      <c r="K181" s="157">
        <v>-2.8636979296237097E-3</v>
      </c>
      <c r="L181" s="157">
        <v>-9.2616323772687359E-4</v>
      </c>
      <c r="M181" s="157">
        <v>-2.9924022309960607E-3</v>
      </c>
      <c r="N181" s="157">
        <v>1.6201684754407975E-2</v>
      </c>
      <c r="O181" s="157">
        <v>1.5802943773260081E-2</v>
      </c>
      <c r="P181" s="157">
        <v>1.6693423864693857E-2</v>
      </c>
      <c r="Q181" s="157">
        <v>1.3167967277172732E-2</v>
      </c>
      <c r="R181" s="157">
        <v>1.6181122018359639E-2</v>
      </c>
      <c r="S181" s="157">
        <v>-5.0778050778050865E-2</v>
      </c>
      <c r="T181" s="157">
        <v>1.89E-2</v>
      </c>
      <c r="U181" s="157">
        <v>-6.6852367688022274E-2</v>
      </c>
      <c r="V181" s="157">
        <v>7.1800000000000003E-2</v>
      </c>
      <c r="W181" s="157">
        <v>2.65064348418989E-2</v>
      </c>
    </row>
    <row r="182" spans="2:23" x14ac:dyDescent="0.25">
      <c r="B182" s="156">
        <v>39904</v>
      </c>
      <c r="C182" s="157">
        <v>4.7999999999999996E-3</v>
      </c>
      <c r="D182" s="157">
        <v>-1.5E-3</v>
      </c>
      <c r="E182" s="157">
        <v>5.4559999999999999E-3</v>
      </c>
      <c r="F182" s="157">
        <v>8.3560000000000006E-3</v>
      </c>
      <c r="G182" s="157">
        <v>2.7023112003556893E-3</v>
      </c>
      <c r="H182" s="157">
        <v>7.6667082790162766E-3</v>
      </c>
      <c r="I182" s="157">
        <v>-1.0768035067747483E-3</v>
      </c>
      <c r="J182" s="157">
        <v>8.4254071014147058E-3</v>
      </c>
      <c r="K182" s="157">
        <v>3.7035599638512995E-3</v>
      </c>
      <c r="L182" s="157">
        <v>3.4107406262935402E-3</v>
      </c>
      <c r="M182" s="157">
        <v>3.7258554760271068E-3</v>
      </c>
      <c r="N182" s="157">
        <v>-2.0044652314913369E-3</v>
      </c>
      <c r="O182" s="157">
        <v>5.9246790111231462E-3</v>
      </c>
      <c r="P182" s="157">
        <v>-1.1918471619453808E-2</v>
      </c>
      <c r="Q182" s="157">
        <v>3.7439879109788521E-3</v>
      </c>
      <c r="R182" s="157">
        <v>3.7477288362712802E-3</v>
      </c>
      <c r="S182" s="157">
        <v>-4.3421052631578805E-2</v>
      </c>
      <c r="T182" s="157">
        <v>-6.3600000000000004E-2</v>
      </c>
      <c r="U182" s="157">
        <v>-6.381381381381368E-2</v>
      </c>
      <c r="V182" s="157">
        <v>0.1555</v>
      </c>
      <c r="W182" s="157">
        <v>0.324642975755563</v>
      </c>
    </row>
    <row r="183" spans="2:23" x14ac:dyDescent="0.25">
      <c r="B183" s="156">
        <v>39934</v>
      </c>
      <c r="C183" s="157">
        <v>4.6999999999999993E-3</v>
      </c>
      <c r="D183" s="157">
        <v>-7.000000000000001E-4</v>
      </c>
      <c r="E183" s="157">
        <v>5.4510000000000001E-3</v>
      </c>
      <c r="F183" s="157">
        <v>7.6639999999999998E-3</v>
      </c>
      <c r="G183" s="157">
        <v>1.787635747733396E-2</v>
      </c>
      <c r="H183" s="157">
        <v>9.5242609546586365E-3</v>
      </c>
      <c r="I183" s="157">
        <v>2.2522792637848843E-2</v>
      </c>
      <c r="J183" s="157">
        <v>7.7060796912933327E-3</v>
      </c>
      <c r="K183" s="157">
        <v>6.8936945894439994E-3</v>
      </c>
      <c r="L183" s="157">
        <v>5.3282355812251936E-3</v>
      </c>
      <c r="M183" s="157">
        <v>6.9953219801808242E-3</v>
      </c>
      <c r="N183" s="157">
        <v>4.5133899412148848E-2</v>
      </c>
      <c r="O183" s="157">
        <v>2.1557593555690424E-2</v>
      </c>
      <c r="P183" s="157">
        <v>7.151327609285385E-2</v>
      </c>
      <c r="Q183" s="157">
        <v>2.0020784765328647E-2</v>
      </c>
      <c r="R183" s="157">
        <v>1.9669461230164886E-2</v>
      </c>
      <c r="S183" s="157">
        <v>-7.5117370892018753E-2</v>
      </c>
      <c r="T183" s="157">
        <v>-3.2300000000000002E-2</v>
      </c>
      <c r="U183" s="157">
        <v>2.4390243902439046E-2</v>
      </c>
      <c r="V183" s="157">
        <v>0.1249</v>
      </c>
      <c r="W183" s="157">
        <v>0.12225774100539</v>
      </c>
    </row>
    <row r="184" spans="2:23" x14ac:dyDescent="0.25">
      <c r="B184" s="156">
        <v>39965</v>
      </c>
      <c r="C184" s="160">
        <v>3.5999999999999999E-3</v>
      </c>
      <c r="D184" s="160">
        <v>-1E-3</v>
      </c>
      <c r="E184" s="160">
        <v>5.659E-3</v>
      </c>
      <c r="F184" s="160">
        <v>7.5139999999999998E-3</v>
      </c>
      <c r="G184" s="160">
        <v>3.6142779886310095E-3</v>
      </c>
      <c r="H184" s="160">
        <v>8.9928752551517999E-3</v>
      </c>
      <c r="I184" s="160">
        <v>8.1309532498186066E-4</v>
      </c>
      <c r="J184" s="160">
        <v>7.6586496167800888E-3</v>
      </c>
      <c r="K184" s="160">
        <v>2.2876516186369544E-2</v>
      </c>
      <c r="L184" s="160">
        <v>9.1261653344429927E-3</v>
      </c>
      <c r="M184" s="160">
        <v>2.3788095173937762E-2</v>
      </c>
      <c r="N184" s="160">
        <v>4.6663750182280861E-3</v>
      </c>
      <c r="O184" s="160">
        <v>4.2933389007553391E-3</v>
      </c>
      <c r="P184" s="160">
        <v>5.0918625197118317E-3</v>
      </c>
      <c r="Q184" s="160">
        <v>6.6197082261714169E-3</v>
      </c>
      <c r="R184" s="160">
        <v>6.4545282454415709E-3</v>
      </c>
      <c r="S184" s="160">
        <v>5.6323604710701858E-3</v>
      </c>
      <c r="T184" s="160">
        <v>-1.77E-2</v>
      </c>
      <c r="U184" s="160">
        <v>-2.7552674230145957E-2</v>
      </c>
      <c r="V184" s="160">
        <v>-3.2599999999999997E-2</v>
      </c>
      <c r="W184" s="160">
        <v>6.0040771872993401E-3</v>
      </c>
    </row>
    <row r="185" spans="2:23" x14ac:dyDescent="0.25">
      <c r="B185" s="156">
        <v>39995</v>
      </c>
      <c r="C185" s="157">
        <v>2.3999999999999998E-3</v>
      </c>
      <c r="D185" s="157">
        <v>-4.3E-3</v>
      </c>
      <c r="E185" s="157">
        <v>6.0560000000000006E-3</v>
      </c>
      <c r="F185" s="157">
        <v>7.8399999999999997E-3</v>
      </c>
      <c r="G185" s="157">
        <v>9.6968307918874341E-3</v>
      </c>
      <c r="H185" s="157">
        <v>8.4882371997421213E-3</v>
      </c>
      <c r="I185" s="157">
        <v>1.1009015763779439E-2</v>
      </c>
      <c r="J185" s="157">
        <v>7.9142725088872101E-3</v>
      </c>
      <c r="K185" s="157">
        <v>3.3681410328607608E-3</v>
      </c>
      <c r="L185" s="157">
        <v>3.6025613122716571E-3</v>
      </c>
      <c r="M185" s="157">
        <v>3.3531786765208516E-3</v>
      </c>
      <c r="N185" s="157">
        <v>1.2695170754971397E-2</v>
      </c>
      <c r="O185" s="157">
        <v>1.3725793297548528E-2</v>
      </c>
      <c r="P185" s="157">
        <v>1.1771989187349785E-2</v>
      </c>
      <c r="Q185" s="157">
        <v>9.4101684529572793E-3</v>
      </c>
      <c r="R185" s="157">
        <v>9.8061160775166911E-3</v>
      </c>
      <c r="S185" s="157">
        <v>-3.61E-2</v>
      </c>
      <c r="T185" s="157">
        <v>-2.5000000000000001E-2</v>
      </c>
      <c r="U185" s="157">
        <v>-2.3900000000000001E-2</v>
      </c>
      <c r="V185" s="157">
        <v>6.4100000000000004E-2</v>
      </c>
      <c r="W185" s="157">
        <v>0.159338218965134</v>
      </c>
    </row>
    <row r="186" spans="2:23" x14ac:dyDescent="0.25">
      <c r="B186" s="156">
        <v>40026</v>
      </c>
      <c r="C186" s="157">
        <v>1.5E-3</v>
      </c>
      <c r="D186" s="157">
        <v>-3.5999999999999999E-3</v>
      </c>
      <c r="E186" s="157">
        <v>5.1980000000000004E-3</v>
      </c>
      <c r="F186" s="157">
        <v>6.914E-3</v>
      </c>
      <c r="G186" s="157">
        <v>8.0123445163253759E-3</v>
      </c>
      <c r="H186" s="157">
        <v>7.2021007440179474E-3</v>
      </c>
      <c r="I186" s="157">
        <v>7.904942611392185E-3</v>
      </c>
      <c r="J186" s="157">
        <v>6.9350090579709534E-3</v>
      </c>
      <c r="K186" s="157">
        <v>1.9376633650664665E-2</v>
      </c>
      <c r="L186" s="157">
        <v>1.0746060823959791E-2</v>
      </c>
      <c r="M186" s="157">
        <v>1.9946906183436086E-2</v>
      </c>
      <c r="N186" s="157">
        <v>1.692798312832422E-2</v>
      </c>
      <c r="O186" s="157">
        <v>6.7042454963244236E-3</v>
      </c>
      <c r="P186" s="157">
        <v>2.6193979308251292E-2</v>
      </c>
      <c r="Q186" s="157">
        <v>1.0346827388469482E-2</v>
      </c>
      <c r="R186" s="157">
        <v>9.5950822758483767E-3</v>
      </c>
      <c r="S186" s="157">
        <v>7.4000000000000003E-3</v>
      </c>
      <c r="T186" s="157">
        <v>1.11E-2</v>
      </c>
      <c r="U186" s="157">
        <v>0</v>
      </c>
      <c r="V186" s="157">
        <v>3.15E-2</v>
      </c>
      <c r="W186" s="157">
        <v>7.9817546212048701E-2</v>
      </c>
    </row>
    <row r="187" spans="2:23" x14ac:dyDescent="0.25">
      <c r="B187" s="156">
        <v>40057</v>
      </c>
      <c r="C187" s="157">
        <v>2.3999999999999998E-3</v>
      </c>
      <c r="D187" s="157">
        <v>4.1999999999999997E-3</v>
      </c>
      <c r="E187" s="157">
        <v>5.0000000000000001E-3</v>
      </c>
      <c r="F187" s="157">
        <v>6.9150000000000001E-3</v>
      </c>
      <c r="G187" s="157">
        <v>4.9756964657463598E-3</v>
      </c>
      <c r="H187" s="157">
        <v>6.8869691560307089E-3</v>
      </c>
      <c r="I187" s="157">
        <v>4.9945308622181273E-3</v>
      </c>
      <c r="J187" s="157">
        <v>6.9322238776599043E-3</v>
      </c>
      <c r="K187" s="157">
        <v>3.7838348033098157E-2</v>
      </c>
      <c r="L187" s="157">
        <v>2.5063519846423077E-2</v>
      </c>
      <c r="M187" s="157">
        <v>3.8650672811818554E-2</v>
      </c>
      <c r="N187" s="157">
        <v>8.9296500624169717E-3</v>
      </c>
      <c r="O187" s="157">
        <v>6.4767854251435164E-3</v>
      </c>
      <c r="P187" s="157">
        <v>1.1233346836410973E-2</v>
      </c>
      <c r="Q187" s="157">
        <v>8.4491175366128157E-3</v>
      </c>
      <c r="R187" s="157">
        <v>7.4392952259607625E-3</v>
      </c>
      <c r="S187" s="157">
        <v>-5.74E-2</v>
      </c>
      <c r="T187" s="157">
        <v>-3.6999999999999998E-2</v>
      </c>
      <c r="U187" s="157">
        <v>9.7000000000000003E-3</v>
      </c>
      <c r="V187" s="157">
        <v>8.8999999999999996E-2</v>
      </c>
      <c r="W187" s="157">
        <v>7.3700000000000002E-2</v>
      </c>
    </row>
    <row r="188" spans="2:23" x14ac:dyDescent="0.25">
      <c r="B188" s="156">
        <v>40087</v>
      </c>
      <c r="C188" s="157">
        <v>2.8000000000000004E-3</v>
      </c>
      <c r="D188" s="157">
        <v>5.0000000000000001E-4</v>
      </c>
      <c r="E188" s="157">
        <v>5.0000000000000001E-3</v>
      </c>
      <c r="F188" s="157">
        <v>6.9120000000000006E-3</v>
      </c>
      <c r="G188" s="157">
        <v>5.2895548573796969E-3</v>
      </c>
      <c r="H188" s="157">
        <v>7.3312666205049837E-3</v>
      </c>
      <c r="I188" s="157">
        <v>4.9211105699300539E-3</v>
      </c>
      <c r="J188" s="157">
        <v>6.9347508068209329E-3</v>
      </c>
      <c r="K188" s="157">
        <v>1.4263194591808803E-2</v>
      </c>
      <c r="L188" s="157">
        <v>9.0719309938362969E-3</v>
      </c>
      <c r="M188" s="157">
        <v>1.458483969057367E-2</v>
      </c>
      <c r="N188" s="157">
        <v>-1.1225416338219274E-2</v>
      </c>
      <c r="O188" s="157">
        <v>5.1480852963001755E-3</v>
      </c>
      <c r="P188" s="157">
        <v>-2.653811703597686E-2</v>
      </c>
      <c r="Q188" s="157">
        <v>2.2076229486396315E-3</v>
      </c>
      <c r="R188" s="157">
        <v>1.7731268525964516E-3</v>
      </c>
      <c r="S188" s="157">
        <v>-1.9199999999999998E-2</v>
      </c>
      <c r="T188" s="157">
        <v>-1.18E-2</v>
      </c>
      <c r="U188" s="157">
        <v>2.6100000000000002E-2</v>
      </c>
      <c r="V188" s="157">
        <v>5.0000000000000001E-4</v>
      </c>
      <c r="W188" s="157">
        <v>2.6200000000000001E-2</v>
      </c>
    </row>
    <row r="189" spans="2:23" x14ac:dyDescent="0.25">
      <c r="B189" s="156">
        <v>40118</v>
      </c>
      <c r="C189" s="157">
        <v>4.0999999999999995E-3</v>
      </c>
      <c r="D189" s="157">
        <v>1E-3</v>
      </c>
      <c r="E189" s="157">
        <v>5.0000000000000001E-3</v>
      </c>
      <c r="F189" s="157">
        <v>6.5900000000000004E-3</v>
      </c>
      <c r="G189" s="157">
        <v>6.9429130357459012E-3</v>
      </c>
      <c r="H189" s="157">
        <v>6.7074735140726371E-3</v>
      </c>
      <c r="I189" s="157">
        <v>6.7481658987458282E-3</v>
      </c>
      <c r="J189" s="157">
        <v>6.60419208162355E-3</v>
      </c>
      <c r="K189" s="157">
        <v>5.2753493237689408E-3</v>
      </c>
      <c r="L189" s="157">
        <v>4.7380947182253941E-3</v>
      </c>
      <c r="M189" s="157">
        <v>5.3107625923161095E-3</v>
      </c>
      <c r="N189" s="157">
        <v>1.0404262619331028E-2</v>
      </c>
      <c r="O189" s="157">
        <v>7.4244262591320886E-3</v>
      </c>
      <c r="P189" s="157">
        <v>1.3089816206218963E-2</v>
      </c>
      <c r="Q189" s="157">
        <v>7.5265392781316276E-3</v>
      </c>
      <c r="R189" s="157">
        <v>7.3236594458359061E-3</v>
      </c>
      <c r="S189" s="157">
        <v>3.7000000000000002E-3</v>
      </c>
      <c r="T189" s="157">
        <v>2.1700000000000001E-2</v>
      </c>
      <c r="U189" s="157">
        <v>0.15029999999999999</v>
      </c>
      <c r="V189" s="157">
        <v>8.9399999999999993E-2</v>
      </c>
      <c r="W189" s="157">
        <v>0.12590000000000001</v>
      </c>
    </row>
    <row r="190" spans="2:23" x14ac:dyDescent="0.25">
      <c r="B190" s="158">
        <v>40148</v>
      </c>
      <c r="C190" s="159">
        <v>3.7000000000000002E-3</v>
      </c>
      <c r="D190" s="159">
        <v>-2.5999999999999999E-3</v>
      </c>
      <c r="E190" s="159">
        <v>5.5360000000000001E-3</v>
      </c>
      <c r="F190" s="159">
        <v>7.2379999999999996E-3</v>
      </c>
      <c r="G190" s="159">
        <v>8.7082865304144441E-3</v>
      </c>
      <c r="H190" s="159">
        <v>7.3197173721430975E-3</v>
      </c>
      <c r="I190" s="159">
        <v>7.9925226473791522E-3</v>
      </c>
      <c r="J190" s="159">
        <v>7.2714853110489308E-3</v>
      </c>
      <c r="K190" s="159">
        <v>-2.4499018849973297E-2</v>
      </c>
      <c r="L190" s="159">
        <v>1.0268167593878719E-3</v>
      </c>
      <c r="M190" s="159">
        <v>-2.608336772595965E-2</v>
      </c>
      <c r="N190" s="159">
        <v>1.7772784019975063E-2</v>
      </c>
      <c r="O190" s="159">
        <v>1.0039821035961793E-2</v>
      </c>
      <c r="P190" s="159">
        <v>2.49879053973876E-2</v>
      </c>
      <c r="Q190" s="159">
        <v>8.5555637505398963E-3</v>
      </c>
      <c r="R190" s="159">
        <v>1.0049499632182934E-2</v>
      </c>
      <c r="S190" s="159">
        <v>1.0500000000000001E-2</v>
      </c>
      <c r="T190" s="159">
        <v>-4.53E-2</v>
      </c>
      <c r="U190" s="159">
        <v>-0.1053</v>
      </c>
      <c r="V190" s="159">
        <v>2.3E-2</v>
      </c>
      <c r="W190" s="159">
        <v>4.82E-2</v>
      </c>
    </row>
    <row r="191" spans="2:23" x14ac:dyDescent="0.25">
      <c r="B191" s="156">
        <v>40179</v>
      </c>
      <c r="C191" s="157">
        <v>7.4999999999999997E-3</v>
      </c>
      <c r="D191" s="157">
        <v>6.3E-3</v>
      </c>
      <c r="E191" s="157">
        <v>5.0000000000000001E-3</v>
      </c>
      <c r="F191" s="157">
        <v>6.5820000000000002E-3</v>
      </c>
      <c r="G191" s="157">
        <v>1.097931369367644E-2</v>
      </c>
      <c r="H191" s="157">
        <v>8.2281848536256419E-3</v>
      </c>
      <c r="I191" s="157">
        <v>1.1263032484013946E-2</v>
      </c>
      <c r="J191" s="157">
        <v>6.6010030024445943E-3</v>
      </c>
      <c r="K191" s="157">
        <v>1.5041145992075622E-2</v>
      </c>
      <c r="L191" s="157">
        <v>1.493055744004157E-2</v>
      </c>
      <c r="M191" s="157">
        <v>1.5046140500441174E-2</v>
      </c>
      <c r="N191" s="157">
        <v>1.1834609855305711E-2</v>
      </c>
      <c r="O191" s="157">
        <v>1.2045747455373901E-2</v>
      </c>
      <c r="P191" s="157">
        <v>1.1661716708002867E-2</v>
      </c>
      <c r="Q191" s="157">
        <v>9.7731950146779933E-3</v>
      </c>
      <c r="R191" s="157">
        <v>9.1757963410943333E-3</v>
      </c>
      <c r="S191" s="157">
        <v>7.6700000000000004E-2</v>
      </c>
      <c r="T191" s="157">
        <v>3.818834796488435E-2</v>
      </c>
      <c r="U191" s="157">
        <v>6.4500000000000002E-2</v>
      </c>
      <c r="V191" s="157">
        <v>-4.6500000000000007E-2</v>
      </c>
      <c r="W191" s="157">
        <v>-3.6700000000000003E-2</v>
      </c>
    </row>
    <row r="192" spans="2:23" x14ac:dyDescent="0.25">
      <c r="B192" s="156">
        <v>40210</v>
      </c>
      <c r="C192" s="157">
        <v>7.7999999999999996E-3</v>
      </c>
      <c r="D192" s="157">
        <v>1.18E-2</v>
      </c>
      <c r="E192" s="157">
        <v>5.0000000000000001E-3</v>
      </c>
      <c r="F192" s="157">
        <v>5.9250000000000006E-3</v>
      </c>
      <c r="G192" s="157">
        <v>9.0450613549348802E-3</v>
      </c>
      <c r="H192" s="157">
        <v>6.0882822991035201E-3</v>
      </c>
      <c r="I192" s="157">
        <v>1.3751604906817594E-2</v>
      </c>
      <c r="J192" s="157">
        <v>5.943778591531057E-3</v>
      </c>
      <c r="K192" s="157">
        <v>2.2560191371277183E-2</v>
      </c>
      <c r="L192" s="157">
        <v>1.4448888793822556E-2</v>
      </c>
      <c r="M192" s="157">
        <v>2.3074542855879843E-2</v>
      </c>
      <c r="N192" s="157">
        <v>1.7539435847949481E-2</v>
      </c>
      <c r="O192" s="157">
        <v>1.2428806353280919E-2</v>
      </c>
      <c r="P192" s="157">
        <v>2.2090669014084519E-2</v>
      </c>
      <c r="Q192" s="157">
        <v>1.0847692602152792E-2</v>
      </c>
      <c r="R192" s="157">
        <v>1.1051677448916886E-2</v>
      </c>
      <c r="S192" s="157">
        <v>-3.4000000000000002E-2</v>
      </c>
      <c r="T192" s="157">
        <v>-5.2400000000000002E-2</v>
      </c>
      <c r="U192" s="157">
        <v>-1.2E-2</v>
      </c>
      <c r="V192" s="157">
        <v>1.6799999999999999E-2</v>
      </c>
      <c r="W192" s="157">
        <v>3.15E-2</v>
      </c>
    </row>
    <row r="193" spans="2:23" x14ac:dyDescent="0.25">
      <c r="B193" s="156">
        <v>40238</v>
      </c>
      <c r="C193" s="157">
        <v>5.1999999999999998E-3</v>
      </c>
      <c r="D193" s="157">
        <v>9.4000000000000004E-3</v>
      </c>
      <c r="E193" s="157">
        <v>5.7959999999999999E-3</v>
      </c>
      <c r="F193" s="157">
        <v>7.5690000000000002E-3</v>
      </c>
      <c r="G193" s="157">
        <v>1.2009950317068974E-2</v>
      </c>
      <c r="H193" s="157">
        <v>8.9855396872136062E-3</v>
      </c>
      <c r="I193" s="157">
        <v>1.3189327726650157E-2</v>
      </c>
      <c r="J193" s="157">
        <v>7.5991617697890312E-3</v>
      </c>
      <c r="K193" s="157">
        <v>2.3873263217653928E-2</v>
      </c>
      <c r="L193" s="157">
        <v>1.3731774429907251E-2</v>
      </c>
      <c r="M193" s="157">
        <v>2.447443338662203E-2</v>
      </c>
      <c r="N193" s="157">
        <v>1.9724740037552646E-2</v>
      </c>
      <c r="O193" s="157">
        <v>1.4252110827741804E-2</v>
      </c>
      <c r="P193" s="157">
        <v>2.4425219297301126E-2</v>
      </c>
      <c r="Q193" s="157">
        <v>1.3131364822680514E-2</v>
      </c>
      <c r="R193" s="157">
        <v>1.188034317147979E-2</v>
      </c>
      <c r="S193" s="157">
        <v>-1.66E-2</v>
      </c>
      <c r="T193" s="157">
        <v>-2.4E-2</v>
      </c>
      <c r="U193" s="157">
        <v>4.2799999999999998E-2</v>
      </c>
      <c r="V193" s="157">
        <v>5.28E-2</v>
      </c>
      <c r="W193" s="157">
        <v>-1.3599999999999999E-2</v>
      </c>
    </row>
    <row r="194" spans="2:23" x14ac:dyDescent="0.25">
      <c r="B194" s="156">
        <v>40269</v>
      </c>
      <c r="C194" s="157">
        <v>5.7000000000000002E-3</v>
      </c>
      <c r="D194" s="157">
        <v>7.7000000000000002E-3</v>
      </c>
      <c r="E194" s="157">
        <v>5.0000000000000001E-3</v>
      </c>
      <c r="F194" s="157">
        <v>6.6390000000000008E-3</v>
      </c>
      <c r="G194" s="157">
        <v>1.9809189564448104E-3</v>
      </c>
      <c r="H194" s="157">
        <v>4.6546371843407819E-3</v>
      </c>
      <c r="I194" s="157">
        <v>1.6899831743848459E-3</v>
      </c>
      <c r="J194" s="157">
        <v>6.6306101555004826E-3</v>
      </c>
      <c r="K194" s="157">
        <v>1.4382883937917867E-2</v>
      </c>
      <c r="L194" s="157">
        <v>1.0847013431368957E-2</v>
      </c>
      <c r="M194" s="157">
        <v>1.4587833943307649E-2</v>
      </c>
      <c r="N194" s="157">
        <v>6.781102641872927E-3</v>
      </c>
      <c r="O194" s="157">
        <v>1.7186409065830244E-3</v>
      </c>
      <c r="P194" s="157">
        <v>1.1084908634626967E-2</v>
      </c>
      <c r="Q194" s="157">
        <v>5.5915868590132867E-3</v>
      </c>
      <c r="R194" s="157">
        <v>5.442609593253156E-3</v>
      </c>
      <c r="S194" s="157">
        <v>-2.8299999999999999E-2</v>
      </c>
      <c r="T194" s="157">
        <v>-4.3099999999999999E-2</v>
      </c>
      <c r="U194" s="157">
        <v>1.47E-2</v>
      </c>
      <c r="V194" s="157">
        <v>-4.0399999999999998E-2</v>
      </c>
      <c r="W194" s="157">
        <v>-4.7999999999999996E-3</v>
      </c>
    </row>
    <row r="195" spans="2:23" x14ac:dyDescent="0.25">
      <c r="B195" s="156">
        <v>40299</v>
      </c>
      <c r="C195" s="157">
        <v>4.3E-3</v>
      </c>
      <c r="D195" s="157">
        <v>1.1900000000000001E-2</v>
      </c>
      <c r="E195" s="157">
        <v>5.5129999999999997E-3</v>
      </c>
      <c r="F195" s="157">
        <v>7.4999999999999997E-3</v>
      </c>
      <c r="G195" s="157">
        <v>1.1588936909692205E-2</v>
      </c>
      <c r="H195" s="157">
        <v>8.3240488499787268E-3</v>
      </c>
      <c r="I195" s="157">
        <v>1.0299143431612423E-2</v>
      </c>
      <c r="J195" s="157">
        <v>7.5134720654326248E-3</v>
      </c>
      <c r="K195" s="157">
        <v>1.8236136766313749E-2</v>
      </c>
      <c r="L195" s="157">
        <v>1.7844925590415617E-2</v>
      </c>
      <c r="M195" s="157">
        <v>1.8257817190892034E-2</v>
      </c>
      <c r="N195" s="157">
        <v>-3.4396642961919133E-3</v>
      </c>
      <c r="O195" s="157">
        <v>7.8375941315527164E-3</v>
      </c>
      <c r="P195" s="157">
        <v>-1.3977582651500176E-2</v>
      </c>
      <c r="Q195" s="157">
        <v>6.6504925081498634E-3</v>
      </c>
      <c r="R195" s="157">
        <v>5.1936078609597924E-3</v>
      </c>
      <c r="S195" s="157">
        <v>4.9799999999999997E-2</v>
      </c>
      <c r="T195" s="157">
        <v>-2.93E-2</v>
      </c>
      <c r="U195" s="157">
        <v>4.3499999999999997E-2</v>
      </c>
      <c r="V195" s="157">
        <v>-6.6400000000000001E-2</v>
      </c>
      <c r="W195" s="157">
        <v>-3.5400000000000001E-2</v>
      </c>
    </row>
    <row r="196" spans="2:23" x14ac:dyDescent="0.25">
      <c r="B196" s="156">
        <v>40330</v>
      </c>
      <c r="C196" s="160">
        <v>0</v>
      </c>
      <c r="D196" s="160">
        <v>8.5000000000000006E-3</v>
      </c>
      <c r="E196" s="160">
        <v>5.5919999999999997E-3</v>
      </c>
      <c r="F196" s="157">
        <v>7.9080000000000001E-3</v>
      </c>
      <c r="G196" s="160">
        <v>9.3902683889968142E-3</v>
      </c>
      <c r="H196" s="160">
        <v>7.4620715981703611E-3</v>
      </c>
      <c r="I196" s="160">
        <v>1.3084540502671382E-2</v>
      </c>
      <c r="J196" s="160">
        <v>7.8961137801456527E-3</v>
      </c>
      <c r="K196" s="160">
        <v>1.1870273872439663E-2</v>
      </c>
      <c r="L196" s="160">
        <v>1.164929800976422E-2</v>
      </c>
      <c r="M196" s="160">
        <v>1.1888616230387949E-2</v>
      </c>
      <c r="N196" s="160">
        <v>1.2748792428046274E-2</v>
      </c>
      <c r="O196" s="160">
        <v>9.3435796743288613E-3</v>
      </c>
      <c r="P196" s="160">
        <v>1.7439261951544438E-2</v>
      </c>
      <c r="Q196" s="160">
        <v>9.8649248778734933E-3</v>
      </c>
      <c r="R196" s="160">
        <v>1.0295884233678443E-2</v>
      </c>
      <c r="S196" s="160">
        <v>-8.3999999999999995E-3</v>
      </c>
      <c r="T196" s="160">
        <v>-1.44E-2</v>
      </c>
      <c r="U196" s="160">
        <v>2.92E-2</v>
      </c>
      <c r="V196" s="160">
        <v>-3.3500000000000002E-2</v>
      </c>
      <c r="W196" s="160">
        <v>3.0200000000000001E-2</v>
      </c>
    </row>
    <row r="197" spans="2:23" x14ac:dyDescent="0.25">
      <c r="B197" s="156">
        <v>40360</v>
      </c>
      <c r="C197" s="157">
        <v>1E-4</v>
      </c>
      <c r="D197" s="157">
        <v>1.5E-3</v>
      </c>
      <c r="E197" s="157">
        <v>6.1570000000000001E-3</v>
      </c>
      <c r="F197" s="157">
        <v>8.5919999999999989E-3</v>
      </c>
      <c r="G197" s="157">
        <v>1.6313801418533558E-2</v>
      </c>
      <c r="H197" s="157">
        <v>1.2215757929115112E-2</v>
      </c>
      <c r="I197" s="157">
        <v>1.5536271471605634E-2</v>
      </c>
      <c r="J197" s="157">
        <v>8.5893624050215056E-3</v>
      </c>
      <c r="K197" s="157">
        <v>4.9073637897836253E-3</v>
      </c>
      <c r="L197" s="157">
        <v>4.6260447317543196E-3</v>
      </c>
      <c r="M197" s="157">
        <v>4.9219128220761021E-3</v>
      </c>
      <c r="N197" s="157">
        <v>1.5812421811759458E-2</v>
      </c>
      <c r="O197" s="157">
        <v>1.3492728971514767E-2</v>
      </c>
      <c r="P197" s="157">
        <v>1.9013518329727974E-2</v>
      </c>
      <c r="Q197" s="157">
        <v>1.2901217487548466E-2</v>
      </c>
      <c r="R197" s="157">
        <v>1.2122980963241048E-2</v>
      </c>
      <c r="S197" s="157">
        <v>-2.46E-2</v>
      </c>
      <c r="T197" s="157">
        <v>4.0800000000000003E-2</v>
      </c>
      <c r="U197" s="157">
        <v>-3.9100000000000003E-2</v>
      </c>
      <c r="V197" s="157">
        <v>0.108</v>
      </c>
      <c r="W197" s="157">
        <v>0.1183</v>
      </c>
    </row>
    <row r="198" spans="2:23" x14ac:dyDescent="0.25">
      <c r="B198" s="156">
        <v>40391</v>
      </c>
      <c r="C198" s="157">
        <v>4.0000000000000002E-4</v>
      </c>
      <c r="D198" s="157">
        <v>7.7000000000000002E-3</v>
      </c>
      <c r="E198" s="157">
        <v>5.914E-3</v>
      </c>
      <c r="F198" s="157">
        <v>8.8629999999999994E-3</v>
      </c>
      <c r="G198" s="157">
        <v>1.3899999999999999E-2</v>
      </c>
      <c r="H198" s="157">
        <v>9.4999999999999998E-3</v>
      </c>
      <c r="I198" s="157">
        <v>1.7399999999999999E-2</v>
      </c>
      <c r="J198" s="157">
        <v>8.8999999999999999E-3</v>
      </c>
      <c r="K198" s="157">
        <v>1.5900000000000001E-2</v>
      </c>
      <c r="L198" s="157">
        <v>1.0500000000000001E-2</v>
      </c>
      <c r="M198" s="157">
        <v>1.6199999999999999E-2</v>
      </c>
      <c r="N198" s="157">
        <v>0.02</v>
      </c>
      <c r="O198" s="157">
        <v>9.9000000000000008E-3</v>
      </c>
      <c r="P198" s="157">
        <v>3.32E-2</v>
      </c>
      <c r="Q198" s="157">
        <v>1.3899999999999999E-2</v>
      </c>
      <c r="R198" s="157">
        <v>1.37E-2</v>
      </c>
      <c r="S198" s="157">
        <v>-6.9999999999999999E-4</v>
      </c>
      <c r="T198" s="157">
        <v>-2.9700000000000001E-2</v>
      </c>
      <c r="U198" s="157">
        <v>3.5799999999999998E-2</v>
      </c>
      <c r="V198" s="157">
        <v>-3.5099999999999999E-2</v>
      </c>
      <c r="W198" s="157">
        <v>3.5000000000000001E-3</v>
      </c>
    </row>
    <row r="199" spans="2:23" x14ac:dyDescent="0.25">
      <c r="B199" s="156">
        <v>40422</v>
      </c>
      <c r="C199" s="157">
        <v>4.4999999999999997E-3</v>
      </c>
      <c r="D199" s="157">
        <v>1.15E-2</v>
      </c>
      <c r="E199" s="157">
        <v>5.7060000000000001E-3</v>
      </c>
      <c r="F199" s="157">
        <v>8.3999999999999995E-3</v>
      </c>
      <c r="G199" s="157">
        <v>4.7999999999999996E-3</v>
      </c>
      <c r="H199" s="157">
        <v>8.5000000000000006E-3</v>
      </c>
      <c r="I199" s="157">
        <v>2.0999999999999999E-3</v>
      </c>
      <c r="J199" s="157">
        <v>8.5000000000000006E-3</v>
      </c>
      <c r="K199" s="157">
        <v>2.9899999999999999E-2</v>
      </c>
      <c r="L199" s="157">
        <v>1.9599999999999999E-2</v>
      </c>
      <c r="M199" s="157">
        <v>3.0499999999999999E-2</v>
      </c>
      <c r="N199" s="157">
        <v>5.1999999999999998E-3</v>
      </c>
      <c r="O199" s="157">
        <v>7.3000000000000001E-3</v>
      </c>
      <c r="P199" s="157">
        <v>2.7000000000000001E-3</v>
      </c>
      <c r="Q199" s="157">
        <v>7.4999999999999997E-3</v>
      </c>
      <c r="R199" s="157">
        <v>6.1999999999999998E-3</v>
      </c>
      <c r="S199" s="157">
        <v>-3.5200000000000002E-2</v>
      </c>
      <c r="T199" s="157">
        <v>3.7900000000000003E-2</v>
      </c>
      <c r="U199" s="157">
        <v>7.4999999999999997E-3</v>
      </c>
      <c r="V199" s="157">
        <v>6.5799999999999997E-2</v>
      </c>
      <c r="W199" s="157">
        <v>5.1299999999999998E-2</v>
      </c>
    </row>
  </sheetData>
  <hyperlinks>
    <hyperlink ref="C3" r:id="rId1" xr:uid="{00000000-0004-0000-0000-000000000000}"/>
    <hyperlink ref="D3" r:id="rId2" xr:uid="{00000000-0004-0000-0000-000001000000}"/>
    <hyperlink ref="E3" r:id="rId3" xr:uid="{00000000-0004-0000-0000-000002000000}"/>
    <hyperlink ref="F3" r:id="rId4" xr:uid="{00000000-0004-0000-0000-000003000000}"/>
    <hyperlink ref="G3" r:id="rId5" xr:uid="{00000000-0004-0000-0000-000004000000}"/>
    <hyperlink ref="S3" r:id="rId6" xr:uid="{00000000-0004-0000-0000-000005000000}"/>
    <hyperlink ref="T3:U3" r:id="rId7" display="link" xr:uid="{00000000-0004-0000-0000-000006000000}"/>
    <hyperlink ref="V3" r:id="rId8" xr:uid="{00000000-0004-0000-0000-000007000000}"/>
    <hyperlink ref="W3" r:id="rId9" xr:uid="{00000000-0004-0000-0000-000008000000}"/>
    <hyperlink ref="H3:R3" r:id="rId10" display="link" xr:uid="{00000000-0004-0000-0000-000009000000}"/>
  </hyperlinks>
  <pageMargins left="0.7" right="0.7" top="0.75" bottom="0.75" header="0.3" footer="0.3"/>
  <drawing r:id="rId1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">
    <tabColor theme="9" tint="0.79998168889431442"/>
  </sheetPr>
  <dimension ref="B1:U37"/>
  <sheetViews>
    <sheetView showGridLines="0" showRowColHeaders="0" zoomScale="140" zoomScaleNormal="140" workbookViewId="0"/>
  </sheetViews>
  <sheetFormatPr defaultColWidth="9.140625" defaultRowHeight="15" x14ac:dyDescent="0.25"/>
  <cols>
    <col min="1" max="1" width="7.7109375" customWidth="1"/>
    <col min="2" max="2" width="4.140625" customWidth="1"/>
    <col min="3" max="3" width="1.7109375" customWidth="1"/>
    <col min="4" max="4" width="41" customWidth="1"/>
    <col min="5" max="5" width="1.7109375" customWidth="1"/>
    <col min="6" max="6" width="16.42578125" customWidth="1"/>
    <col min="7" max="7" width="2.7109375" customWidth="1"/>
    <col min="8" max="8" width="13.7109375" customWidth="1"/>
    <col min="9" max="9" width="2.7109375" customWidth="1"/>
    <col min="10" max="10" width="9.7109375" bestFit="1" customWidth="1"/>
    <col min="11" max="11" width="3.140625" customWidth="1"/>
    <col min="12" max="12" width="9.140625" customWidth="1"/>
    <col min="13" max="13" width="3.140625" customWidth="1"/>
    <col min="14" max="21" width="9.140625" customWidth="1"/>
    <col min="22" max="22" width="7.7109375" customWidth="1"/>
    <col min="23" max="23" width="10.7109375" customWidth="1"/>
  </cols>
  <sheetData>
    <row r="1" spans="2:21" ht="9" customHeight="1" x14ac:dyDescent="0.25">
      <c r="J1" s="35"/>
      <c r="K1" s="35"/>
      <c r="L1" s="35"/>
      <c r="M1" s="35"/>
      <c r="N1" s="35"/>
      <c r="O1" s="35"/>
      <c r="P1" s="35"/>
      <c r="Q1" s="35"/>
      <c r="R1" s="35"/>
    </row>
    <row r="2" spans="2:21" ht="23.25" x14ac:dyDescent="0.35">
      <c r="B2" s="190" t="s">
        <v>184</v>
      </c>
      <c r="C2" s="31"/>
      <c r="D2" s="31"/>
      <c r="E2" s="31"/>
      <c r="F2" s="31"/>
      <c r="H2" s="128"/>
      <c r="I2" s="128"/>
      <c r="J2" s="225"/>
      <c r="K2" s="225"/>
      <c r="L2" s="225"/>
      <c r="M2" s="225"/>
      <c r="N2" s="225"/>
      <c r="O2" s="225"/>
      <c r="P2" s="225"/>
      <c r="Q2" s="225"/>
      <c r="R2" s="128"/>
      <c r="S2" s="225"/>
      <c r="T2" s="225"/>
      <c r="U2" s="225"/>
    </row>
    <row r="4" spans="2:21" ht="21" customHeight="1" x14ac:dyDescent="0.25">
      <c r="D4" s="29"/>
      <c r="F4" s="215">
        <v>50000</v>
      </c>
      <c r="H4" s="26"/>
      <c r="J4" s="148"/>
      <c r="L4" s="32" t="str">
        <f>IF('ANEXO DE APOIO'!I5,'ANEXO DE APOIO'!K5,"")</f>
        <v/>
      </c>
    </row>
    <row r="5" spans="2:21" ht="12.75" customHeight="1" x14ac:dyDescent="0.25">
      <c r="B5" s="31"/>
      <c r="C5" s="31"/>
      <c r="D5" s="31"/>
      <c r="E5" s="31"/>
      <c r="F5" s="216"/>
      <c r="G5" s="31"/>
      <c r="H5" s="31"/>
      <c r="I5" s="31"/>
      <c r="J5" s="34"/>
      <c r="K5" s="31"/>
      <c r="L5" s="33"/>
      <c r="M5" s="31"/>
      <c r="N5" s="31"/>
      <c r="O5" s="31"/>
      <c r="P5" s="31"/>
      <c r="Q5" s="31"/>
      <c r="R5" s="31"/>
      <c r="S5" s="31"/>
      <c r="T5" s="31"/>
      <c r="U5" s="31"/>
    </row>
    <row r="6" spans="2:21" ht="12.75" customHeight="1" x14ac:dyDescent="0.25">
      <c r="F6" s="217"/>
      <c r="J6" s="30"/>
      <c r="L6" s="28"/>
    </row>
    <row r="7" spans="2:21" ht="21" customHeight="1" x14ac:dyDescent="0.25">
      <c r="D7" s="29" t="s">
        <v>30</v>
      </c>
      <c r="F7" s="215">
        <v>2000</v>
      </c>
      <c r="J7" s="148"/>
      <c r="L7" s="32" t="str">
        <f>IF('ANEXO DE APOIO'!I6,'ANEXO DE APOIO'!K6,"")</f>
        <v/>
      </c>
    </row>
    <row r="8" spans="2:21" ht="12.75" customHeight="1" x14ac:dyDescent="0.25">
      <c r="B8" s="31"/>
      <c r="C8" s="31"/>
      <c r="D8" s="31"/>
      <c r="E8" s="31"/>
      <c r="F8" s="216"/>
      <c r="G8" s="31"/>
      <c r="H8" s="146"/>
      <c r="I8" s="31"/>
      <c r="J8" s="34"/>
      <c r="K8" s="31"/>
      <c r="L8" s="33"/>
      <c r="M8" s="31"/>
      <c r="N8" s="31"/>
      <c r="O8" s="31"/>
      <c r="P8" s="31"/>
      <c r="Q8" s="31"/>
      <c r="R8" s="31"/>
      <c r="S8" s="31"/>
      <c r="T8" s="31"/>
      <c r="U8" s="31"/>
    </row>
    <row r="9" spans="2:21" ht="12.75" customHeight="1" x14ac:dyDescent="0.25">
      <c r="F9" s="217"/>
      <c r="H9" s="147"/>
      <c r="J9" s="30"/>
      <c r="L9" s="28"/>
    </row>
    <row r="10" spans="2:21" ht="21" customHeight="1" x14ac:dyDescent="0.25">
      <c r="D10" s="29" t="s">
        <v>10</v>
      </c>
      <c r="F10" s="218">
        <v>0.08</v>
      </c>
      <c r="G10" s="161"/>
      <c r="J10" s="148"/>
      <c r="L10" s="32" t="str">
        <f>IF('ANEXO DE APOIO'!I7,'ANEXO DE APOIO'!K7,"")</f>
        <v/>
      </c>
    </row>
    <row r="11" spans="2:21" ht="12.75" customHeight="1" x14ac:dyDescent="0.25">
      <c r="B11" s="31"/>
      <c r="C11" s="31"/>
      <c r="D11" s="31"/>
      <c r="E11" s="31"/>
      <c r="F11" s="216"/>
      <c r="G11" s="31"/>
      <c r="H11" s="146"/>
      <c r="I11" s="31"/>
      <c r="J11" s="34"/>
      <c r="K11" s="31"/>
      <c r="L11" s="33"/>
      <c r="M11" s="31"/>
      <c r="N11" s="31"/>
      <c r="O11" s="31"/>
      <c r="P11" s="31"/>
      <c r="Q11" s="31"/>
      <c r="R11" s="31"/>
      <c r="S11" s="31"/>
      <c r="T11" s="31"/>
      <c r="U11" s="31"/>
    </row>
    <row r="12" spans="2:21" ht="12.75" customHeight="1" x14ac:dyDescent="0.25">
      <c r="F12" s="217"/>
      <c r="H12" s="147"/>
      <c r="J12" s="30"/>
      <c r="L12" s="28"/>
    </row>
    <row r="13" spans="2:21" ht="21" customHeight="1" x14ac:dyDescent="0.25">
      <c r="D13" s="29" t="s">
        <v>11</v>
      </c>
      <c r="F13" s="219">
        <v>30</v>
      </c>
      <c r="J13" s="148"/>
      <c r="L13" s="32" t="str">
        <f>IF('ANEXO DE APOIO'!I8,'ANEXO DE APOIO'!K8,"")</f>
        <v/>
      </c>
    </row>
    <row r="14" spans="2:21" ht="12.75" customHeight="1" x14ac:dyDescent="0.25">
      <c r="B14" s="31"/>
      <c r="C14" s="31"/>
      <c r="D14" s="31"/>
      <c r="E14" s="31"/>
      <c r="F14" s="216"/>
      <c r="G14" s="31"/>
      <c r="H14" s="146"/>
      <c r="I14" s="31"/>
      <c r="J14" s="34"/>
      <c r="K14" s="31"/>
      <c r="L14" s="33"/>
      <c r="M14" s="31"/>
      <c r="N14" s="31"/>
      <c r="O14" s="31"/>
      <c r="P14" s="31"/>
      <c r="Q14" s="31"/>
      <c r="R14" s="31"/>
      <c r="S14" s="31"/>
      <c r="T14" s="31"/>
      <c r="U14" s="31"/>
    </row>
    <row r="15" spans="2:21" ht="12.75" customHeight="1" x14ac:dyDescent="0.25">
      <c r="F15" s="217"/>
      <c r="H15" s="147"/>
      <c r="J15" s="30"/>
      <c r="L15" s="28"/>
    </row>
    <row r="16" spans="2:21" ht="21" customHeight="1" x14ac:dyDescent="0.25">
      <c r="D16" s="29" t="s">
        <v>0</v>
      </c>
      <c r="F16" s="218">
        <v>0</v>
      </c>
      <c r="J16" s="148"/>
      <c r="L16" s="32" t="str">
        <f>IF('ANEXO DE APOIO'!I9,'ANEXO DE APOIO'!K9,"")</f>
        <v/>
      </c>
    </row>
    <row r="17" spans="2:21" ht="12.75" customHeight="1" x14ac:dyDescent="0.25">
      <c r="B17" s="31"/>
      <c r="C17" s="31"/>
      <c r="D17" s="31"/>
      <c r="E17" s="31"/>
      <c r="F17" s="216"/>
      <c r="G17" s="31"/>
      <c r="H17" s="31"/>
      <c r="I17" s="146"/>
      <c r="J17" s="34"/>
      <c r="K17" s="31"/>
      <c r="L17" s="33"/>
      <c r="M17" s="31"/>
      <c r="N17" s="31"/>
      <c r="O17" s="31"/>
      <c r="P17" s="31"/>
      <c r="Q17" s="31"/>
      <c r="R17" s="31"/>
      <c r="S17" s="31"/>
      <c r="T17" s="31"/>
      <c r="U17" s="31"/>
    </row>
    <row r="18" spans="2:21" ht="12.75" customHeight="1" x14ac:dyDescent="0.25">
      <c r="F18" s="217"/>
      <c r="H18" s="214"/>
      <c r="J18" s="30"/>
      <c r="L18" s="28"/>
    </row>
    <row r="19" spans="2:21" ht="21" customHeight="1" x14ac:dyDescent="0.25">
      <c r="D19" s="29"/>
      <c r="F19" s="218">
        <v>0</v>
      </c>
      <c r="H19" s="212"/>
      <c r="J19" s="148"/>
      <c r="L19" s="32"/>
    </row>
    <row r="20" spans="2:21" ht="12.75" customHeight="1" x14ac:dyDescent="0.25">
      <c r="B20" s="31"/>
      <c r="C20" s="31"/>
      <c r="D20" s="31"/>
      <c r="E20" s="31"/>
      <c r="F20" s="216"/>
      <c r="G20" s="31"/>
      <c r="H20" s="146"/>
      <c r="I20" s="31"/>
      <c r="J20" s="34"/>
      <c r="K20" s="31"/>
      <c r="L20" s="33"/>
      <c r="M20" s="31"/>
      <c r="N20" s="31"/>
      <c r="O20" s="31"/>
      <c r="P20" s="31"/>
      <c r="Q20" s="31"/>
      <c r="R20" s="31"/>
      <c r="S20" s="31"/>
      <c r="T20" s="31"/>
      <c r="U20" s="31"/>
    </row>
    <row r="21" spans="2:21" ht="12" customHeight="1" x14ac:dyDescent="0.25">
      <c r="F21" s="184"/>
    </row>
    <row r="22" spans="2:21" ht="21" customHeight="1" x14ac:dyDescent="0.25">
      <c r="F22" s="218">
        <v>0</v>
      </c>
    </row>
    <row r="23" spans="2:21" ht="12" customHeight="1" x14ac:dyDescent="0.25"/>
    <row r="24" spans="2:21" ht="12" customHeight="1" x14ac:dyDescent="0.25"/>
    <row r="25" spans="2:21" ht="21" customHeight="1" x14ac:dyDescent="0.25"/>
    <row r="26" spans="2:21" ht="12" customHeight="1" x14ac:dyDescent="0.25"/>
    <row r="27" spans="2:21" ht="12" customHeight="1" x14ac:dyDescent="0.25"/>
    <row r="28" spans="2:21" ht="21" customHeight="1" x14ac:dyDescent="0.25"/>
    <row r="29" spans="2:21" ht="12" customHeight="1" x14ac:dyDescent="0.25"/>
    <row r="30" spans="2:21" ht="12" customHeight="1" x14ac:dyDescent="0.25"/>
    <row r="31" spans="2:21" ht="21" customHeight="1" x14ac:dyDescent="0.25"/>
    <row r="32" spans="2:21" ht="15" hidden="1" customHeight="1" x14ac:dyDescent="0.25"/>
    <row r="33" ht="15" hidden="1" customHeight="1" x14ac:dyDescent="0.25"/>
    <row r="34" hidden="1" x14ac:dyDescent="0.25"/>
    <row r="35" hidden="1" x14ac:dyDescent="0.25"/>
    <row r="36" hidden="1" x14ac:dyDescent="0.25"/>
    <row r="37" hidden="1" x14ac:dyDescent="0.25"/>
  </sheetData>
  <mergeCells count="2">
    <mergeCell ref="J2:Q2"/>
    <mergeCell ref="S2:U2"/>
  </mergeCells>
  <dataValidations count="1">
    <dataValidation type="whole" allowBlank="1" showInputMessage="1" showErrorMessage="1" errorTitle="Excedeu o limite de anos" error="Escolha um número de anos entre 1 e 50" sqref="F13" xr:uid="{00000000-0002-0000-0400-000004000000}">
      <formula1>1</formula1>
      <formula2>50</formula2>
    </dataValidation>
  </dataValidation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88" r:id="rId4" name="Check Box 40">
              <controlPr defaultSize="0" autoFill="0" autoLine="0" autoPict="0">
                <anchor moveWithCells="1">
                  <from>
                    <xdr:col>12</xdr:col>
                    <xdr:colOff>0</xdr:colOff>
                    <xdr:row>33</xdr:row>
                    <xdr:rowOff>0</xdr:rowOff>
                  </from>
                  <to>
                    <xdr:col>13</xdr:col>
                    <xdr:colOff>104775</xdr:colOff>
                    <xdr:row>38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6" r:id="rId5" name="Check Box 48">
              <controlPr defaultSize="0" autoFill="0" autoLine="0" autoPict="0">
                <anchor moveWithCells="1">
                  <from>
                    <xdr:col>15</xdr:col>
                    <xdr:colOff>523875</xdr:colOff>
                    <xdr:row>41</xdr:row>
                    <xdr:rowOff>85725</xdr:rowOff>
                  </from>
                  <to>
                    <xdr:col>15</xdr:col>
                    <xdr:colOff>523875</xdr:colOff>
                    <xdr:row>41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9" r:id="rId6" name="Check Box 51">
              <controlPr defaultSize="0" autoFill="0" autoLine="0" autoPict="0">
                <anchor moveWithCells="1">
                  <from>
                    <xdr:col>15</xdr:col>
                    <xdr:colOff>571500</xdr:colOff>
                    <xdr:row>41</xdr:row>
                    <xdr:rowOff>9525</xdr:rowOff>
                  </from>
                  <to>
                    <xdr:col>15</xdr:col>
                    <xdr:colOff>571500</xdr:colOff>
                    <xdr:row>41</xdr:row>
                    <xdr:rowOff>28575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7C8B342A-0559-41F0-B9C4-3D086F51FBF6}">
          <x14:formula1>
            <xm:f>'BANCO DE DADOS'!$AJ$20:$AJ$77</xm:f>
          </x14:formula1>
          <xm:sqref>F10 F16</xm:sqref>
        </x14:dataValidation>
        <x14:dataValidation type="list" allowBlank="1" showErrorMessage="1" xr:uid="{00000000-0002-0000-0400-000002000000}">
          <x14:formula1>
            <xm:f>'BANCO DE DADOS'!$AM$23:$AM$27</xm:f>
          </x14:formula1>
          <xm:sqref>F22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3">
    <tabColor theme="9" tint="0.79998168889431442"/>
  </sheetPr>
  <dimension ref="A1:Q42"/>
  <sheetViews>
    <sheetView showGridLines="0" showRowColHeaders="0" tabSelected="1" zoomScale="110" zoomScaleNormal="110" workbookViewId="0"/>
  </sheetViews>
  <sheetFormatPr defaultColWidth="0" defaultRowHeight="15" zeroHeight="1" x14ac:dyDescent="0.25"/>
  <cols>
    <col min="1" max="1" width="5.7109375" customWidth="1"/>
    <col min="2" max="2" width="34.140625" customWidth="1"/>
    <col min="3" max="3" width="4" customWidth="1"/>
    <col min="4" max="4" width="27.42578125" customWidth="1"/>
    <col min="5" max="5" width="2.85546875" customWidth="1"/>
    <col min="6" max="6" width="13.7109375" bestFit="1" customWidth="1"/>
    <col min="7" max="7" width="10.140625" bestFit="1" customWidth="1"/>
    <col min="8" max="8" width="11.42578125" customWidth="1"/>
    <col min="9" max="9" width="14.28515625" customWidth="1"/>
    <col min="10" max="10" width="3.28515625" customWidth="1"/>
    <col min="11" max="11" width="3.140625" customWidth="1"/>
    <col min="12" max="12" width="8.7109375" customWidth="1"/>
    <col min="13" max="13" width="19.28515625" customWidth="1"/>
    <col min="14" max="14" width="24.140625" customWidth="1"/>
    <col min="15" max="15" width="10.5703125" customWidth="1"/>
    <col min="16" max="16" width="5.7109375" customWidth="1"/>
    <col min="17" max="17" width="9.140625" customWidth="1"/>
    <col min="18" max="16384" width="9.140625" hidden="1"/>
  </cols>
  <sheetData>
    <row r="1" spans="1:15" ht="9" customHeight="1" x14ac:dyDescent="0.25">
      <c r="B1" s="184"/>
      <c r="C1" s="184"/>
      <c r="D1" s="184"/>
      <c r="E1" s="184"/>
      <c r="F1" s="184"/>
      <c r="G1" s="184"/>
      <c r="H1" s="184"/>
    </row>
    <row r="2" spans="1:15" ht="23.25" x14ac:dyDescent="0.35">
      <c r="B2" s="190" t="s">
        <v>184</v>
      </c>
      <c r="C2" s="191"/>
      <c r="D2" s="192"/>
      <c r="E2" s="191"/>
      <c r="F2" s="187"/>
      <c r="G2" s="187"/>
      <c r="H2" s="187"/>
      <c r="I2" s="161"/>
      <c r="J2" s="127"/>
      <c r="K2" s="35"/>
      <c r="L2" s="167" t="s">
        <v>77</v>
      </c>
      <c r="M2" s="31"/>
      <c r="N2" s="31"/>
      <c r="O2" s="31"/>
    </row>
    <row r="3" spans="1:15" x14ac:dyDescent="0.25">
      <c r="B3" s="187"/>
      <c r="C3" s="193"/>
      <c r="D3" s="187"/>
      <c r="E3" s="187"/>
      <c r="F3" s="187"/>
      <c r="G3" s="187"/>
      <c r="H3" s="187"/>
      <c r="I3" s="161"/>
      <c r="J3" s="127"/>
      <c r="L3" s="208" t="s">
        <v>165</v>
      </c>
    </row>
    <row r="4" spans="1:15" ht="20.25" x14ac:dyDescent="0.25">
      <c r="A4" s="35"/>
      <c r="B4" s="194" t="str">
        <f>"Seu patrimônio em " &amp; 'BANCO DE DADOS'!$AD$29 &amp; " anos será:"</f>
        <v>Seu patrimônio em 30 anos será:</v>
      </c>
      <c r="C4" s="195"/>
      <c r="D4" s="201">
        <f ca="1">'BANCO DE DADOS'!AC14</f>
        <v>3338230.6734183193</v>
      </c>
      <c r="E4" s="195"/>
      <c r="F4" s="187"/>
      <c r="G4" s="187"/>
      <c r="H4" s="187"/>
      <c r="I4" s="161"/>
      <c r="J4" s="127"/>
      <c r="L4" s="179" t="s">
        <v>3</v>
      </c>
      <c r="M4" s="176" t="s">
        <v>39</v>
      </c>
      <c r="N4" s="168" t="s">
        <v>164</v>
      </c>
      <c r="O4" s="169" t="s">
        <v>40</v>
      </c>
    </row>
    <row r="5" spans="1:15" x14ac:dyDescent="0.25">
      <c r="B5" s="196"/>
      <c r="C5" s="187"/>
      <c r="D5" s="197"/>
      <c r="E5" s="187"/>
      <c r="F5" s="187"/>
      <c r="G5" s="187"/>
      <c r="H5" s="187"/>
      <c r="I5" s="161"/>
      <c r="J5" s="127"/>
      <c r="L5" s="170">
        <f>'BANCO DE DADOS'!AA40</f>
        <v>5</v>
      </c>
      <c r="M5" s="177">
        <f>'BANCO DE DADOS'!AE40</f>
        <v>0.77176055776741503</v>
      </c>
      <c r="N5" s="43"/>
      <c r="O5" s="171">
        <f>'BANCO DE DADOS'!AF40</f>
        <v>0.22823944223258497</v>
      </c>
    </row>
    <row r="6" spans="1:15" ht="18" x14ac:dyDescent="0.25">
      <c r="B6" s="198" t="s">
        <v>79</v>
      </c>
      <c r="C6" s="195"/>
      <c r="D6" s="202">
        <f ca="1">'BANCO DE DADOS'!AB21</f>
        <v>50465</v>
      </c>
      <c r="E6" s="195"/>
      <c r="F6" s="206" t="str">
        <f ca="1">'BANCO DE DADOS'!AC21</f>
        <v>Aprox. 17 anos</v>
      </c>
      <c r="G6" s="187"/>
      <c r="H6" s="199"/>
      <c r="I6" s="161"/>
      <c r="J6" s="127"/>
      <c r="L6" s="172">
        <v>10</v>
      </c>
      <c r="M6" s="177">
        <f>'BANCO DE DADOS'!AE41</f>
        <v>0.61638516360325368</v>
      </c>
      <c r="N6" s="44"/>
      <c r="O6" s="171">
        <f>'BANCO DE DADOS'!AF41</f>
        <v>0.38361483639674632</v>
      </c>
    </row>
    <row r="7" spans="1:15" x14ac:dyDescent="0.25">
      <c r="B7" s="196"/>
      <c r="C7" s="187"/>
      <c r="D7" s="197"/>
      <c r="E7" s="187"/>
      <c r="F7" s="187"/>
      <c r="G7" s="187"/>
      <c r="H7" s="187"/>
      <c r="I7" s="161"/>
      <c r="J7" s="127"/>
      <c r="L7" s="172">
        <v>15</v>
      </c>
      <c r="M7" s="177">
        <f>'BANCO DE DADOS'!AE42</f>
        <v>0.48918726725953277</v>
      </c>
      <c r="N7" s="44"/>
      <c r="O7" s="171">
        <f>'BANCO DE DADOS'!AF42</f>
        <v>0.51081273274046723</v>
      </c>
    </row>
    <row r="8" spans="1:15" ht="15.75" x14ac:dyDescent="0.25">
      <c r="B8" s="200" t="s">
        <v>75</v>
      </c>
      <c r="C8" s="188"/>
      <c r="D8" s="204">
        <f ca="1">'BANCO DE DADOS'!AC11</f>
        <v>770000</v>
      </c>
      <c r="E8" s="188"/>
      <c r="F8" s="205">
        <f ca="1">D8/$D$4</f>
        <v>0.2306611122267134</v>
      </c>
      <c r="G8" s="207" t="s">
        <v>74</v>
      </c>
      <c r="H8" s="187"/>
      <c r="I8" s="161"/>
      <c r="J8" s="127"/>
      <c r="L8" s="172">
        <v>20</v>
      </c>
      <c r="M8" s="177">
        <f>'BANCO DE DADOS'!AE43</f>
        <v>0.38452934942459871</v>
      </c>
      <c r="N8" s="44"/>
      <c r="O8" s="171">
        <f>'BANCO DE DADOS'!AF43</f>
        <v>0.61547065057540129</v>
      </c>
    </row>
    <row r="9" spans="1:15" x14ac:dyDescent="0.25">
      <c r="B9" s="196"/>
      <c r="C9" s="187"/>
      <c r="D9" s="203"/>
      <c r="E9" s="187"/>
      <c r="F9" s="187"/>
      <c r="G9" s="187"/>
      <c r="H9" s="187"/>
      <c r="I9" s="161"/>
      <c r="J9" s="127"/>
      <c r="L9" s="172">
        <v>25</v>
      </c>
      <c r="M9" s="177">
        <f>'BANCO DE DADOS'!AE44</f>
        <v>0.29926127623150561</v>
      </c>
      <c r="N9" s="44"/>
      <c r="O9" s="171">
        <f>'BANCO DE DADOS'!AF44</f>
        <v>0.70073872376849433</v>
      </c>
    </row>
    <row r="10" spans="1:15" ht="15.75" x14ac:dyDescent="0.25">
      <c r="B10" s="200" t="s">
        <v>76</v>
      </c>
      <c r="C10" s="188"/>
      <c r="D10" s="204">
        <f ca="1">'BANCO DE DADOS'!AC10</f>
        <v>2568230.6734183193</v>
      </c>
      <c r="E10" s="188"/>
      <c r="F10" s="205">
        <f ca="1">D10/$D$4</f>
        <v>0.76933888777328663</v>
      </c>
      <c r="G10" s="207" t="s">
        <v>73</v>
      </c>
      <c r="H10" s="187"/>
      <c r="I10" s="161"/>
      <c r="J10" s="127"/>
      <c r="L10" s="172">
        <v>30</v>
      </c>
      <c r="M10" s="177">
        <f>'BANCO DE DADOS'!AE45</f>
        <v>0.2306611122267134</v>
      </c>
      <c r="N10" s="44"/>
      <c r="O10" s="171">
        <f>'BANCO DE DADOS'!AF45</f>
        <v>0.76933888777328663</v>
      </c>
    </row>
    <row r="11" spans="1:15" x14ac:dyDescent="0.25">
      <c r="B11" s="189"/>
      <c r="C11" s="189"/>
      <c r="D11" s="189"/>
      <c r="E11" s="189"/>
      <c r="F11" s="189"/>
      <c r="G11" s="189"/>
      <c r="H11" s="189"/>
      <c r="I11" s="142"/>
      <c r="J11" s="150"/>
      <c r="L11" s="172">
        <v>35</v>
      </c>
      <c r="M11" s="177">
        <f>'BANCO DE DADOS'!AE46</f>
        <v>0.17617538633010382</v>
      </c>
      <c r="N11" s="44"/>
      <c r="O11" s="171">
        <f>'BANCO DE DADOS'!AF46</f>
        <v>0.82382461366989612</v>
      </c>
    </row>
    <row r="12" spans="1:15" ht="15" customHeight="1" x14ac:dyDescent="0.25">
      <c r="B12" s="184"/>
      <c r="C12" s="184"/>
      <c r="D12" s="184"/>
      <c r="E12" s="184"/>
      <c r="F12" s="184"/>
      <c r="G12" s="184"/>
      <c r="H12" s="184"/>
      <c r="J12" s="127"/>
      <c r="L12" s="172">
        <v>40</v>
      </c>
      <c r="M12" s="177">
        <f>'BANCO DE DADOS'!AE47</f>
        <v>0.13342922545840741</v>
      </c>
      <c r="N12" s="44"/>
      <c r="O12" s="171">
        <f>'BANCO DE DADOS'!AF47</f>
        <v>0.86657077454159259</v>
      </c>
    </row>
    <row r="13" spans="1:15" ht="15" customHeight="1" x14ac:dyDescent="0.25">
      <c r="B13" s="185" t="s">
        <v>78</v>
      </c>
      <c r="J13" s="127"/>
      <c r="L13" s="172">
        <v>45</v>
      </c>
      <c r="M13" s="177">
        <f>'BANCO DE DADOS'!AE48</f>
        <v>0.10027518722776203</v>
      </c>
      <c r="N13" s="44"/>
      <c r="O13" s="171">
        <f>'BANCO DE DADOS'!AF48</f>
        <v>0.89972481277223793</v>
      </c>
    </row>
    <row r="14" spans="1:15" ht="15" customHeight="1" x14ac:dyDescent="0.25">
      <c r="J14" s="127"/>
      <c r="L14" s="173">
        <v>50</v>
      </c>
      <c r="M14" s="178">
        <f>'BANCO DE DADOS'!AE49</f>
        <v>7.4829373354437984E-2</v>
      </c>
      <c r="N14" s="174"/>
      <c r="O14" s="175">
        <f>'BANCO DE DADOS'!AF49</f>
        <v>0.92517062664556204</v>
      </c>
    </row>
    <row r="15" spans="1:15" ht="15" customHeight="1" x14ac:dyDescent="0.25">
      <c r="J15" s="127"/>
      <c r="K15" s="142"/>
      <c r="L15" s="142"/>
      <c r="M15" s="142"/>
      <c r="N15" s="142"/>
      <c r="O15" s="142"/>
    </row>
    <row r="16" spans="1:15" ht="15" customHeight="1" x14ac:dyDescent="0.25">
      <c r="J16" s="127"/>
      <c r="K16" s="35"/>
    </row>
    <row r="17" spans="2:15" ht="15" customHeight="1" x14ac:dyDescent="0.25">
      <c r="J17" s="127"/>
      <c r="L17" s="185" t="s">
        <v>88</v>
      </c>
      <c r="M17" s="186"/>
      <c r="N17" s="186"/>
      <c r="O17" s="31"/>
    </row>
    <row r="18" spans="2:15" ht="15" customHeight="1" x14ac:dyDescent="0.25">
      <c r="J18" s="127"/>
      <c r="L18" s="209" t="s">
        <v>166</v>
      </c>
      <c r="M18" s="187"/>
      <c r="N18" s="187"/>
    </row>
    <row r="19" spans="2:15" ht="15" customHeight="1" x14ac:dyDescent="0.25">
      <c r="J19" s="127"/>
      <c r="L19" s="179" t="s">
        <v>3</v>
      </c>
      <c r="M19" s="183" t="s">
        <v>35</v>
      </c>
      <c r="N19" s="134"/>
      <c r="O19" s="134"/>
    </row>
    <row r="20" spans="2:15" ht="15" customHeight="1" x14ac:dyDescent="0.25">
      <c r="J20" s="127"/>
      <c r="L20" s="170">
        <f>'BANCO DE DADOS'!AA40</f>
        <v>5</v>
      </c>
      <c r="M20" s="180">
        <f ca="1">'BANCO DE DADOS'!AD40</f>
        <v>220275.57419076186</v>
      </c>
      <c r="N20" s="131"/>
      <c r="O20" s="129"/>
    </row>
    <row r="21" spans="2:15" ht="15" customHeight="1" x14ac:dyDescent="0.25">
      <c r="J21" s="127"/>
      <c r="L21" s="172">
        <f>'BANCO DE DADOS'!AA41</f>
        <v>10</v>
      </c>
      <c r="M21" s="181">
        <f ca="1">'BANCO DE DADOS'!AD41</f>
        <v>470485.04267157085</v>
      </c>
      <c r="N21" s="131"/>
      <c r="O21" s="130"/>
    </row>
    <row r="22" spans="2:15" ht="15" customHeight="1" x14ac:dyDescent="0.25">
      <c r="J22" s="127"/>
      <c r="L22" s="172">
        <f>'BANCO DE DADOS'!AA42</f>
        <v>15</v>
      </c>
      <c r="M22" s="181">
        <f ca="1">'BANCO DE DADOS'!AD42</f>
        <v>838124.8397916276</v>
      </c>
      <c r="N22" s="131"/>
      <c r="O22" s="130"/>
    </row>
    <row r="23" spans="2:15" ht="15" customHeight="1" x14ac:dyDescent="0.25">
      <c r="B23" s="133"/>
      <c r="C23" s="133"/>
      <c r="D23" s="35"/>
      <c r="E23" s="133"/>
      <c r="F23" s="35"/>
      <c r="G23" s="35"/>
      <c r="H23" s="35"/>
      <c r="I23" s="35"/>
      <c r="J23" s="127"/>
      <c r="L23" s="172">
        <f>'BANCO DE DADOS'!AA43</f>
        <v>20</v>
      </c>
      <c r="M23" s="181">
        <f ca="1">'BANCO DE DADOS'!AD43</f>
        <v>1378308.3158491813</v>
      </c>
      <c r="N23" s="131"/>
      <c r="O23" s="129"/>
    </row>
    <row r="24" spans="2:15" x14ac:dyDescent="0.25">
      <c r="B24" s="35"/>
      <c r="C24" s="35"/>
      <c r="D24" s="41"/>
      <c r="E24" s="35"/>
      <c r="F24" s="42"/>
      <c r="G24" s="128"/>
      <c r="H24" s="35"/>
      <c r="I24" s="35"/>
      <c r="J24" s="127"/>
      <c r="L24" s="172">
        <f>'BANCO DE DADOS'!AA44</f>
        <v>25</v>
      </c>
      <c r="M24" s="181">
        <f ca="1">'BANCO DE DADOS'!AD44</f>
        <v>2172015.0638439646</v>
      </c>
      <c r="N24" s="131"/>
      <c r="O24" s="129"/>
    </row>
    <row r="25" spans="2:15" x14ac:dyDescent="0.25">
      <c r="B25" s="35"/>
      <c r="C25" s="35"/>
      <c r="D25" s="35"/>
      <c r="E25" s="35"/>
      <c r="F25" s="35"/>
      <c r="G25" s="35"/>
      <c r="H25" s="35"/>
      <c r="I25" s="35"/>
      <c r="J25" s="127"/>
      <c r="L25" s="172">
        <f>'BANCO DE DADOS'!AA45</f>
        <v>30</v>
      </c>
      <c r="M25" s="181">
        <f ca="1">'BANCO DE DADOS'!AD45</f>
        <v>3338230.6734183193</v>
      </c>
      <c r="N25" s="131"/>
      <c r="O25" s="129"/>
    </row>
    <row r="26" spans="2:15" x14ac:dyDescent="0.25">
      <c r="B26" s="35"/>
      <c r="C26" s="35"/>
      <c r="D26" s="35"/>
      <c r="E26" s="35"/>
      <c r="F26" s="35"/>
      <c r="G26" s="35"/>
      <c r="H26" s="35"/>
      <c r="I26" s="35"/>
      <c r="J26" s="127"/>
      <c r="L26" s="172">
        <f>'BANCO DE DADOS'!AA46</f>
        <v>35</v>
      </c>
      <c r="M26" s="181">
        <f ca="1">'BANCO DE DADOS'!AD46</f>
        <v>5051784.0121683441</v>
      </c>
      <c r="N26" s="132"/>
      <c r="O26" s="129"/>
    </row>
    <row r="27" spans="2:15" x14ac:dyDescent="0.25">
      <c r="B27" s="35"/>
      <c r="C27" s="35"/>
      <c r="D27" s="35"/>
      <c r="E27" s="35"/>
      <c r="F27" s="35"/>
      <c r="G27" s="35"/>
      <c r="H27" s="35"/>
      <c r="I27" s="35"/>
      <c r="J27" s="127"/>
      <c r="L27" s="172">
        <f>'BANCO DE DADOS'!AA47</f>
        <v>40</v>
      </c>
      <c r="M27" s="181">
        <f ca="1">'BANCO DE DADOS'!AD47</f>
        <v>7569556.0438881321</v>
      </c>
      <c r="N27" s="132"/>
      <c r="O27" s="129"/>
    </row>
    <row r="28" spans="2:15" x14ac:dyDescent="0.25">
      <c r="B28" s="35"/>
      <c r="C28" s="35"/>
      <c r="D28" s="35"/>
      <c r="E28" s="35"/>
      <c r="F28" s="35"/>
      <c r="G28" s="35"/>
      <c r="H28" s="35"/>
      <c r="I28" s="35"/>
      <c r="J28" s="127"/>
      <c r="L28" s="172">
        <f>'BANCO DE DADOS'!AA48</f>
        <v>45</v>
      </c>
      <c r="M28" s="181">
        <f ca="1">'BANCO DE DADOS'!AD48</f>
        <v>11268989.181075795</v>
      </c>
      <c r="N28" s="132"/>
      <c r="O28" s="129"/>
    </row>
    <row r="29" spans="2:15" x14ac:dyDescent="0.25">
      <c r="B29" s="35"/>
      <c r="C29" s="35"/>
      <c r="D29" s="35"/>
      <c r="E29" s="35"/>
      <c r="F29" s="35"/>
      <c r="G29" s="35"/>
      <c r="H29" s="35"/>
      <c r="I29" s="35"/>
      <c r="J29" s="127"/>
      <c r="L29" s="173">
        <f>'BANCO DE DADOS'!AA49</f>
        <v>50</v>
      </c>
      <c r="M29" s="182">
        <f ca="1">'BANCO DE DADOS'!AD49</f>
        <v>16704670.157789914</v>
      </c>
      <c r="N29" s="132"/>
      <c r="O29" s="129"/>
    </row>
    <row r="30" spans="2:15" x14ac:dyDescent="0.25">
      <c r="B30" s="31"/>
      <c r="C30" s="31"/>
      <c r="D30" s="31"/>
      <c r="E30" s="31"/>
      <c r="F30" s="31"/>
      <c r="G30" s="31"/>
      <c r="H30" s="31"/>
      <c r="I30" s="31"/>
      <c r="J30" s="143"/>
      <c r="K30" s="31"/>
      <c r="L30" s="31"/>
      <c r="M30" s="31"/>
      <c r="N30" s="31"/>
      <c r="O30" s="31"/>
    </row>
    <row r="31" spans="2:15" x14ac:dyDescent="0.25">
      <c r="B31" s="209" t="s">
        <v>102</v>
      </c>
      <c r="C31" s="35"/>
      <c r="I31" s="149"/>
    </row>
    <row r="32" spans="2:15" x14ac:dyDescent="0.25">
      <c r="B32" s="35"/>
      <c r="C32" s="35"/>
      <c r="I32" s="166"/>
    </row>
    <row r="33" spans="2:15" x14ac:dyDescent="0.25">
      <c r="B33" s="35"/>
      <c r="C33" s="35"/>
      <c r="D33" s="35"/>
      <c r="E33" s="35"/>
      <c r="F33" s="35"/>
      <c r="G33" s="35"/>
      <c r="H33" s="35"/>
      <c r="I33" s="35"/>
    </row>
    <row r="34" spans="2:15" x14ac:dyDescent="0.25"/>
    <row r="35" spans="2:15" x14ac:dyDescent="0.25"/>
    <row r="36" spans="2:15" x14ac:dyDescent="0.25"/>
    <row r="37" spans="2:15" x14ac:dyDescent="0.25"/>
    <row r="38" spans="2:15" x14ac:dyDescent="0.25"/>
    <row r="39" spans="2:15" x14ac:dyDescent="0.25"/>
    <row r="40" spans="2:15" hidden="1" x14ac:dyDescent="0.25"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</row>
    <row r="41" spans="2:15" ht="15" hidden="1" customHeight="1" x14ac:dyDescent="0.25"/>
    <row r="42" spans="2:15" ht="15" hidden="1" customHeight="1" x14ac:dyDescent="0.25"/>
  </sheetData>
  <sheetProtection selectLockedCells="1" selectUnlockedCells="1"/>
  <pageMargins left="0.7" right="0.7" top="0.75" bottom="0.75" header="0.3" footer="0.3"/>
  <pageSetup paperSize="9"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CA94A-90B2-487C-917D-032DBD8DF018}">
  <sheetPr>
    <tabColor theme="9" tint="0.79998168889431442"/>
  </sheetPr>
  <dimension ref="A2:B36"/>
  <sheetViews>
    <sheetView showGridLines="0" showRowColHeaders="0" workbookViewId="0"/>
  </sheetViews>
  <sheetFormatPr defaultRowHeight="15" x14ac:dyDescent="0.25"/>
  <cols>
    <col min="1" max="1" width="7.140625" customWidth="1"/>
    <col min="2" max="2" width="18" bestFit="1" customWidth="1"/>
  </cols>
  <sheetData>
    <row r="2" spans="1:2" x14ac:dyDescent="0.25">
      <c r="B2" s="224" t="s">
        <v>183</v>
      </c>
    </row>
    <row r="3" spans="1:2" x14ac:dyDescent="0.25">
      <c r="B3" s="224" t="s">
        <v>182</v>
      </c>
    </row>
    <row r="5" spans="1:2" x14ac:dyDescent="0.25">
      <c r="A5" s="220" t="s">
        <v>181</v>
      </c>
      <c r="B5" s="220" t="s">
        <v>5</v>
      </c>
    </row>
    <row r="6" spans="1:2" x14ac:dyDescent="0.25">
      <c r="A6" s="221">
        <v>1</v>
      </c>
      <c r="B6" s="222">
        <v>0.01</v>
      </c>
    </row>
    <row r="7" spans="1:2" x14ac:dyDescent="0.25">
      <c r="A7" s="221">
        <v>2</v>
      </c>
      <c r="B7" s="223">
        <f>B6*2</f>
        <v>0.02</v>
      </c>
    </row>
    <row r="8" spans="1:2" x14ac:dyDescent="0.25">
      <c r="A8" s="221">
        <v>3</v>
      </c>
      <c r="B8" s="223">
        <f t="shared" ref="B8:B34" si="0">B7*2</f>
        <v>0.04</v>
      </c>
    </row>
    <row r="9" spans="1:2" x14ac:dyDescent="0.25">
      <c r="A9" s="221">
        <v>4</v>
      </c>
      <c r="B9" s="223">
        <f t="shared" si="0"/>
        <v>0.08</v>
      </c>
    </row>
    <row r="10" spans="1:2" x14ac:dyDescent="0.25">
      <c r="A10" s="221">
        <v>5</v>
      </c>
      <c r="B10" s="223">
        <f t="shared" si="0"/>
        <v>0.16</v>
      </c>
    </row>
    <row r="11" spans="1:2" x14ac:dyDescent="0.25">
      <c r="A11" s="221">
        <v>6</v>
      </c>
      <c r="B11" s="223">
        <f t="shared" si="0"/>
        <v>0.32</v>
      </c>
    </row>
    <row r="12" spans="1:2" x14ac:dyDescent="0.25">
      <c r="A12" s="221">
        <v>7</v>
      </c>
      <c r="B12" s="223">
        <f t="shared" si="0"/>
        <v>0.64</v>
      </c>
    </row>
    <row r="13" spans="1:2" x14ac:dyDescent="0.25">
      <c r="A13" s="221">
        <v>8</v>
      </c>
      <c r="B13" s="223">
        <f t="shared" si="0"/>
        <v>1.28</v>
      </c>
    </row>
    <row r="14" spans="1:2" x14ac:dyDescent="0.25">
      <c r="A14" s="221">
        <v>9</v>
      </c>
      <c r="B14" s="223">
        <f t="shared" si="0"/>
        <v>2.56</v>
      </c>
    </row>
    <row r="15" spans="1:2" x14ac:dyDescent="0.25">
      <c r="A15" s="221">
        <v>10</v>
      </c>
      <c r="B15" s="223">
        <f t="shared" si="0"/>
        <v>5.12</v>
      </c>
    </row>
    <row r="16" spans="1:2" x14ac:dyDescent="0.25">
      <c r="A16" s="221">
        <v>11</v>
      </c>
      <c r="B16" s="223">
        <f t="shared" si="0"/>
        <v>10.24</v>
      </c>
    </row>
    <row r="17" spans="1:2" x14ac:dyDescent="0.25">
      <c r="A17" s="221">
        <v>12</v>
      </c>
      <c r="B17" s="223">
        <f t="shared" si="0"/>
        <v>20.48</v>
      </c>
    </row>
    <row r="18" spans="1:2" x14ac:dyDescent="0.25">
      <c r="A18" s="221">
        <v>13</v>
      </c>
      <c r="B18" s="223">
        <f t="shared" si="0"/>
        <v>40.96</v>
      </c>
    </row>
    <row r="19" spans="1:2" x14ac:dyDescent="0.25">
      <c r="A19" s="221">
        <v>14</v>
      </c>
      <c r="B19" s="223">
        <f t="shared" si="0"/>
        <v>81.92</v>
      </c>
    </row>
    <row r="20" spans="1:2" x14ac:dyDescent="0.25">
      <c r="A20" s="221">
        <v>15</v>
      </c>
      <c r="B20" s="223">
        <f t="shared" si="0"/>
        <v>163.84</v>
      </c>
    </row>
    <row r="21" spans="1:2" x14ac:dyDescent="0.25">
      <c r="A21" s="221">
        <v>16</v>
      </c>
      <c r="B21" s="223">
        <f t="shared" si="0"/>
        <v>327.68</v>
      </c>
    </row>
    <row r="22" spans="1:2" x14ac:dyDescent="0.25">
      <c r="A22" s="221">
        <v>17</v>
      </c>
      <c r="B22" s="223">
        <f t="shared" si="0"/>
        <v>655.36</v>
      </c>
    </row>
    <row r="23" spans="1:2" x14ac:dyDescent="0.25">
      <c r="A23" s="221">
        <v>18</v>
      </c>
      <c r="B23" s="223">
        <f t="shared" si="0"/>
        <v>1310.72</v>
      </c>
    </row>
    <row r="24" spans="1:2" x14ac:dyDescent="0.25">
      <c r="A24" s="221">
        <v>19</v>
      </c>
      <c r="B24" s="223">
        <f t="shared" si="0"/>
        <v>2621.44</v>
      </c>
    </row>
    <row r="25" spans="1:2" x14ac:dyDescent="0.25">
      <c r="A25" s="221">
        <v>20</v>
      </c>
      <c r="B25" s="223">
        <f t="shared" si="0"/>
        <v>5242.88</v>
      </c>
    </row>
    <row r="26" spans="1:2" x14ac:dyDescent="0.25">
      <c r="A26" s="221">
        <v>21</v>
      </c>
      <c r="B26" s="223">
        <f t="shared" si="0"/>
        <v>10485.76</v>
      </c>
    </row>
    <row r="27" spans="1:2" x14ac:dyDescent="0.25">
      <c r="A27" s="221">
        <v>22</v>
      </c>
      <c r="B27" s="223">
        <f t="shared" si="0"/>
        <v>20971.52</v>
      </c>
    </row>
    <row r="28" spans="1:2" x14ac:dyDescent="0.25">
      <c r="A28" s="221">
        <v>23</v>
      </c>
      <c r="B28" s="223">
        <f t="shared" si="0"/>
        <v>41943.040000000001</v>
      </c>
    </row>
    <row r="29" spans="1:2" x14ac:dyDescent="0.25">
      <c r="A29" s="221">
        <v>24</v>
      </c>
      <c r="B29" s="223">
        <f t="shared" si="0"/>
        <v>83886.080000000002</v>
      </c>
    </row>
    <row r="30" spans="1:2" x14ac:dyDescent="0.25">
      <c r="A30" s="221">
        <v>25</v>
      </c>
      <c r="B30" s="223">
        <f t="shared" si="0"/>
        <v>167772.16</v>
      </c>
    </row>
    <row r="31" spans="1:2" x14ac:dyDescent="0.25">
      <c r="A31" s="221">
        <v>26</v>
      </c>
      <c r="B31" s="223">
        <f t="shared" si="0"/>
        <v>335544.32000000001</v>
      </c>
    </row>
    <row r="32" spans="1:2" x14ac:dyDescent="0.25">
      <c r="A32" s="221">
        <v>27</v>
      </c>
      <c r="B32" s="223">
        <f t="shared" si="0"/>
        <v>671088.64000000001</v>
      </c>
    </row>
    <row r="33" spans="1:2" x14ac:dyDescent="0.25">
      <c r="A33" s="221">
        <v>28</v>
      </c>
      <c r="B33" s="223">
        <f t="shared" si="0"/>
        <v>1342177.28</v>
      </c>
    </row>
    <row r="34" spans="1:2" x14ac:dyDescent="0.25">
      <c r="A34" s="221">
        <v>29</v>
      </c>
      <c r="B34" s="223">
        <f t="shared" si="0"/>
        <v>2684354.5600000001</v>
      </c>
    </row>
    <row r="35" spans="1:2" x14ac:dyDescent="0.25">
      <c r="A35" s="221">
        <v>30</v>
      </c>
      <c r="B35" s="223">
        <v>5368709.1200000001</v>
      </c>
    </row>
    <row r="36" spans="1:2" x14ac:dyDescent="0.25">
      <c r="A36" s="30"/>
      <c r="B36" s="30"/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2">
    <tabColor theme="0" tint="-4.9989318521683403E-2"/>
  </sheetPr>
  <dimension ref="B1:AP604"/>
  <sheetViews>
    <sheetView showGridLines="0" topLeftCell="Y10" workbookViewId="0">
      <selection activeCell="AM28" sqref="AM28"/>
    </sheetView>
  </sheetViews>
  <sheetFormatPr defaultColWidth="11.42578125" defaultRowHeight="12.75" x14ac:dyDescent="0.2"/>
  <cols>
    <col min="1" max="1" width="5.7109375" style="2" customWidth="1"/>
    <col min="2" max="2" width="6.7109375" style="2" bestFit="1" customWidth="1"/>
    <col min="3" max="3" width="4.28515625" style="2" bestFit="1" customWidth="1"/>
    <col min="4" max="4" width="4" style="2" bestFit="1" customWidth="1"/>
    <col min="5" max="5" width="9.42578125" style="2" bestFit="1" customWidth="1"/>
    <col min="6" max="6" width="10.42578125" style="2" bestFit="1" customWidth="1"/>
    <col min="7" max="7" width="8.85546875" style="2" bestFit="1" customWidth="1"/>
    <col min="8" max="8" width="9.42578125" style="2" bestFit="1" customWidth="1"/>
    <col min="9" max="9" width="11.85546875" style="2" bestFit="1" customWidth="1"/>
    <col min="10" max="10" width="9.85546875" style="2" bestFit="1" customWidth="1"/>
    <col min="11" max="11" width="11.85546875" style="2" bestFit="1" customWidth="1"/>
    <col min="12" max="12" width="14" style="2" bestFit="1" customWidth="1"/>
    <col min="13" max="13" width="5.140625" style="2" customWidth="1"/>
    <col min="14" max="14" width="9.42578125" style="2" bestFit="1" customWidth="1"/>
    <col min="15" max="15" width="11.85546875" style="2" bestFit="1" customWidth="1"/>
    <col min="16" max="16" width="4.7109375" style="2" customWidth="1"/>
    <col min="17" max="17" width="11.42578125" style="2" customWidth="1"/>
    <col min="18" max="18" width="12.42578125" style="2" bestFit="1" customWidth="1"/>
    <col min="19" max="19" width="16.28515625" style="2" bestFit="1" customWidth="1"/>
    <col min="20" max="20" width="4.28515625" style="2" bestFit="1" customWidth="1"/>
    <col min="21" max="21" width="6.7109375" style="2" bestFit="1" customWidth="1"/>
    <col min="22" max="22" width="12.85546875" style="2" bestFit="1" customWidth="1"/>
    <col min="23" max="23" width="4" style="2" bestFit="1" customWidth="1"/>
    <col min="24" max="24" width="6.42578125" style="2" bestFit="1" customWidth="1"/>
    <col min="25" max="26" width="5.7109375" style="2" customWidth="1"/>
    <col min="27" max="27" width="12" style="40" customWidth="1"/>
    <col min="28" max="28" width="11.140625" style="40" customWidth="1"/>
    <col min="29" max="29" width="13" style="2" customWidth="1"/>
    <col min="30" max="30" width="12.42578125" style="2" customWidth="1"/>
    <col min="31" max="31" width="11.28515625" style="2" bestFit="1" customWidth="1"/>
    <col min="32" max="16384" width="11.42578125" style="2"/>
  </cols>
  <sheetData>
    <row r="1" spans="2:39" x14ac:dyDescent="0.2">
      <c r="G1" s="20"/>
      <c r="H1" s="5"/>
      <c r="I1" s="5"/>
      <c r="J1" s="5"/>
      <c r="K1" s="5"/>
      <c r="L1" s="5"/>
      <c r="M1" s="5"/>
      <c r="N1" s="5"/>
      <c r="O1" s="5"/>
      <c r="P1" s="22"/>
      <c r="Q1" s="22"/>
      <c r="R1" s="22"/>
      <c r="S1" s="22"/>
      <c r="AL1" s="2" t="s">
        <v>176</v>
      </c>
      <c r="AM1" s="2" t="s">
        <v>177</v>
      </c>
    </row>
    <row r="2" spans="2:39" ht="18.75" x14ac:dyDescent="0.3">
      <c r="B2" s="1" t="s">
        <v>13</v>
      </c>
      <c r="O2" s="16"/>
      <c r="AL2" s="39" t="s">
        <v>21</v>
      </c>
      <c r="AM2" s="39" t="s">
        <v>14</v>
      </c>
    </row>
    <row r="3" spans="2:39" ht="13.5" thickBot="1" x14ac:dyDescent="0.25">
      <c r="K3" s="38"/>
      <c r="L3" s="38"/>
      <c r="M3" s="38"/>
      <c r="N3" s="38"/>
      <c r="O3" s="38"/>
      <c r="P3" s="38"/>
      <c r="AA3" s="45" t="s">
        <v>52</v>
      </c>
    </row>
    <row r="4" spans="2:39" x14ac:dyDescent="0.2">
      <c r="B4" s="4" t="s">
        <v>2</v>
      </c>
      <c r="C4" s="4" t="s">
        <v>2</v>
      </c>
      <c r="D4" s="4" t="s">
        <v>3</v>
      </c>
      <c r="E4" s="4" t="s">
        <v>4</v>
      </c>
      <c r="F4" s="4" t="s">
        <v>5</v>
      </c>
      <c r="G4" s="4" t="s">
        <v>27</v>
      </c>
      <c r="H4" s="4" t="s">
        <v>6</v>
      </c>
      <c r="I4" s="4" t="s">
        <v>5</v>
      </c>
      <c r="J4" s="4" t="s">
        <v>28</v>
      </c>
      <c r="K4" s="4" t="s">
        <v>36</v>
      </c>
      <c r="L4" s="4" t="s">
        <v>37</v>
      </c>
      <c r="M4" s="4" t="s">
        <v>38</v>
      </c>
      <c r="N4" s="4" t="s">
        <v>0</v>
      </c>
      <c r="O4" s="4" t="s">
        <v>5</v>
      </c>
      <c r="P4" s="4" t="s">
        <v>29</v>
      </c>
      <c r="Q4" s="4" t="s">
        <v>7</v>
      </c>
      <c r="R4" s="4" t="s">
        <v>8</v>
      </c>
      <c r="S4" s="4" t="s">
        <v>9</v>
      </c>
      <c r="T4" s="4" t="s">
        <v>2</v>
      </c>
      <c r="U4" s="4" t="s">
        <v>2</v>
      </c>
      <c r="V4" s="4" t="s">
        <v>35</v>
      </c>
      <c r="W4" s="4" t="s">
        <v>3</v>
      </c>
      <c r="X4" s="4" t="s">
        <v>3</v>
      </c>
      <c r="Y4" s="4" t="s">
        <v>19</v>
      </c>
      <c r="AA4" s="2"/>
      <c r="AB4" s="123" t="s">
        <v>60</v>
      </c>
      <c r="AC4" s="124">
        <f>$AF$29*12-1</f>
        <v>359</v>
      </c>
      <c r="AE4" s="21" t="s">
        <v>22</v>
      </c>
      <c r="AF4" s="19">
        <f ca="1">DATE(YEAR(TODAY()),MONTH(TODAY()),1)</f>
        <v>44378</v>
      </c>
    </row>
    <row r="5" spans="2:39" x14ac:dyDescent="0.2">
      <c r="B5" s="17">
        <f ca="1">DATE(YEAR(Mês_Atual),MONTH(Mês_Atual)+$AE$31,1)</f>
        <v>44378</v>
      </c>
      <c r="C5" s="8">
        <v>1</v>
      </c>
      <c r="D5" s="8"/>
      <c r="E5" s="10">
        <f>IF($AE$33,IF($AE$34,Aportes*(1+Inflação)*(1+Crescimento_Salário),Aportes*(1+Inflação)),IF($AE$34,Aportes*(1+Crescimento_Salário),Aportes))</f>
        <v>2000</v>
      </c>
      <c r="F5" s="11">
        <f>Capital_Inicial+E5</f>
        <v>52000</v>
      </c>
      <c r="G5" s="12">
        <f>IF(F5&lt;=0,0,F5/S5)</f>
        <v>0.99385147087645176</v>
      </c>
      <c r="H5" s="10">
        <f>Capital_Inicial*Taxa</f>
        <v>321.70150550017149</v>
      </c>
      <c r="I5" s="10">
        <f>H5</f>
        <v>321.70150550017149</v>
      </c>
      <c r="J5" s="12">
        <f t="shared" ref="J5:J68" si="0">1-G5</f>
        <v>6.1485291235482409E-3</v>
      </c>
      <c r="K5" s="13">
        <f>R5-F5</f>
        <v>321.70150550016842</v>
      </c>
      <c r="L5" s="10">
        <f>K5</f>
        <v>321.70150550016842</v>
      </c>
      <c r="M5" s="12">
        <f>K5/R5</f>
        <v>6.1485291235482947E-3</v>
      </c>
      <c r="N5" s="10">
        <f t="shared" ref="N5:N68" si="1">Q5*Inflação</f>
        <v>0</v>
      </c>
      <c r="O5" s="10">
        <f>Q5-R5</f>
        <v>0</v>
      </c>
      <c r="P5" s="12">
        <f t="shared" ref="P5:P68" si="2">O5/Q5</f>
        <v>0</v>
      </c>
      <c r="Q5" s="6">
        <f>Capital_Inicial+E5+H5</f>
        <v>52321.701505500168</v>
      </c>
      <c r="R5" s="6">
        <f>AD26+E5+AD26*((1+Taxa)/(1+Inflação)-1)</f>
        <v>52321.701505500168</v>
      </c>
      <c r="S5" s="10">
        <f>IF('BANCO DE DADOS'!$AD$32="Sim",R5,Q5)</f>
        <v>52321.701505500168</v>
      </c>
      <c r="T5" s="8">
        <f>C5</f>
        <v>1</v>
      </c>
      <c r="U5" s="17">
        <f ca="1">DATE(YEAR(AF4),MONTH(AF4)+1,1)</f>
        <v>44409</v>
      </c>
      <c r="V5" s="118">
        <f t="shared" ref="V5:V34" si="3">INDEX($S$5:$S$997,Y5,0)</f>
        <v>79013.964301325177</v>
      </c>
      <c r="W5" s="57">
        <v>1</v>
      </c>
      <c r="X5" s="126">
        <f ca="1">DATE(YEAR(TODAY())+W5,MONTH(TODAY()),1)</f>
        <v>44743</v>
      </c>
      <c r="Y5" s="5">
        <f>W5*12</f>
        <v>12</v>
      </c>
      <c r="Z5" s="5"/>
      <c r="AB5" s="123" t="s">
        <v>2</v>
      </c>
      <c r="AC5" s="121">
        <f ca="1">INDEX($U$5:$U$1000,AC4+1,0)</f>
        <v>55335</v>
      </c>
    </row>
    <row r="6" spans="2:39" x14ac:dyDescent="0.2">
      <c r="B6" s="18">
        <f t="shared" ref="B6:B69" ca="1" si="4">DATE(YEAR(B5),MONTH(B5)+1,1)</f>
        <v>44409</v>
      </c>
      <c r="C6" s="9">
        <f>C5+1</f>
        <v>2</v>
      </c>
      <c r="D6" s="9"/>
      <c r="E6" s="13">
        <f t="shared" ref="E6:E69" si="5">IF($AE$33,IF($AE$34,$E5*(1+Inflação)*(1+Crescimento_Salário),$E5*(1+Inflação)),IF($AE$34,$E5*(1+Crescimento_Salário),$E5))</f>
        <v>2000</v>
      </c>
      <c r="F6" s="14">
        <f>F5+E6</f>
        <v>54000</v>
      </c>
      <c r="G6" s="15">
        <f t="shared" ref="G6:G69" si="6">IF(F6&lt;=0,0,F6/S6)</f>
        <v>0.98772280728237571</v>
      </c>
      <c r="H6" s="13">
        <f t="shared" ref="H6:H69" si="7">Q5*Taxa</f>
        <v>336.6394028929999</v>
      </c>
      <c r="I6" s="13">
        <f t="shared" ref="I6:I69" si="8">I5+H6</f>
        <v>658.34090839317139</v>
      </c>
      <c r="J6" s="15">
        <f t="shared" si="0"/>
        <v>1.2277192717624286E-2</v>
      </c>
      <c r="K6" s="13">
        <f t="shared" ref="K6:K69" si="9">R6-F6</f>
        <v>671.20896861317306</v>
      </c>
      <c r="L6" s="13">
        <f>L5+K6</f>
        <v>992.91047411334148</v>
      </c>
      <c r="M6" s="15">
        <f t="shared" ref="M6:M69" si="10">K6/R6</f>
        <v>1.2277192717624284E-2</v>
      </c>
      <c r="N6" s="13">
        <f t="shared" si="1"/>
        <v>0</v>
      </c>
      <c r="O6" s="13">
        <f t="shared" ref="O6:O69" si="11">Q6-R6</f>
        <v>-12.868060220003827</v>
      </c>
      <c r="P6" s="15">
        <f t="shared" si="2"/>
        <v>-2.3542720115801843E-4</v>
      </c>
      <c r="Q6" s="7">
        <f t="shared" ref="Q6:Q37" si="12">Q5+E6+H6</f>
        <v>54658.340908393169</v>
      </c>
      <c r="R6" s="7">
        <f t="shared" ref="R6:R69" si="13">(R5+E6)*(1+((1+Taxa)/(1+Inflação)-1))</f>
        <v>54671.208968613173</v>
      </c>
      <c r="S6" s="13">
        <f>IF('BANCO DE DADOS'!$AD$32="Sim",R6,Q6)</f>
        <v>54671.208968613173</v>
      </c>
      <c r="T6" s="9">
        <f t="shared" ref="T6:T69" si="14">C6</f>
        <v>2</v>
      </c>
      <c r="U6" s="18">
        <f t="shared" ref="U6:U69" ca="1" si="15">DATE(YEAR(U5),MONTH(U5)+1,1)</f>
        <v>44440</v>
      </c>
      <c r="V6" s="119">
        <f t="shared" si="3"/>
        <v>110362.85440646166</v>
      </c>
      <c r="W6" s="58">
        <v>2</v>
      </c>
      <c r="X6" s="120">
        <f t="shared" ref="X6:X54" ca="1" si="16">DATE(YEAR(TODAY())+W6,MONTH(TODAY()),1)</f>
        <v>45108</v>
      </c>
      <c r="Y6" s="5">
        <f t="shared" ref="Y6:Y54" si="17">W6*12</f>
        <v>24</v>
      </c>
      <c r="Z6" s="5"/>
      <c r="AB6" s="123" t="s">
        <v>61</v>
      </c>
      <c r="AC6" s="125">
        <f>$AF$29-1</f>
        <v>29</v>
      </c>
      <c r="AE6" s="45" t="s">
        <v>80</v>
      </c>
      <c r="AL6" s="2" t="s">
        <v>173</v>
      </c>
    </row>
    <row r="7" spans="2:39" ht="15.75" x14ac:dyDescent="0.2">
      <c r="B7" s="18">
        <f t="shared" ca="1" si="4"/>
        <v>44440</v>
      </c>
      <c r="C7" s="9">
        <f t="shared" ref="C7:C70" si="18">C6+1</f>
        <v>3</v>
      </c>
      <c r="D7" s="9"/>
      <c r="E7" s="13">
        <f t="shared" si="5"/>
        <v>2000</v>
      </c>
      <c r="F7" s="14">
        <f t="shared" ref="F7:F69" si="19">F6+E7</f>
        <v>56000</v>
      </c>
      <c r="G7" s="15">
        <f t="shared" si="6"/>
        <v>0.98183890416315767</v>
      </c>
      <c r="H7" s="13">
        <f t="shared" si="7"/>
        <v>351.67341116743387</v>
      </c>
      <c r="I7" s="13">
        <f t="shared" si="8"/>
        <v>1010.0143195606053</v>
      </c>
      <c r="J7" s="15">
        <f t="shared" si="0"/>
        <v>1.8161095836842334E-2</v>
      </c>
      <c r="K7" s="13">
        <f t="shared" si="9"/>
        <v>1035.8332334875231</v>
      </c>
      <c r="L7" s="13">
        <f t="shared" ref="L7:L70" si="20">L6+K7</f>
        <v>2028.7437076008646</v>
      </c>
      <c r="M7" s="15">
        <f t="shared" si="10"/>
        <v>1.816109583684232E-2</v>
      </c>
      <c r="N7" s="13">
        <f t="shared" si="1"/>
        <v>0</v>
      </c>
      <c r="O7" s="13">
        <f t="shared" si="11"/>
        <v>-25.818913926923415</v>
      </c>
      <c r="P7" s="15">
        <f t="shared" si="2"/>
        <v>-4.528838351486738E-4</v>
      </c>
      <c r="Q7" s="7">
        <f t="shared" si="12"/>
        <v>57010.0143195606</v>
      </c>
      <c r="R7" s="7">
        <f t="shared" si="13"/>
        <v>57035.833233487523</v>
      </c>
      <c r="S7" s="13">
        <f>IF('BANCO DE DADOS'!$AD$32="Sim",R7,Q7)</f>
        <v>57035.833233487523</v>
      </c>
      <c r="T7" s="9">
        <f t="shared" si="14"/>
        <v>3</v>
      </c>
      <c r="U7" s="18">
        <f t="shared" ca="1" si="15"/>
        <v>44470</v>
      </c>
      <c r="V7" s="119">
        <f t="shared" si="3"/>
        <v>144219.65572000906</v>
      </c>
      <c r="W7" s="58">
        <v>3</v>
      </c>
      <c r="X7" s="120">
        <f t="shared" ca="1" si="16"/>
        <v>45474</v>
      </c>
      <c r="Y7" s="5">
        <f t="shared" si="17"/>
        <v>36</v>
      </c>
      <c r="Z7" s="5"/>
      <c r="AB7" s="123" t="s">
        <v>3</v>
      </c>
      <c r="AC7" s="122">
        <f ca="1">DATE(YEAR(TODAY())+Período,MONTH(TODAY()),1)</f>
        <v>55335</v>
      </c>
      <c r="AE7" s="139" t="s">
        <v>81</v>
      </c>
      <c r="AF7" s="136"/>
      <c r="AG7" s="135" t="str">
        <f>IF(AE32,AE7,AE8)</f>
        <v>Patrimônio Real</v>
      </c>
      <c r="AL7" s="162" t="s">
        <v>17</v>
      </c>
    </row>
    <row r="8" spans="2:39" x14ac:dyDescent="0.2">
      <c r="B8" s="18">
        <f t="shared" ca="1" si="4"/>
        <v>44470</v>
      </c>
      <c r="C8" s="9">
        <f t="shared" si="18"/>
        <v>4</v>
      </c>
      <c r="D8" s="9"/>
      <c r="E8" s="13">
        <f t="shared" si="5"/>
        <v>2000</v>
      </c>
      <c r="F8" s="14">
        <f t="shared" si="19"/>
        <v>58000</v>
      </c>
      <c r="G8" s="15">
        <f t="shared" si="6"/>
        <v>0.97617343160715186</v>
      </c>
      <c r="H8" s="13">
        <f t="shared" si="7"/>
        <v>366.80414870377962</v>
      </c>
      <c r="I8" s="13">
        <f t="shared" si="8"/>
        <v>1376.8184682643848</v>
      </c>
      <c r="J8" s="15">
        <f t="shared" si="0"/>
        <v>2.3826568392848135E-2</v>
      </c>
      <c r="K8" s="13">
        <f t="shared" si="9"/>
        <v>1415.6715620809264</v>
      </c>
      <c r="L8" s="13">
        <f t="shared" si="20"/>
        <v>3444.415269681791</v>
      </c>
      <c r="M8" s="15">
        <f t="shared" si="10"/>
        <v>2.3826568392848187E-2</v>
      </c>
      <c r="N8" s="13">
        <f t="shared" si="1"/>
        <v>0</v>
      </c>
      <c r="O8" s="13">
        <f t="shared" si="11"/>
        <v>-38.853093816549517</v>
      </c>
      <c r="P8" s="15">
        <f t="shared" si="2"/>
        <v>-6.5434785525458308E-4</v>
      </c>
      <c r="Q8" s="7">
        <f t="shared" si="12"/>
        <v>59376.818468264377</v>
      </c>
      <c r="R8" s="7">
        <f t="shared" si="13"/>
        <v>59415.671562080926</v>
      </c>
      <c r="S8" s="13">
        <f>IF('BANCO DE DADOS'!$AD$32="Sim",R8,Q8)</f>
        <v>59415.671562080926</v>
      </c>
      <c r="T8" s="9">
        <f t="shared" si="14"/>
        <v>4</v>
      </c>
      <c r="U8" s="18">
        <f t="shared" ca="1" si="15"/>
        <v>44501</v>
      </c>
      <c r="V8" s="119">
        <f t="shared" si="3"/>
        <v>180785.00113864025</v>
      </c>
      <c r="W8" s="58">
        <v>4</v>
      </c>
      <c r="X8" s="120">
        <f t="shared" ca="1" si="16"/>
        <v>45839</v>
      </c>
      <c r="Y8" s="5">
        <f t="shared" si="17"/>
        <v>48</v>
      </c>
      <c r="Z8" s="5"/>
      <c r="AA8" s="83"/>
      <c r="AB8" s="85" t="s">
        <v>48</v>
      </c>
      <c r="AC8" s="116">
        <f ca="1">OFFSET('BANCO DE DADOS'!I5,'BANCO DE DADOS'!$AC$4,0)</f>
        <v>2550234.0187186142</v>
      </c>
      <c r="AE8" s="140" t="s">
        <v>82</v>
      </c>
      <c r="AF8" s="137"/>
      <c r="AG8" s="135"/>
      <c r="AL8" s="2" t="s">
        <v>172</v>
      </c>
    </row>
    <row r="9" spans="2:39" ht="15.75" x14ac:dyDescent="0.2">
      <c r="B9" s="18">
        <f t="shared" ca="1" si="4"/>
        <v>44501</v>
      </c>
      <c r="C9" s="9">
        <f t="shared" si="18"/>
        <v>5</v>
      </c>
      <c r="D9" s="9"/>
      <c r="E9" s="13">
        <f t="shared" si="5"/>
        <v>2000</v>
      </c>
      <c r="F9" s="14">
        <f t="shared" si="19"/>
        <v>60000</v>
      </c>
      <c r="G9" s="15">
        <f t="shared" si="6"/>
        <v>0.97070380577106374</v>
      </c>
      <c r="H9" s="13">
        <f t="shared" si="7"/>
        <v>382.03223786102075</v>
      </c>
      <c r="I9" s="13">
        <f t="shared" si="8"/>
        <v>1758.8507061254056</v>
      </c>
      <c r="J9" s="15">
        <f t="shared" si="0"/>
        <v>2.9296194228936256E-2</v>
      </c>
      <c r="K9" s="13">
        <f t="shared" si="9"/>
        <v>1810.8218421374331</v>
      </c>
      <c r="L9" s="13">
        <f t="shared" si="20"/>
        <v>5255.2371118192241</v>
      </c>
      <c r="M9" s="15">
        <f t="shared" si="10"/>
        <v>2.9296194228936246E-2</v>
      </c>
      <c r="N9" s="13">
        <f t="shared" si="1"/>
        <v>0</v>
      </c>
      <c r="O9" s="13">
        <f t="shared" si="11"/>
        <v>-51.971136012034549</v>
      </c>
      <c r="P9" s="15">
        <f t="shared" si="2"/>
        <v>-8.4151721442057078E-4</v>
      </c>
      <c r="Q9" s="7">
        <f t="shared" si="12"/>
        <v>61758.850706125399</v>
      </c>
      <c r="R9" s="7">
        <f t="shared" si="13"/>
        <v>61810.821842137433</v>
      </c>
      <c r="S9" s="13">
        <f>IF('BANCO DE DADOS'!$AD$32="Sim",R9,Q9)</f>
        <v>61810.821842137433</v>
      </c>
      <c r="T9" s="9">
        <f t="shared" si="14"/>
        <v>5</v>
      </c>
      <c r="U9" s="18">
        <f t="shared" ca="1" si="15"/>
        <v>44531</v>
      </c>
      <c r="V9" s="119">
        <f t="shared" si="3"/>
        <v>220275.57419076186</v>
      </c>
      <c r="W9" s="58">
        <v>5</v>
      </c>
      <c r="X9" s="120">
        <f t="shared" ca="1" si="16"/>
        <v>46204</v>
      </c>
      <c r="Y9" s="5">
        <f t="shared" si="17"/>
        <v>60</v>
      </c>
      <c r="Z9" s="5"/>
      <c r="AA9" s="89"/>
      <c r="AB9" s="91" t="s">
        <v>49</v>
      </c>
      <c r="AC9" s="117">
        <f ca="1">AC13-AC11</f>
        <v>2568230.6734183193</v>
      </c>
      <c r="AE9" s="140" t="s">
        <v>85</v>
      </c>
      <c r="AF9" s="137"/>
      <c r="AG9" s="135" t="str">
        <f>IF(AE34,AE9,AE10)</f>
        <v>Com Crescimento Salárial</v>
      </c>
      <c r="AL9" s="162" t="s">
        <v>1</v>
      </c>
    </row>
    <row r="10" spans="2:39" ht="15" x14ac:dyDescent="0.25">
      <c r="B10" s="18">
        <f t="shared" ca="1" si="4"/>
        <v>44531</v>
      </c>
      <c r="C10" s="9">
        <f t="shared" si="18"/>
        <v>6</v>
      </c>
      <c r="D10" s="9"/>
      <c r="E10" s="13">
        <f t="shared" si="5"/>
        <v>2000</v>
      </c>
      <c r="F10" s="14">
        <f t="shared" si="19"/>
        <v>62000</v>
      </c>
      <c r="G10" s="15">
        <f t="shared" si="6"/>
        <v>0.96541054549769656</v>
      </c>
      <c r="H10" s="13">
        <f t="shared" si="7"/>
        <v>397.35830500241741</v>
      </c>
      <c r="I10" s="13">
        <f t="shared" si="8"/>
        <v>2156.209011127823</v>
      </c>
      <c r="J10" s="15">
        <f t="shared" si="0"/>
        <v>3.4589454502303441E-2</v>
      </c>
      <c r="K10" s="13">
        <f t="shared" si="9"/>
        <v>2221.3825912138127</v>
      </c>
      <c r="L10" s="13">
        <f t="shared" si="20"/>
        <v>7476.6197030330368</v>
      </c>
      <c r="M10" s="15">
        <f t="shared" si="10"/>
        <v>3.4589454502303447E-2</v>
      </c>
      <c r="N10" s="13">
        <f t="shared" si="1"/>
        <v>0</v>
      </c>
      <c r="O10" s="13">
        <f t="shared" si="11"/>
        <v>-65.173580085996946</v>
      </c>
      <c r="P10" s="15">
        <f t="shared" si="2"/>
        <v>-1.0158577180689194E-3</v>
      </c>
      <c r="Q10" s="7">
        <f t="shared" si="12"/>
        <v>64156.209011127816</v>
      </c>
      <c r="R10" s="7">
        <f t="shared" si="13"/>
        <v>64221.382591213813</v>
      </c>
      <c r="S10" s="13">
        <f>IF('BANCO DE DADOS'!$AD$32="Sim",R10,Q10)</f>
        <v>64221.382591213813</v>
      </c>
      <c r="T10" s="9">
        <f t="shared" si="14"/>
        <v>6</v>
      </c>
      <c r="U10" s="18">
        <f t="shared" ca="1" si="15"/>
        <v>44562</v>
      </c>
      <c r="V10" s="119">
        <f t="shared" si="3"/>
        <v>262925.39308705321</v>
      </c>
      <c r="W10" s="58">
        <v>6</v>
      </c>
      <c r="X10" s="120">
        <f t="shared" ca="1" si="16"/>
        <v>46569</v>
      </c>
      <c r="Y10" s="5">
        <f t="shared" si="17"/>
        <v>72</v>
      </c>
      <c r="Z10" s="5"/>
      <c r="AA10" s="89"/>
      <c r="AB10" s="91" t="s">
        <v>112</v>
      </c>
      <c r="AC10" s="117">
        <f ca="1">IF(AE32,AC9,AC8)</f>
        <v>2568230.6734183193</v>
      </c>
      <c r="AE10" s="140" t="s">
        <v>86</v>
      </c>
      <c r="AF10" s="137"/>
      <c r="AG10" s="135"/>
      <c r="AL10" t="s">
        <v>174</v>
      </c>
    </row>
    <row r="11" spans="2:39" ht="15.75" x14ac:dyDescent="0.2">
      <c r="B11" s="18">
        <f t="shared" ca="1" si="4"/>
        <v>44562</v>
      </c>
      <c r="C11" s="9">
        <f t="shared" si="18"/>
        <v>7</v>
      </c>
      <c r="D11" s="9"/>
      <c r="E11" s="13">
        <f t="shared" si="5"/>
        <v>2000</v>
      </c>
      <c r="F11" s="14">
        <f t="shared" si="19"/>
        <v>64000</v>
      </c>
      <c r="G11" s="15">
        <f t="shared" si="6"/>
        <v>0.9602767571284142</v>
      </c>
      <c r="H11" s="13">
        <f t="shared" si="7"/>
        <v>412.78298052126979</v>
      </c>
      <c r="I11" s="13">
        <f t="shared" si="8"/>
        <v>2568.9919916490926</v>
      </c>
      <c r="J11" s="15">
        <f t="shared" si="0"/>
        <v>3.9723242871585795E-2</v>
      </c>
      <c r="K11" s="13">
        <f t="shared" si="9"/>
        <v>2647.4529607317381</v>
      </c>
      <c r="L11" s="13">
        <f t="shared" si="20"/>
        <v>10124.072663764775</v>
      </c>
      <c r="M11" s="15">
        <f t="shared" si="10"/>
        <v>3.9723242871585816E-2</v>
      </c>
      <c r="N11" s="13">
        <f t="shared" si="1"/>
        <v>0</v>
      </c>
      <c r="O11" s="13">
        <f t="shared" si="11"/>
        <v>-78.460969082647352</v>
      </c>
      <c r="P11" s="15">
        <f t="shared" si="2"/>
        <v>-1.1786413874569422E-3</v>
      </c>
      <c r="Q11" s="7">
        <f t="shared" si="12"/>
        <v>66568.991991649091</v>
      </c>
      <c r="R11" s="7">
        <f t="shared" si="13"/>
        <v>66647.452960731738</v>
      </c>
      <c r="S11" s="13">
        <f>IF('BANCO DE DADOS'!$AD$32="Sim",R11,Q11)</f>
        <v>66647.452960731738</v>
      </c>
      <c r="T11" s="9">
        <f t="shared" si="14"/>
        <v>7</v>
      </c>
      <c r="U11" s="18">
        <f t="shared" ca="1" si="15"/>
        <v>44593</v>
      </c>
      <c r="V11" s="119">
        <f t="shared" si="3"/>
        <v>308987.19749504788</v>
      </c>
      <c r="W11" s="58">
        <v>7</v>
      </c>
      <c r="X11" s="120">
        <f t="shared" ca="1" si="16"/>
        <v>46935</v>
      </c>
      <c r="Y11" s="5">
        <f t="shared" si="17"/>
        <v>84</v>
      </c>
      <c r="Z11" s="5"/>
      <c r="AA11" s="89"/>
      <c r="AB11" s="91" t="s">
        <v>47</v>
      </c>
      <c r="AC11" s="117">
        <f ca="1">OFFSET('BANCO DE DADOS'!F5,'BANCO DE DADOS'!$AC$4,0)</f>
        <v>770000</v>
      </c>
      <c r="AE11" s="140" t="s">
        <v>83</v>
      </c>
      <c r="AF11" s="137"/>
      <c r="AG11" s="135" t="str">
        <f>IF(AF36,AE11,AE12)</f>
        <v>Com IR</v>
      </c>
      <c r="AL11" s="145" t="s">
        <v>18</v>
      </c>
    </row>
    <row r="12" spans="2:39" x14ac:dyDescent="0.2">
      <c r="B12" s="18">
        <f t="shared" ca="1" si="4"/>
        <v>44593</v>
      </c>
      <c r="C12" s="9">
        <f t="shared" si="18"/>
        <v>8</v>
      </c>
      <c r="D12" s="9"/>
      <c r="E12" s="13">
        <f t="shared" si="5"/>
        <v>2000</v>
      </c>
      <c r="F12" s="14">
        <f t="shared" si="19"/>
        <v>66000</v>
      </c>
      <c r="G12" s="15">
        <f t="shared" si="6"/>
        <v>0.95528771866801665</v>
      </c>
      <c r="H12" s="13">
        <f t="shared" si="7"/>
        <v>428.30689886684746</v>
      </c>
      <c r="I12" s="13">
        <f t="shared" si="8"/>
        <v>2997.29889051594</v>
      </c>
      <c r="J12" s="15">
        <f t="shared" si="0"/>
        <v>4.471228133198335E-2</v>
      </c>
      <c r="K12" s="13">
        <f t="shared" si="9"/>
        <v>3089.1327400561277</v>
      </c>
      <c r="L12" s="13">
        <f t="shared" si="20"/>
        <v>13213.205403820903</v>
      </c>
      <c r="M12" s="15">
        <f t="shared" si="10"/>
        <v>4.4712281331983295E-2</v>
      </c>
      <c r="N12" s="13">
        <f t="shared" si="1"/>
        <v>0</v>
      </c>
      <c r="O12" s="13">
        <f t="shared" si="11"/>
        <v>-91.833849540184019</v>
      </c>
      <c r="P12" s="15">
        <f t="shared" si="2"/>
        <v>-1.330977458782913E-3</v>
      </c>
      <c r="Q12" s="7">
        <f t="shared" si="12"/>
        <v>68997.298890515944</v>
      </c>
      <c r="R12" s="7">
        <f t="shared" si="13"/>
        <v>69089.132740056128</v>
      </c>
      <c r="S12" s="13">
        <f>IF('BANCO DE DADOS'!$AD$32="Sim",R12,Q12)</f>
        <v>69089.132740056128</v>
      </c>
      <c r="T12" s="9">
        <f t="shared" si="14"/>
        <v>8</v>
      </c>
      <c r="U12" s="18">
        <f t="shared" ca="1" si="15"/>
        <v>44621</v>
      </c>
      <c r="V12" s="119">
        <f t="shared" si="3"/>
        <v>358733.94625568209</v>
      </c>
      <c r="W12" s="58">
        <v>8</v>
      </c>
      <c r="X12" s="120">
        <f t="shared" ca="1" si="16"/>
        <v>47300</v>
      </c>
      <c r="Y12" s="5">
        <f t="shared" si="17"/>
        <v>96</v>
      </c>
      <c r="Z12" s="5"/>
      <c r="AA12" s="89"/>
      <c r="AB12" s="91" t="s">
        <v>46</v>
      </c>
      <c r="AC12" s="117">
        <f ca="1">OFFSET('BANCO DE DADOS'!Q5,'BANCO DE DADOS'!$AC$4,0)</f>
        <v>3320234.0187186156</v>
      </c>
      <c r="AE12" s="141" t="s">
        <v>84</v>
      </c>
      <c r="AF12" s="138"/>
      <c r="AG12" s="135"/>
      <c r="AL12" s="2" t="s">
        <v>175</v>
      </c>
    </row>
    <row r="13" spans="2:39" ht="15.75" x14ac:dyDescent="0.2">
      <c r="B13" s="18">
        <f t="shared" ca="1" si="4"/>
        <v>44621</v>
      </c>
      <c r="C13" s="9">
        <f t="shared" si="18"/>
        <v>9</v>
      </c>
      <c r="D13" s="9"/>
      <c r="E13" s="13">
        <f t="shared" si="5"/>
        <v>2000</v>
      </c>
      <c r="F13" s="14">
        <f t="shared" si="19"/>
        <v>68000</v>
      </c>
      <c r="G13" s="15">
        <f t="shared" si="6"/>
        <v>0.95043054164498808</v>
      </c>
      <c r="H13" s="13">
        <f t="shared" si="7"/>
        <v>443.93069857048584</v>
      </c>
      <c r="I13" s="13">
        <f t="shared" si="8"/>
        <v>3441.2295890864257</v>
      </c>
      <c r="J13" s="15">
        <f t="shared" si="0"/>
        <v>4.9569458355011919E-2</v>
      </c>
      <c r="K13" s="13">
        <f t="shared" si="9"/>
        <v>3546.5223605996725</v>
      </c>
      <c r="L13" s="13">
        <f t="shared" si="20"/>
        <v>16759.727764420575</v>
      </c>
      <c r="M13" s="15">
        <f t="shared" si="10"/>
        <v>4.9569458355011892E-2</v>
      </c>
      <c r="N13" s="13">
        <f t="shared" si="1"/>
        <v>0</v>
      </c>
      <c r="O13" s="13">
        <f t="shared" si="11"/>
        <v>-105.29277151323913</v>
      </c>
      <c r="P13" s="15">
        <f t="shared" si="2"/>
        <v>-1.4738376161616898E-3</v>
      </c>
      <c r="Q13" s="7">
        <f t="shared" si="12"/>
        <v>71441.229589086433</v>
      </c>
      <c r="R13" s="7">
        <f t="shared" si="13"/>
        <v>71546.522360599673</v>
      </c>
      <c r="S13" s="13">
        <f>IF('BANCO DE DADOS'!$AD$32="Sim",R13,Q13)</f>
        <v>71546.522360599673</v>
      </c>
      <c r="T13" s="9">
        <f t="shared" si="14"/>
        <v>9</v>
      </c>
      <c r="U13" s="18">
        <f t="shared" ca="1" si="15"/>
        <v>44652</v>
      </c>
      <c r="V13" s="119">
        <f t="shared" si="3"/>
        <v>412460.43491716706</v>
      </c>
      <c r="W13" s="58">
        <v>9</v>
      </c>
      <c r="X13" s="120">
        <f t="shared" ca="1" si="16"/>
        <v>47665</v>
      </c>
      <c r="Y13" s="5">
        <f t="shared" si="17"/>
        <v>108</v>
      </c>
      <c r="Z13" s="5"/>
      <c r="AA13" s="89"/>
      <c r="AB13" s="91" t="s">
        <v>8</v>
      </c>
      <c r="AC13" s="117">
        <f ca="1">OFFSET('BANCO DE DADOS'!R5,'BANCO DE DADOS'!$AC$4,0)</f>
        <v>3338230.6734183193</v>
      </c>
      <c r="AE13" s="139" t="s">
        <v>87</v>
      </c>
      <c r="AF13" s="136"/>
      <c r="AG13" s="2" t="str">
        <f>CONCATENATE(AG7, " | ",AG9, " | ",AG11)</f>
        <v>Patrimônio Real | Com Crescimento Salárial | Com IR</v>
      </c>
      <c r="AL13" s="162" t="s">
        <v>17</v>
      </c>
    </row>
    <row r="14" spans="2:39" x14ac:dyDescent="0.2">
      <c r="B14" s="18">
        <f t="shared" ca="1" si="4"/>
        <v>44652</v>
      </c>
      <c r="C14" s="9">
        <f t="shared" si="18"/>
        <v>10</v>
      </c>
      <c r="D14" s="9"/>
      <c r="E14" s="13">
        <f t="shared" si="5"/>
        <v>2000</v>
      </c>
      <c r="F14" s="14">
        <f t="shared" si="19"/>
        <v>70000</v>
      </c>
      <c r="G14" s="15">
        <f t="shared" si="6"/>
        <v>0.94569389424239103</v>
      </c>
      <c r="H14" s="13">
        <f t="shared" si="7"/>
        <v>459.6550222718501</v>
      </c>
      <c r="I14" s="13">
        <f t="shared" si="8"/>
        <v>3900.8846113582758</v>
      </c>
      <c r="J14" s="15">
        <f t="shared" si="0"/>
        <v>5.4306105757608969E-2</v>
      </c>
      <c r="K14" s="13">
        <f t="shared" si="9"/>
        <v>4019.7228999538056</v>
      </c>
      <c r="L14" s="13">
        <f t="shared" si="20"/>
        <v>20779.450664374381</v>
      </c>
      <c r="M14" s="15">
        <f t="shared" si="10"/>
        <v>5.4306105757609018E-2</v>
      </c>
      <c r="N14" s="13">
        <f t="shared" si="1"/>
        <v>0</v>
      </c>
      <c r="O14" s="13">
        <f t="shared" si="11"/>
        <v>-118.83828859552159</v>
      </c>
      <c r="P14" s="15">
        <f t="shared" si="2"/>
        <v>-1.6080766721601138E-3</v>
      </c>
      <c r="Q14" s="7">
        <f t="shared" si="12"/>
        <v>73900.884611358284</v>
      </c>
      <c r="R14" s="7">
        <f t="shared" si="13"/>
        <v>74019.722899953806</v>
      </c>
      <c r="S14" s="13">
        <f>IF('BANCO DE DADOS'!$AD$32="Sim",R14,Q14)</f>
        <v>74019.722899953806</v>
      </c>
      <c r="T14" s="9">
        <f t="shared" si="14"/>
        <v>10</v>
      </c>
      <c r="U14" s="18">
        <f t="shared" ca="1" si="15"/>
        <v>44682</v>
      </c>
      <c r="V14" s="119">
        <f t="shared" si="3"/>
        <v>470485.04267157085</v>
      </c>
      <c r="W14" s="58">
        <v>10</v>
      </c>
      <c r="X14" s="120">
        <f t="shared" ca="1" si="16"/>
        <v>48030</v>
      </c>
      <c r="Y14" s="5">
        <f t="shared" si="17"/>
        <v>120</v>
      </c>
      <c r="Z14" s="5"/>
      <c r="AA14" s="56"/>
      <c r="AB14" s="76" t="s">
        <v>111</v>
      </c>
      <c r="AC14" s="77">
        <f ca="1">IF('BANCO DE DADOS'!$AD$32="Sim",AC13,AC12)</f>
        <v>3338230.6734183193</v>
      </c>
    </row>
    <row r="15" spans="2:39" x14ac:dyDescent="0.2">
      <c r="B15" s="18">
        <f t="shared" ca="1" si="4"/>
        <v>44682</v>
      </c>
      <c r="C15" s="9">
        <f t="shared" si="18"/>
        <v>11</v>
      </c>
      <c r="E15" s="13">
        <f t="shared" si="5"/>
        <v>2000</v>
      </c>
      <c r="F15" s="14">
        <f t="shared" si="19"/>
        <v>72000</v>
      </c>
      <c r="G15" s="15">
        <f t="shared" si="6"/>
        <v>0.94106777312655321</v>
      </c>
      <c r="H15" s="13">
        <f t="shared" si="7"/>
        <v>475.48051674536833</v>
      </c>
      <c r="I15" s="13">
        <f t="shared" si="8"/>
        <v>4376.3651281036446</v>
      </c>
      <c r="J15" s="15">
        <f t="shared" si="0"/>
        <v>5.8932226873446791E-2</v>
      </c>
      <c r="K15" s="13">
        <f t="shared" si="9"/>
        <v>4508.8360860462271</v>
      </c>
      <c r="L15" s="13">
        <f t="shared" si="20"/>
        <v>25288.286750420608</v>
      </c>
      <c r="M15" s="15">
        <f t="shared" si="10"/>
        <v>5.8932226873446764E-2</v>
      </c>
      <c r="N15" s="13">
        <f t="shared" si="1"/>
        <v>0</v>
      </c>
      <c r="O15" s="13">
        <f t="shared" si="11"/>
        <v>-132.47095794256893</v>
      </c>
      <c r="P15" s="15">
        <f t="shared" si="2"/>
        <v>-1.7344496261425847E-3</v>
      </c>
      <c r="Q15" s="7">
        <f t="shared" si="12"/>
        <v>76376.365128103658</v>
      </c>
      <c r="R15" s="7">
        <f t="shared" si="13"/>
        <v>76508.836086046227</v>
      </c>
      <c r="S15" s="13">
        <f>IF('BANCO DE DADOS'!$AD$32="Sim",R15,Q15)</f>
        <v>76508.836086046227</v>
      </c>
      <c r="T15" s="9">
        <f t="shared" si="14"/>
        <v>11</v>
      </c>
      <c r="U15" s="18">
        <f t="shared" ca="1" si="15"/>
        <v>44713</v>
      </c>
      <c r="V15" s="119">
        <f t="shared" si="3"/>
        <v>533151.61904632684</v>
      </c>
      <c r="W15" s="58">
        <v>11</v>
      </c>
      <c r="X15" s="120">
        <f t="shared" ca="1" si="16"/>
        <v>48396</v>
      </c>
      <c r="Y15" s="5">
        <f t="shared" si="17"/>
        <v>132</v>
      </c>
      <c r="Z15" s="5"/>
    </row>
    <row r="16" spans="2:39" x14ac:dyDescent="0.2">
      <c r="B16" s="18">
        <f t="shared" ca="1" si="4"/>
        <v>44713</v>
      </c>
      <c r="C16" s="9">
        <f t="shared" si="18"/>
        <v>12</v>
      </c>
      <c r="D16" s="9">
        <v>1</v>
      </c>
      <c r="E16" s="13">
        <f t="shared" si="5"/>
        <v>2000</v>
      </c>
      <c r="F16" s="14">
        <f t="shared" si="19"/>
        <v>74000</v>
      </c>
      <c r="G16" s="15">
        <f t="shared" si="6"/>
        <v>0.93654331426525972</v>
      </c>
      <c r="H16" s="13">
        <f t="shared" si="7"/>
        <v>491.40783292683494</v>
      </c>
      <c r="I16" s="13">
        <f t="shared" si="8"/>
        <v>4867.7729610304796</v>
      </c>
      <c r="J16" s="15">
        <f t="shared" si="0"/>
        <v>6.3456685734740281E-2</v>
      </c>
      <c r="K16" s="13">
        <f t="shared" si="9"/>
        <v>5013.9643013251771</v>
      </c>
      <c r="L16" s="13">
        <f t="shared" si="20"/>
        <v>30302.251051745785</v>
      </c>
      <c r="M16" s="15">
        <f t="shared" si="10"/>
        <v>6.3456685734740254E-2</v>
      </c>
      <c r="N16" s="13">
        <f t="shared" si="1"/>
        <v>0</v>
      </c>
      <c r="O16" s="13">
        <f t="shared" si="11"/>
        <v>-146.19134029468114</v>
      </c>
      <c r="P16" s="15">
        <f t="shared" si="2"/>
        <v>-1.8536258195970112E-3</v>
      </c>
      <c r="Q16" s="7">
        <f t="shared" si="12"/>
        <v>78867.772961030496</v>
      </c>
      <c r="R16" s="7">
        <f t="shared" si="13"/>
        <v>79013.964301325177</v>
      </c>
      <c r="S16" s="13">
        <f>IF('BANCO DE DADOS'!$AD$32="Sim",R16,Q16)</f>
        <v>79013.964301325177</v>
      </c>
      <c r="T16" s="9">
        <f t="shared" si="14"/>
        <v>12</v>
      </c>
      <c r="U16" s="18">
        <f t="shared" ca="1" si="15"/>
        <v>44743</v>
      </c>
      <c r="V16" s="119">
        <f t="shared" si="3"/>
        <v>600831.52153106325</v>
      </c>
      <c r="W16" s="58">
        <v>12</v>
      </c>
      <c r="X16" s="120">
        <f t="shared" ca="1" si="16"/>
        <v>48761</v>
      </c>
      <c r="Y16" s="5">
        <f t="shared" si="17"/>
        <v>144</v>
      </c>
      <c r="Z16" s="5"/>
      <c r="AA16" s="45" t="s">
        <v>59</v>
      </c>
    </row>
    <row r="17" spans="2:42" x14ac:dyDescent="0.2">
      <c r="B17" s="18">
        <f t="shared" ca="1" si="4"/>
        <v>44743</v>
      </c>
      <c r="C17" s="9">
        <f t="shared" si="18"/>
        <v>13</v>
      </c>
      <c r="D17" s="9"/>
      <c r="E17" s="13">
        <f t="shared" si="5"/>
        <v>2000</v>
      </c>
      <c r="F17" s="14">
        <f t="shared" si="19"/>
        <v>76000</v>
      </c>
      <c r="G17" s="15">
        <f t="shared" si="6"/>
        <v>0.93211263517782372</v>
      </c>
      <c r="H17" s="13">
        <f t="shared" si="7"/>
        <v>507.4376259401846</v>
      </c>
      <c r="I17" s="13">
        <f t="shared" si="8"/>
        <v>5375.2105869706638</v>
      </c>
      <c r="J17" s="15">
        <f t="shared" si="0"/>
        <v>6.7887364822176277E-2</v>
      </c>
      <c r="K17" s="13">
        <f t="shared" si="9"/>
        <v>5535.2105869706429</v>
      </c>
      <c r="L17" s="13">
        <f t="shared" si="20"/>
        <v>35837.461638716428</v>
      </c>
      <c r="M17" s="15">
        <f t="shared" si="10"/>
        <v>6.7887364822176249E-2</v>
      </c>
      <c r="N17" s="13">
        <f t="shared" si="1"/>
        <v>0</v>
      </c>
      <c r="O17" s="13">
        <f t="shared" si="11"/>
        <v>-159.99999999995634</v>
      </c>
      <c r="P17" s="15">
        <f t="shared" si="2"/>
        <v>-1.9662007489240781E-3</v>
      </c>
      <c r="Q17" s="7">
        <f t="shared" si="12"/>
        <v>81375.210586970687</v>
      </c>
      <c r="R17" s="7">
        <f t="shared" si="13"/>
        <v>81535.210586970643</v>
      </c>
      <c r="S17" s="13">
        <f>IF('BANCO DE DADOS'!$AD$32="Sim",R17,Q17)</f>
        <v>81535.210586970643</v>
      </c>
      <c r="T17" s="9">
        <f t="shared" si="14"/>
        <v>13</v>
      </c>
      <c r="U17" s="18">
        <f t="shared" ca="1" si="15"/>
        <v>44774</v>
      </c>
      <c r="V17" s="119">
        <f t="shared" si="3"/>
        <v>673925.81621457869</v>
      </c>
      <c r="W17" s="58">
        <v>13</v>
      </c>
      <c r="X17" s="120">
        <f t="shared" ca="1" si="16"/>
        <v>49126</v>
      </c>
      <c r="Y17" s="5">
        <f t="shared" si="17"/>
        <v>156</v>
      </c>
      <c r="Z17" s="5"/>
      <c r="AA17" s="63" t="s">
        <v>1</v>
      </c>
      <c r="AB17" s="46" t="s">
        <v>58</v>
      </c>
      <c r="AC17" s="46" t="s">
        <v>2</v>
      </c>
      <c r="AD17" s="46" t="s">
        <v>43</v>
      </c>
      <c r="AE17" s="46" t="s">
        <v>41</v>
      </c>
      <c r="AF17" s="47" t="s">
        <v>42</v>
      </c>
    </row>
    <row r="18" spans="2:42" x14ac:dyDescent="0.2">
      <c r="B18" s="18">
        <f t="shared" ca="1" si="4"/>
        <v>44774</v>
      </c>
      <c r="C18" s="9">
        <f t="shared" si="18"/>
        <v>14</v>
      </c>
      <c r="D18" s="9"/>
      <c r="E18" s="13">
        <f t="shared" si="5"/>
        <v>2000</v>
      </c>
      <c r="F18" s="14">
        <f t="shared" si="19"/>
        <v>78000</v>
      </c>
      <c r="G18" s="15">
        <f t="shared" si="6"/>
        <v>0.92776870268853029</v>
      </c>
      <c r="H18" s="13">
        <f t="shared" si="7"/>
        <v>523.57055512443935</v>
      </c>
      <c r="I18" s="13">
        <f t="shared" si="8"/>
        <v>5898.781142095103</v>
      </c>
      <c r="J18" s="15">
        <f t="shared" si="0"/>
        <v>7.2231297311469711E-2</v>
      </c>
      <c r="K18" s="13">
        <f t="shared" si="9"/>
        <v>6072.6786471326923</v>
      </c>
      <c r="L18" s="13">
        <f t="shared" si="20"/>
        <v>41910.14028584912</v>
      </c>
      <c r="M18" s="15">
        <f t="shared" si="10"/>
        <v>7.2231297311469711E-2</v>
      </c>
      <c r="N18" s="13">
        <f t="shared" si="1"/>
        <v>0</v>
      </c>
      <c r="O18" s="13">
        <f t="shared" si="11"/>
        <v>-173.89750503755931</v>
      </c>
      <c r="P18" s="15">
        <f t="shared" si="2"/>
        <v>-2.0727059758238668E-3</v>
      </c>
      <c r="Q18" s="7">
        <f t="shared" si="12"/>
        <v>83898.781142095133</v>
      </c>
      <c r="R18" s="7">
        <f t="shared" si="13"/>
        <v>84072.678647132692</v>
      </c>
      <c r="S18" s="13">
        <f>IF('BANCO DE DADOS'!$AD$32="Sim",R18,Q18)</f>
        <v>84072.678647132692</v>
      </c>
      <c r="T18" s="9">
        <f t="shared" si="14"/>
        <v>14</v>
      </c>
      <c r="U18" s="18">
        <f t="shared" ca="1" si="15"/>
        <v>44805</v>
      </c>
      <c r="V18" s="119">
        <f t="shared" si="3"/>
        <v>752867.65447277518</v>
      </c>
      <c r="W18" s="58">
        <v>14</v>
      </c>
      <c r="X18" s="120">
        <f t="shared" ca="1" si="16"/>
        <v>49491</v>
      </c>
      <c r="Y18" s="5">
        <f t="shared" si="17"/>
        <v>168</v>
      </c>
      <c r="Z18" s="5"/>
      <c r="AA18" s="65">
        <f>Período</f>
        <v>30</v>
      </c>
      <c r="AB18" s="61">
        <f>AA18*12</f>
        <v>360</v>
      </c>
      <c r="AC18" s="62">
        <f ca="1">INDEX($U$5:$U$997,AB18,0)</f>
        <v>55335</v>
      </c>
      <c r="AD18" s="68">
        <f ca="1">INDEX($S$5:$S$997,MATCH(AC18,$U$5:$U$997,0),0)</f>
        <v>3338230.6734183193</v>
      </c>
      <c r="AE18" s="72">
        <f>INDEX($G$5:$G$997,AB18,0)</f>
        <v>0.2306611122267134</v>
      </c>
      <c r="AF18" s="73">
        <f>INDEX($J$5:$J$997,AB18,0)</f>
        <v>0.76933888777328663</v>
      </c>
      <c r="AP18" s="2" t="s">
        <v>179</v>
      </c>
    </row>
    <row r="19" spans="2:42" ht="17.25" x14ac:dyDescent="0.2">
      <c r="B19" s="18">
        <f t="shared" ca="1" si="4"/>
        <v>44805</v>
      </c>
      <c r="C19" s="9">
        <f t="shared" si="18"/>
        <v>15</v>
      </c>
      <c r="D19" s="9"/>
      <c r="E19" s="13">
        <f t="shared" si="5"/>
        <v>2000</v>
      </c>
      <c r="F19" s="14">
        <f t="shared" si="19"/>
        <v>80000</v>
      </c>
      <c r="G19" s="15">
        <f t="shared" si="6"/>
        <v>0.92350522149936021</v>
      </c>
      <c r="H19" s="13">
        <f t="shared" si="7"/>
        <v>539.80728406082812</v>
      </c>
      <c r="I19" s="13">
        <f t="shared" si="8"/>
        <v>6438.5884261559313</v>
      </c>
      <c r="J19" s="15">
        <f t="shared" si="0"/>
        <v>7.6494778500639793E-2</v>
      </c>
      <c r="K19" s="13">
        <f t="shared" si="9"/>
        <v>6626.4728531969886</v>
      </c>
      <c r="L19" s="13">
        <f t="shared" si="20"/>
        <v>48536.613139046109</v>
      </c>
      <c r="M19" s="15">
        <f t="shared" si="10"/>
        <v>7.6494778500639779E-2</v>
      </c>
      <c r="N19" s="13">
        <f t="shared" si="1"/>
        <v>0</v>
      </c>
      <c r="O19" s="13">
        <f t="shared" si="11"/>
        <v>-187.88442704103363</v>
      </c>
      <c r="P19" s="15">
        <f t="shared" si="2"/>
        <v>-2.1736174833713573E-3</v>
      </c>
      <c r="Q19" s="7">
        <f t="shared" si="12"/>
        <v>86438.588426155955</v>
      </c>
      <c r="R19" s="7">
        <f t="shared" si="13"/>
        <v>86626.472853196989</v>
      </c>
      <c r="S19" s="13">
        <f>IF('BANCO DE DADOS'!$AD$32="Sim",R19,Q19)</f>
        <v>86626.472853196989</v>
      </c>
      <c r="T19" s="9">
        <f t="shared" si="14"/>
        <v>15</v>
      </c>
      <c r="U19" s="18">
        <f t="shared" ca="1" si="15"/>
        <v>44835</v>
      </c>
      <c r="V19" s="119">
        <f t="shared" si="3"/>
        <v>838124.8397916276</v>
      </c>
      <c r="W19" s="58">
        <v>15</v>
      </c>
      <c r="X19" s="120">
        <f t="shared" ca="1" si="16"/>
        <v>49857</v>
      </c>
      <c r="Y19" s="5">
        <f t="shared" si="17"/>
        <v>180</v>
      </c>
      <c r="Z19" s="5"/>
      <c r="AJ19" s="2" t="s">
        <v>170</v>
      </c>
      <c r="AP19" s="39" t="s">
        <v>14</v>
      </c>
    </row>
    <row r="20" spans="2:42" x14ac:dyDescent="0.2">
      <c r="B20" s="18">
        <f t="shared" ca="1" si="4"/>
        <v>44835</v>
      </c>
      <c r="C20" s="9">
        <f t="shared" si="18"/>
        <v>16</v>
      </c>
      <c r="D20" s="9"/>
      <c r="E20" s="13">
        <f t="shared" si="5"/>
        <v>2000</v>
      </c>
      <c r="F20" s="14">
        <f t="shared" si="19"/>
        <v>82000</v>
      </c>
      <c r="G20" s="15">
        <f t="shared" si="6"/>
        <v>0.91931653985597006</v>
      </c>
      <c r="H20" s="13">
        <f t="shared" si="7"/>
        <v>556.14848060008148</v>
      </c>
      <c r="I20" s="13">
        <f t="shared" si="8"/>
        <v>6994.736906756013</v>
      </c>
      <c r="J20" s="15">
        <f t="shared" si="0"/>
        <v>8.0683460144029939E-2</v>
      </c>
      <c r="K20" s="13">
        <f t="shared" si="9"/>
        <v>7196.6982480778533</v>
      </c>
      <c r="L20" s="13">
        <f t="shared" si="20"/>
        <v>55733.311387123962</v>
      </c>
      <c r="M20" s="15">
        <f t="shared" si="10"/>
        <v>8.0683460144029925E-2</v>
      </c>
      <c r="N20" s="13">
        <f t="shared" si="1"/>
        <v>0</v>
      </c>
      <c r="O20" s="13">
        <f t="shared" si="11"/>
        <v>-201.9613413218176</v>
      </c>
      <c r="P20" s="15">
        <f t="shared" si="2"/>
        <v>-2.2693627549393398E-3</v>
      </c>
      <c r="Q20" s="7">
        <f t="shared" si="12"/>
        <v>88994.736906756036</v>
      </c>
      <c r="R20" s="7">
        <f t="shared" si="13"/>
        <v>89196.698248077853</v>
      </c>
      <c r="S20" s="13">
        <f>IF('BANCO DE DADOS'!$AD$32="Sim",R20,Q20)</f>
        <v>89196.698248077853</v>
      </c>
      <c r="T20" s="9">
        <f t="shared" si="14"/>
        <v>16</v>
      </c>
      <c r="U20" s="18">
        <f t="shared" ca="1" si="15"/>
        <v>44866</v>
      </c>
      <c r="V20" s="119">
        <f t="shared" si="3"/>
        <v>930202.59993598808</v>
      </c>
      <c r="W20" s="58">
        <v>16</v>
      </c>
      <c r="X20" s="120">
        <f t="shared" ca="1" si="16"/>
        <v>50222</v>
      </c>
      <c r="Y20" s="5">
        <f t="shared" si="17"/>
        <v>192</v>
      </c>
      <c r="Z20" s="5"/>
      <c r="AA20" s="45" t="s">
        <v>51</v>
      </c>
      <c r="AE20" s="21" t="s">
        <v>1</v>
      </c>
      <c r="AF20" s="154" t="s">
        <v>19</v>
      </c>
      <c r="AJ20" s="213">
        <v>0</v>
      </c>
    </row>
    <row r="21" spans="2:42" x14ac:dyDescent="0.2">
      <c r="B21" s="18">
        <f t="shared" ca="1" si="4"/>
        <v>44866</v>
      </c>
      <c r="C21" s="9">
        <f t="shared" si="18"/>
        <v>17</v>
      </c>
      <c r="D21" s="9"/>
      <c r="E21" s="13">
        <f t="shared" si="5"/>
        <v>2000</v>
      </c>
      <c r="F21" s="14">
        <f t="shared" si="19"/>
        <v>84000</v>
      </c>
      <c r="G21" s="15">
        <f t="shared" si="6"/>
        <v>0.91519756932401708</v>
      </c>
      <c r="H21" s="13">
        <f t="shared" si="7"/>
        <v>572.59481688990184</v>
      </c>
      <c r="I21" s="13">
        <f t="shared" si="8"/>
        <v>7567.3317236459152</v>
      </c>
      <c r="J21" s="15">
        <f t="shared" si="0"/>
        <v>8.4802430675982921E-2</v>
      </c>
      <c r="K21" s="13">
        <f t="shared" si="9"/>
        <v>7783.4605505388899</v>
      </c>
      <c r="L21" s="13">
        <f t="shared" si="20"/>
        <v>63516.771937662852</v>
      </c>
      <c r="M21" s="15">
        <f t="shared" si="10"/>
        <v>8.4802430675982948E-2</v>
      </c>
      <c r="N21" s="13">
        <f t="shared" si="1"/>
        <v>0</v>
      </c>
      <c r="O21" s="13">
        <f t="shared" si="11"/>
        <v>-216.12882689294929</v>
      </c>
      <c r="P21" s="15">
        <f t="shared" si="2"/>
        <v>-2.3603267980466568E-3</v>
      </c>
      <c r="Q21" s="7">
        <f t="shared" si="12"/>
        <v>91567.331723645941</v>
      </c>
      <c r="R21" s="7">
        <f t="shared" si="13"/>
        <v>91783.46055053889</v>
      </c>
      <c r="S21" s="13">
        <f>IF('BANCO DE DADOS'!$AD$32="Sim",R21,Q21)</f>
        <v>91783.46055053889</v>
      </c>
      <c r="T21" s="9">
        <f t="shared" si="14"/>
        <v>17</v>
      </c>
      <c r="U21" s="18">
        <f t="shared" ca="1" si="15"/>
        <v>44896</v>
      </c>
      <c r="V21" s="119">
        <f t="shared" si="3"/>
        <v>1029646.5808918972</v>
      </c>
      <c r="W21" s="58">
        <v>17</v>
      </c>
      <c r="X21" s="120">
        <f t="shared" ca="1" si="16"/>
        <v>50587</v>
      </c>
      <c r="Y21" s="5">
        <f t="shared" si="17"/>
        <v>204</v>
      </c>
      <c r="Z21" s="5"/>
      <c r="AA21" s="112" t="s">
        <v>50</v>
      </c>
      <c r="AB21" s="60">
        <f ca="1">INDEX('BANCO DE DADOS'!$B$5:$B$997,MATCH(1000000,'BANCO DE DADOS'!$S$5:$S$997,1)+1,0)</f>
        <v>50465</v>
      </c>
      <c r="AC21" s="113" t="str">
        <f ca="1">"Aprox. "&amp; TEXT(AE21,"0") &amp; " anos"</f>
        <v>Aprox. 17 anos</v>
      </c>
      <c r="AD21" s="102"/>
      <c r="AE21" s="152">
        <f ca="1">(AB21-Mês_Atual_2)/365.25</f>
        <v>16.6652977412731</v>
      </c>
      <c r="AF21" s="153">
        <f ca="1">(AB21-Mês_Atual_2)/365.25*12</f>
        <v>199.98357289527721</v>
      </c>
      <c r="AJ21" s="213">
        <v>5.0000000000000001E-3</v>
      </c>
      <c r="AK21" s="211">
        <f>AJ21-AJ20</f>
        <v>5.0000000000000001E-3</v>
      </c>
    </row>
    <row r="22" spans="2:42" x14ac:dyDescent="0.2">
      <c r="B22" s="18">
        <f t="shared" ca="1" si="4"/>
        <v>44896</v>
      </c>
      <c r="C22" s="9">
        <f t="shared" si="18"/>
        <v>18</v>
      </c>
      <c r="D22" s="9"/>
      <c r="E22" s="13">
        <f t="shared" si="5"/>
        <v>2000</v>
      </c>
      <c r="F22" s="14">
        <f t="shared" si="19"/>
        <v>86000</v>
      </c>
      <c r="G22" s="15">
        <f t="shared" si="6"/>
        <v>0.91114371627335189</v>
      </c>
      <c r="H22" s="13">
        <f t="shared" si="7"/>
        <v>589.14696940261024</v>
      </c>
      <c r="I22" s="13">
        <f t="shared" si="8"/>
        <v>8156.4786930485252</v>
      </c>
      <c r="J22" s="15">
        <f t="shared" si="0"/>
        <v>8.8856283726648111E-2</v>
      </c>
      <c r="K22" s="13">
        <f t="shared" si="9"/>
        <v>8386.8661595413723</v>
      </c>
      <c r="L22" s="13">
        <f t="shared" si="20"/>
        <v>71903.638097204224</v>
      </c>
      <c r="M22" s="15">
        <f t="shared" si="10"/>
        <v>8.8856283726648139E-2</v>
      </c>
      <c r="N22" s="13">
        <f t="shared" si="1"/>
        <v>0</v>
      </c>
      <c r="O22" s="13">
        <f t="shared" si="11"/>
        <v>-230.38746649281529</v>
      </c>
      <c r="P22" s="15">
        <f t="shared" si="2"/>
        <v>-2.4468572921453624E-3</v>
      </c>
      <c r="Q22" s="7">
        <f t="shared" si="12"/>
        <v>94156.478693048557</v>
      </c>
      <c r="R22" s="7">
        <f t="shared" si="13"/>
        <v>94386.866159541372</v>
      </c>
      <c r="S22" s="13">
        <f>IF('BANCO DE DADOS'!$AD$32="Sim",R22,Q22)</f>
        <v>94386.866159541372</v>
      </c>
      <c r="T22" s="9">
        <f t="shared" si="14"/>
        <v>18</v>
      </c>
      <c r="U22" s="18">
        <f t="shared" ca="1" si="15"/>
        <v>44927</v>
      </c>
      <c r="V22" s="119">
        <f t="shared" si="3"/>
        <v>1137046.0803242791</v>
      </c>
      <c r="W22" s="58">
        <v>18</v>
      </c>
      <c r="X22" s="120">
        <f t="shared" ca="1" si="16"/>
        <v>50952</v>
      </c>
      <c r="Y22" s="5">
        <f t="shared" si="17"/>
        <v>216</v>
      </c>
      <c r="Z22" s="5"/>
      <c r="AA22" s="114" t="s">
        <v>33</v>
      </c>
      <c r="AB22" s="62">
        <f ca="1">INDEX('BANCO DE DADOS'!$B$5:$B$997,MATCH(50%,'BANCO DE DADOS'!$G$5:$G$997,-1)+1,0)</f>
        <v>49675</v>
      </c>
      <c r="AC22" s="115" t="str">
        <f ca="1">"Aproximadamente "&amp; ROUND((AB22-'BANCO DE DADOS'!$B$5)/365.25,0) &amp; " anos"</f>
        <v>Aproximadamente 15 anos</v>
      </c>
      <c r="AD22" s="109"/>
      <c r="AE22" s="109"/>
      <c r="AF22" s="110"/>
      <c r="AJ22" s="213">
        <v>0.01</v>
      </c>
      <c r="AK22" s="211">
        <f t="shared" ref="AK22:AK77" si="21">AJ22-AJ21</f>
        <v>5.0000000000000001E-3</v>
      </c>
      <c r="AM22" s="2" t="s">
        <v>180</v>
      </c>
    </row>
    <row r="23" spans="2:42" x14ac:dyDescent="0.2">
      <c r="B23" s="18">
        <f t="shared" ca="1" si="4"/>
        <v>44927</v>
      </c>
      <c r="C23" s="9">
        <f t="shared" si="18"/>
        <v>19</v>
      </c>
      <c r="D23" s="9"/>
      <c r="E23" s="13">
        <f t="shared" si="5"/>
        <v>2000</v>
      </c>
      <c r="F23" s="14">
        <f t="shared" si="19"/>
        <v>88000</v>
      </c>
      <c r="G23" s="15">
        <f t="shared" si="6"/>
        <v>0.90715082312399065</v>
      </c>
      <c r="H23" s="13">
        <f t="shared" si="7"/>
        <v>605.80561896297081</v>
      </c>
      <c r="I23" s="13">
        <f t="shared" si="8"/>
        <v>8762.2843120114958</v>
      </c>
      <c r="J23" s="15">
        <f t="shared" si="0"/>
        <v>9.2849176876009354E-2</v>
      </c>
      <c r="K23" s="13">
        <f t="shared" si="9"/>
        <v>9007.0221586207335</v>
      </c>
      <c r="L23" s="13">
        <f t="shared" si="20"/>
        <v>80910.660255824958</v>
      </c>
      <c r="M23" s="15">
        <f t="shared" si="10"/>
        <v>9.284917687600934E-2</v>
      </c>
      <c r="N23" s="13">
        <f t="shared" si="1"/>
        <v>0</v>
      </c>
      <c r="O23" s="13">
        <f t="shared" si="11"/>
        <v>-244.73784660920501</v>
      </c>
      <c r="P23" s="15">
        <f t="shared" si="2"/>
        <v>-2.529269005473702E-3</v>
      </c>
      <c r="Q23" s="7">
        <f t="shared" si="12"/>
        <v>96762.284312011529</v>
      </c>
      <c r="R23" s="7">
        <f t="shared" si="13"/>
        <v>97007.022158620734</v>
      </c>
      <c r="S23" s="13">
        <f>IF('BANCO DE DADOS'!$AD$32="Sim",R23,Q23)</f>
        <v>97007.022158620734</v>
      </c>
      <c r="T23" s="9">
        <f t="shared" si="14"/>
        <v>19</v>
      </c>
      <c r="U23" s="18">
        <f t="shared" ca="1" si="15"/>
        <v>44958</v>
      </c>
      <c r="V23" s="119">
        <f t="shared" si="3"/>
        <v>1253037.5397112514</v>
      </c>
      <c r="W23" s="58">
        <v>19</v>
      </c>
      <c r="X23" s="120">
        <f t="shared" ca="1" si="16"/>
        <v>51318</v>
      </c>
      <c r="Y23" s="5">
        <f t="shared" si="17"/>
        <v>228</v>
      </c>
      <c r="Z23" s="5"/>
      <c r="AA23" s="82" t="s">
        <v>34</v>
      </c>
      <c r="AB23" s="25">
        <f ca="1">INDEX('BANCO DE DADOS'!$B$5:$B$997,MATCH('BANCO DE DADOS'!$AF$27,'BANCO DE DADOS'!$H$5:$H$997,1)+1,0)</f>
        <v>46966</v>
      </c>
      <c r="AC23" s="80" t="str">
        <f ca="1">"Aproximadamente "&amp; ROUND((AB23-'BANCO DE DADOS'!$B$5)/365.25,0) &amp; " anos"</f>
        <v>Aproximadamente 7 anos</v>
      </c>
      <c r="AD23" s="81"/>
      <c r="AE23" s="81"/>
      <c r="AF23" s="55"/>
      <c r="AJ23" s="213">
        <v>1.4999999999999999E-2</v>
      </c>
      <c r="AK23" s="211">
        <f t="shared" si="21"/>
        <v>4.9999999999999992E-3</v>
      </c>
      <c r="AM23" s="210">
        <v>0.15</v>
      </c>
    </row>
    <row r="24" spans="2:42" ht="17.25" x14ac:dyDescent="0.2">
      <c r="B24" s="18">
        <f t="shared" ca="1" si="4"/>
        <v>44958</v>
      </c>
      <c r="C24" s="9">
        <f t="shared" si="18"/>
        <v>20</v>
      </c>
      <c r="D24" s="9"/>
      <c r="E24" s="13">
        <f t="shared" si="5"/>
        <v>2000</v>
      </c>
      <c r="F24" s="14">
        <f t="shared" si="19"/>
        <v>90000</v>
      </c>
      <c r="G24" s="15">
        <f t="shared" si="6"/>
        <v>0.9032151177688974</v>
      </c>
      <c r="H24" s="13">
        <f t="shared" si="7"/>
        <v>622.57145077619475</v>
      </c>
      <c r="I24" s="13">
        <f t="shared" si="8"/>
        <v>9384.8557627876908</v>
      </c>
      <c r="J24" s="15">
        <f t="shared" si="0"/>
        <v>9.6784882231102598E-2</v>
      </c>
      <c r="K24" s="13">
        <f t="shared" si="9"/>
        <v>9644.0363202910812</v>
      </c>
      <c r="L24" s="13">
        <f t="shared" si="20"/>
        <v>90554.696576116039</v>
      </c>
      <c r="M24" s="15">
        <f t="shared" si="10"/>
        <v>9.6784882231102584E-2</v>
      </c>
      <c r="N24" s="13">
        <f t="shared" si="1"/>
        <v>0</v>
      </c>
      <c r="O24" s="13">
        <f t="shared" si="11"/>
        <v>-259.18055750336498</v>
      </c>
      <c r="P24" s="15">
        <f t="shared" si="2"/>
        <v>-2.6078475992557504E-3</v>
      </c>
      <c r="Q24" s="7">
        <f t="shared" si="12"/>
        <v>99384.855762787716</v>
      </c>
      <c r="R24" s="7">
        <f t="shared" si="13"/>
        <v>99644.036320291081</v>
      </c>
      <c r="S24" s="13">
        <f>IF('BANCO DE DADOS'!$AD$32="Sim",R24,Q24)</f>
        <v>99644.036320291081</v>
      </c>
      <c r="T24" s="9">
        <f t="shared" si="14"/>
        <v>20</v>
      </c>
      <c r="U24" s="18">
        <f t="shared" ca="1" si="15"/>
        <v>44986</v>
      </c>
      <c r="V24" s="119">
        <f t="shared" si="3"/>
        <v>1378308.3158491813</v>
      </c>
      <c r="W24" s="58">
        <v>20</v>
      </c>
      <c r="X24" s="120">
        <f t="shared" ca="1" si="16"/>
        <v>51683</v>
      </c>
      <c r="Y24" s="5">
        <f t="shared" si="17"/>
        <v>240</v>
      </c>
      <c r="Z24" s="5"/>
      <c r="AJ24" s="213">
        <v>0.02</v>
      </c>
      <c r="AK24" s="211">
        <f t="shared" si="21"/>
        <v>5.000000000000001E-3</v>
      </c>
      <c r="AM24" s="211">
        <v>0.17499999999999999</v>
      </c>
      <c r="AP24" s="39" t="s">
        <v>14</v>
      </c>
    </row>
    <row r="25" spans="2:42" x14ac:dyDescent="0.2">
      <c r="B25" s="18">
        <f t="shared" ca="1" si="4"/>
        <v>44986</v>
      </c>
      <c r="C25" s="9">
        <f t="shared" si="18"/>
        <v>21</v>
      </c>
      <c r="D25" s="9"/>
      <c r="E25" s="13">
        <f t="shared" si="5"/>
        <v>2000</v>
      </c>
      <c r="F25" s="14">
        <f t="shared" si="19"/>
        <v>92000</v>
      </c>
      <c r="G25" s="15">
        <f t="shared" si="6"/>
        <v>0.89933316987604328</v>
      </c>
      <c r="H25" s="13">
        <f t="shared" si="7"/>
        <v>639.4451544561241</v>
      </c>
      <c r="I25" s="13">
        <f t="shared" si="8"/>
        <v>10024.300917243814</v>
      </c>
      <c r="J25" s="15">
        <f t="shared" si="0"/>
        <v>0.10066683012395672</v>
      </c>
      <c r="K25" s="13">
        <f t="shared" si="9"/>
        <v>10298.017110478118</v>
      </c>
      <c r="L25" s="13">
        <f t="shared" si="20"/>
        <v>100852.71368659416</v>
      </c>
      <c r="M25" s="15">
        <f t="shared" si="10"/>
        <v>0.10066683012395672</v>
      </c>
      <c r="N25" s="13">
        <f t="shared" si="1"/>
        <v>0</v>
      </c>
      <c r="O25" s="13">
        <f t="shared" si="11"/>
        <v>-273.71619323427149</v>
      </c>
      <c r="P25" s="15">
        <f t="shared" si="2"/>
        <v>-2.6828529161527317E-3</v>
      </c>
      <c r="Q25" s="7">
        <f t="shared" si="12"/>
        <v>102024.30091724385</v>
      </c>
      <c r="R25" s="7">
        <f t="shared" si="13"/>
        <v>102298.01711047812</v>
      </c>
      <c r="S25" s="13">
        <f>IF('BANCO DE DADOS'!$AD$32="Sim",R25,Q25)</f>
        <v>102298.01711047812</v>
      </c>
      <c r="T25" s="9">
        <f t="shared" si="14"/>
        <v>21</v>
      </c>
      <c r="U25" s="18">
        <f t="shared" ca="1" si="15"/>
        <v>45017</v>
      </c>
      <c r="V25" s="119">
        <f t="shared" si="3"/>
        <v>1513600.7540781461</v>
      </c>
      <c r="W25" s="58">
        <v>21</v>
      </c>
      <c r="X25" s="120">
        <f t="shared" ca="1" si="16"/>
        <v>52048</v>
      </c>
      <c r="Y25" s="5">
        <f t="shared" si="17"/>
        <v>252</v>
      </c>
      <c r="Z25" s="5"/>
      <c r="AA25" s="45" t="s">
        <v>45</v>
      </c>
      <c r="AJ25" s="213">
        <v>2.5000000000000001E-2</v>
      </c>
      <c r="AK25" s="211">
        <f t="shared" si="21"/>
        <v>5.000000000000001E-3</v>
      </c>
      <c r="AM25" s="210">
        <v>0.2</v>
      </c>
    </row>
    <row r="26" spans="2:42" x14ac:dyDescent="0.2">
      <c r="B26" s="18">
        <f t="shared" ca="1" si="4"/>
        <v>45017</v>
      </c>
      <c r="C26" s="9">
        <f t="shared" si="18"/>
        <v>22</v>
      </c>
      <c r="D26" s="9"/>
      <c r="E26" s="13">
        <f t="shared" si="5"/>
        <v>2000</v>
      </c>
      <c r="F26" s="14">
        <f t="shared" si="19"/>
        <v>94000</v>
      </c>
      <c r="G26" s="15">
        <f t="shared" si="6"/>
        <v>0.89550185300230856</v>
      </c>
      <c r="H26" s="13">
        <f t="shared" si="7"/>
        <v>656.42742405359752</v>
      </c>
      <c r="I26" s="13">
        <f t="shared" si="8"/>
        <v>10680.728341297412</v>
      </c>
      <c r="J26" s="15">
        <f t="shared" si="0"/>
        <v>0.10449814699769144</v>
      </c>
      <c r="K26" s="13">
        <f t="shared" si="9"/>
        <v>10969.073692980586</v>
      </c>
      <c r="L26" s="13">
        <f t="shared" si="20"/>
        <v>111821.78737957474</v>
      </c>
      <c r="M26" s="15">
        <f t="shared" si="10"/>
        <v>0.1044981469976914</v>
      </c>
      <c r="N26" s="13">
        <f t="shared" si="1"/>
        <v>0</v>
      </c>
      <c r="O26" s="13">
        <f t="shared" si="11"/>
        <v>-288.34535168313596</v>
      </c>
      <c r="P26" s="15">
        <f t="shared" si="2"/>
        <v>-2.754521832739114E-3</v>
      </c>
      <c r="Q26" s="7">
        <f t="shared" si="12"/>
        <v>104680.72834129745</v>
      </c>
      <c r="R26" s="7">
        <f t="shared" si="13"/>
        <v>104969.07369298059</v>
      </c>
      <c r="S26" s="13">
        <f>IF('BANCO DE DADOS'!$AD$32="Sim",R26,Q26)</f>
        <v>104969.07369298059</v>
      </c>
      <c r="T26" s="9">
        <f t="shared" si="14"/>
        <v>22</v>
      </c>
      <c r="U26" s="18">
        <f t="shared" ca="1" si="15"/>
        <v>45047</v>
      </c>
      <c r="V26" s="119">
        <f t="shared" si="3"/>
        <v>1659716.587365428</v>
      </c>
      <c r="W26" s="58">
        <v>22</v>
      </c>
      <c r="X26" s="120">
        <f t="shared" ca="1" si="16"/>
        <v>52413</v>
      </c>
      <c r="Y26" s="5">
        <f t="shared" si="17"/>
        <v>264</v>
      </c>
      <c r="Z26" s="5"/>
      <c r="AA26" s="83"/>
      <c r="AB26" s="84"/>
      <c r="AC26" s="85" t="s">
        <v>169</v>
      </c>
      <c r="AD26" s="86">
        <f>INPUTS!F4</f>
        <v>50000</v>
      </c>
      <c r="AE26" s="87"/>
      <c r="AF26" s="87"/>
      <c r="AG26" s="88"/>
      <c r="AJ26" s="213">
        <v>0.03</v>
      </c>
      <c r="AK26" s="211">
        <f t="shared" si="21"/>
        <v>4.9999999999999975E-3</v>
      </c>
      <c r="AM26" s="211">
        <v>0.22500000000000001</v>
      </c>
    </row>
    <row r="27" spans="2:42" x14ac:dyDescent="0.2">
      <c r="B27" s="18">
        <f t="shared" ca="1" si="4"/>
        <v>45047</v>
      </c>
      <c r="C27" s="9">
        <f t="shared" si="18"/>
        <v>23</v>
      </c>
      <c r="D27" s="9"/>
      <c r="E27" s="13">
        <f t="shared" si="5"/>
        <v>2000</v>
      </c>
      <c r="F27" s="14">
        <f t="shared" si="19"/>
        <v>96000</v>
      </c>
      <c r="G27" s="15">
        <f t="shared" si="6"/>
        <v>0.8917183116369789</v>
      </c>
      <c r="H27" s="13">
        <f t="shared" si="7"/>
        <v>673.51895808499728</v>
      </c>
      <c r="I27" s="13">
        <f t="shared" si="8"/>
        <v>11354.247299382409</v>
      </c>
      <c r="J27" s="15">
        <f t="shared" si="0"/>
        <v>0.1082816883630211</v>
      </c>
      <c r="K27" s="13">
        <f t="shared" si="9"/>
        <v>11657.315933960403</v>
      </c>
      <c r="L27" s="13">
        <f t="shared" si="20"/>
        <v>123479.10331353515</v>
      </c>
      <c r="M27" s="15">
        <f t="shared" si="10"/>
        <v>0.10828168836302107</v>
      </c>
      <c r="N27" s="13">
        <f t="shared" si="1"/>
        <v>0</v>
      </c>
      <c r="O27" s="13">
        <f t="shared" si="11"/>
        <v>-303.06863457795407</v>
      </c>
      <c r="P27" s="15">
        <f t="shared" si="2"/>
        <v>-2.82307074197797E-3</v>
      </c>
      <c r="Q27" s="7">
        <f t="shared" si="12"/>
        <v>107354.24729938245</v>
      </c>
      <c r="R27" s="7">
        <f t="shared" si="13"/>
        <v>107657.3159339604</v>
      </c>
      <c r="S27" s="13">
        <f>IF('BANCO DE DADOS'!$AD$32="Sim",R27,Q27)</f>
        <v>107657.3159339604</v>
      </c>
      <c r="T27" s="9">
        <f t="shared" si="14"/>
        <v>23</v>
      </c>
      <c r="U27" s="18">
        <f t="shared" ca="1" si="15"/>
        <v>45078</v>
      </c>
      <c r="V27" s="119">
        <f t="shared" si="3"/>
        <v>1817521.6873156922</v>
      </c>
      <c r="W27" s="58">
        <v>23</v>
      </c>
      <c r="X27" s="120">
        <f t="shared" ca="1" si="16"/>
        <v>52779</v>
      </c>
      <c r="Y27" s="5">
        <f t="shared" si="17"/>
        <v>276</v>
      </c>
      <c r="Z27" s="5"/>
      <c r="AA27" s="89"/>
      <c r="AB27" s="90"/>
      <c r="AC27" s="91" t="s">
        <v>167</v>
      </c>
      <c r="AD27" s="92">
        <f>INPUTS!F7</f>
        <v>2000</v>
      </c>
      <c r="AE27" s="93" t="str">
        <f>'BANCO DE DADOS'!AL11</f>
        <v>Mensal</v>
      </c>
      <c r="AF27" s="94">
        <f>IF(AG27,AD27/12,AD27)</f>
        <v>2000</v>
      </c>
      <c r="AG27" s="95" t="b">
        <f>IF(AE27="anual",TRUE,FALSE)</f>
        <v>0</v>
      </c>
      <c r="AJ27" s="213">
        <v>3.5000000000000003E-2</v>
      </c>
      <c r="AK27" s="211">
        <f t="shared" si="21"/>
        <v>5.0000000000000044E-3</v>
      </c>
      <c r="AM27" s="210">
        <v>0</v>
      </c>
    </row>
    <row r="28" spans="2:42" x14ac:dyDescent="0.2">
      <c r="B28" s="18">
        <f t="shared" ca="1" si="4"/>
        <v>45078</v>
      </c>
      <c r="C28" s="9">
        <f t="shared" si="18"/>
        <v>24</v>
      </c>
      <c r="D28" s="9">
        <v>2</v>
      </c>
      <c r="E28" s="13">
        <f t="shared" si="5"/>
        <v>2000</v>
      </c>
      <c r="F28" s="14">
        <f t="shared" si="19"/>
        <v>98000</v>
      </c>
      <c r="G28" s="15">
        <f t="shared" si="6"/>
        <v>0.8879799324423977</v>
      </c>
      <c r="H28" s="13">
        <f t="shared" si="7"/>
        <v>690.72045956098111</v>
      </c>
      <c r="I28" s="13">
        <f t="shared" si="8"/>
        <v>12044.96775894339</v>
      </c>
      <c r="J28" s="15">
        <f t="shared" si="0"/>
        <v>0.1120200675576023</v>
      </c>
      <c r="K28" s="13">
        <f t="shared" si="9"/>
        <v>12362.854406461658</v>
      </c>
      <c r="L28" s="13">
        <f t="shared" si="20"/>
        <v>135841.9577199968</v>
      </c>
      <c r="M28" s="15">
        <f t="shared" si="10"/>
        <v>0.11202006755760227</v>
      </c>
      <c r="N28" s="13">
        <f t="shared" si="1"/>
        <v>0</v>
      </c>
      <c r="O28" s="13">
        <f t="shared" si="11"/>
        <v>-317.88664751822944</v>
      </c>
      <c r="P28" s="15">
        <f t="shared" si="2"/>
        <v>-2.8886977205043033E-3</v>
      </c>
      <c r="Q28" s="7">
        <f t="shared" si="12"/>
        <v>110044.96775894343</v>
      </c>
      <c r="R28" s="7">
        <f t="shared" si="13"/>
        <v>110362.85440646166</v>
      </c>
      <c r="S28" s="13">
        <f>IF('BANCO DE DADOS'!$AD$32="Sim",R28,Q28)</f>
        <v>110362.85440646166</v>
      </c>
      <c r="T28" s="9">
        <f t="shared" si="14"/>
        <v>24</v>
      </c>
      <c r="U28" s="18">
        <f t="shared" ca="1" si="15"/>
        <v>45108</v>
      </c>
      <c r="V28" s="119">
        <f t="shared" si="3"/>
        <v>1987951.1952619771</v>
      </c>
      <c r="W28" s="58">
        <v>24</v>
      </c>
      <c r="X28" s="120">
        <f t="shared" ca="1" si="16"/>
        <v>53144</v>
      </c>
      <c r="Y28" s="5">
        <f t="shared" si="17"/>
        <v>288</v>
      </c>
      <c r="Z28" s="5"/>
      <c r="AA28" s="89"/>
      <c r="AB28" s="90"/>
      <c r="AC28" s="91" t="s">
        <v>168</v>
      </c>
      <c r="AD28" s="96">
        <f>INPUTS!F10</f>
        <v>0.08</v>
      </c>
      <c r="AE28" s="93" t="str">
        <f>'BANCO DE DADOS'!AL7</f>
        <v>Anual</v>
      </c>
      <c r="AF28" s="97">
        <f>IF(AF36,IF(AG28,(1+AD28)^(1/12)-1,AD28)*(1-AE36),IF(AG28,(1+AD28)^(1/12)-1,AD28))</f>
        <v>6.4340301100034303E-3</v>
      </c>
      <c r="AG28" s="95" t="b">
        <f>IF(AE28="anual",TRUE,FALSE)</f>
        <v>1</v>
      </c>
      <c r="AJ28" s="213">
        <v>0.04</v>
      </c>
      <c r="AK28" s="211">
        <f t="shared" si="21"/>
        <v>4.9999999999999975E-3</v>
      </c>
    </row>
    <row r="29" spans="2:42" ht="17.25" x14ac:dyDescent="0.2">
      <c r="B29" s="18">
        <f t="shared" ca="1" si="4"/>
        <v>45108</v>
      </c>
      <c r="C29" s="9">
        <f t="shared" si="18"/>
        <v>25</v>
      </c>
      <c r="D29" s="9"/>
      <c r="E29" s="13">
        <f t="shared" si="5"/>
        <v>2000</v>
      </c>
      <c r="F29" s="14">
        <f t="shared" si="19"/>
        <v>100000</v>
      </c>
      <c r="G29" s="15">
        <f t="shared" si="6"/>
        <v>0.88428431908112393</v>
      </c>
      <c r="H29" s="13">
        <f t="shared" si="7"/>
        <v>708.03263601539868</v>
      </c>
      <c r="I29" s="13">
        <f t="shared" si="8"/>
        <v>12753.00039495879</v>
      </c>
      <c r="J29" s="15">
        <f t="shared" si="0"/>
        <v>0.11571568091887607</v>
      </c>
      <c r="K29" s="13">
        <f t="shared" si="9"/>
        <v>13085.800394958758</v>
      </c>
      <c r="L29" s="13">
        <f t="shared" si="20"/>
        <v>148927.75811495556</v>
      </c>
      <c r="M29" s="15">
        <f t="shared" si="10"/>
        <v>0.11571568091887607</v>
      </c>
      <c r="N29" s="13">
        <f t="shared" si="1"/>
        <v>0</v>
      </c>
      <c r="O29" s="13">
        <f t="shared" si="11"/>
        <v>-332.79999999993015</v>
      </c>
      <c r="P29" s="15">
        <f t="shared" si="2"/>
        <v>-2.9515844264381063E-3</v>
      </c>
      <c r="Q29" s="7">
        <f t="shared" si="12"/>
        <v>112753.00039495883</v>
      </c>
      <c r="R29" s="7">
        <f t="shared" si="13"/>
        <v>113085.80039495876</v>
      </c>
      <c r="S29" s="13">
        <f>IF('BANCO DE DADOS'!$AD$32="Sim",R29,Q29)</f>
        <v>113085.80039495876</v>
      </c>
      <c r="T29" s="9">
        <f t="shared" si="14"/>
        <v>25</v>
      </c>
      <c r="U29" s="18">
        <f t="shared" ca="1" si="15"/>
        <v>45139</v>
      </c>
      <c r="V29" s="119">
        <f t="shared" si="3"/>
        <v>2172015.0638439646</v>
      </c>
      <c r="W29" s="58">
        <v>25</v>
      </c>
      <c r="X29" s="120">
        <f t="shared" ca="1" si="16"/>
        <v>53509</v>
      </c>
      <c r="Y29" s="5">
        <f t="shared" si="17"/>
        <v>300</v>
      </c>
      <c r="Z29" s="5"/>
      <c r="AA29" s="89"/>
      <c r="AB29" s="90"/>
      <c r="AC29" s="91" t="s">
        <v>171</v>
      </c>
      <c r="AD29" s="98">
        <f>INPUTS!F13</f>
        <v>30</v>
      </c>
      <c r="AE29" s="93" t="str">
        <f>'BANCO DE DADOS'!AL9</f>
        <v>Anos</v>
      </c>
      <c r="AF29" s="99">
        <f>IF(AG29,AD29,AD29/12)</f>
        <v>30</v>
      </c>
      <c r="AG29" s="95" t="b">
        <f>IF(AE29="anos",TRUE,FALSE)</f>
        <v>1</v>
      </c>
      <c r="AJ29" s="213">
        <v>4.4999999999999998E-2</v>
      </c>
      <c r="AK29" s="211">
        <f t="shared" si="21"/>
        <v>4.9999999999999975E-3</v>
      </c>
      <c r="AP29" s="39" t="s">
        <v>14</v>
      </c>
    </row>
    <row r="30" spans="2:42" x14ac:dyDescent="0.2">
      <c r="B30" s="18">
        <f t="shared" ca="1" si="4"/>
        <v>45139</v>
      </c>
      <c r="C30" s="9">
        <f t="shared" si="18"/>
        <v>26</v>
      </c>
      <c r="D30" s="9"/>
      <c r="E30" s="13">
        <f t="shared" si="5"/>
        <v>2000</v>
      </c>
      <c r="F30" s="14">
        <f t="shared" si="19"/>
        <v>102000</v>
      </c>
      <c r="G30" s="15">
        <f t="shared" si="6"/>
        <v>0.88062927011841385</v>
      </c>
      <c r="H30" s="13">
        <f t="shared" si="7"/>
        <v>725.45619953439382</v>
      </c>
      <c r="I30" s="13">
        <f t="shared" si="8"/>
        <v>13478.456594493184</v>
      </c>
      <c r="J30" s="15">
        <f t="shared" si="0"/>
        <v>0.11937072988158615</v>
      </c>
      <c r="K30" s="13">
        <f t="shared" si="9"/>
        <v>13826.265899933773</v>
      </c>
      <c r="L30" s="13">
        <f t="shared" si="20"/>
        <v>162754.02401488932</v>
      </c>
      <c r="M30" s="15">
        <f t="shared" si="10"/>
        <v>0.1193707298815862</v>
      </c>
      <c r="N30" s="13">
        <f t="shared" si="1"/>
        <v>0</v>
      </c>
      <c r="O30" s="13">
        <f t="shared" si="11"/>
        <v>-347.80930544054718</v>
      </c>
      <c r="P30" s="15">
        <f t="shared" si="2"/>
        <v>-3.0118977660213465E-3</v>
      </c>
      <c r="Q30" s="7">
        <f t="shared" si="12"/>
        <v>115478.45659449323</v>
      </c>
      <c r="R30" s="7">
        <f t="shared" si="13"/>
        <v>115826.26589993377</v>
      </c>
      <c r="S30" s="13">
        <f>IF('BANCO DE DADOS'!$AD$32="Sim",R30,Q30)</f>
        <v>115826.26589993377</v>
      </c>
      <c r="T30" s="9">
        <f t="shared" si="14"/>
        <v>26</v>
      </c>
      <c r="U30" s="18">
        <f t="shared" ca="1" si="15"/>
        <v>45170</v>
      </c>
      <c r="V30" s="119">
        <f t="shared" si="3"/>
        <v>2370804.041912511</v>
      </c>
      <c r="W30" s="58">
        <v>26</v>
      </c>
      <c r="X30" s="120">
        <f t="shared" ca="1" si="16"/>
        <v>53874</v>
      </c>
      <c r="Y30" s="5">
        <f t="shared" si="17"/>
        <v>312</v>
      </c>
      <c r="Z30" s="5"/>
      <c r="AA30" s="56"/>
      <c r="AB30" s="78"/>
      <c r="AC30" s="76" t="s">
        <v>0</v>
      </c>
      <c r="AD30" s="51">
        <f>INPUTS!F16</f>
        <v>0</v>
      </c>
      <c r="AE30" s="52" t="str">
        <f>'BANCO DE DADOS'!AL13</f>
        <v>Anual</v>
      </c>
      <c r="AF30" s="53">
        <f>(1+AD30)^(1/12)-1</f>
        <v>0</v>
      </c>
      <c r="AG30" s="54" t="b">
        <f>IF(AE30="anual",TRUE,FALSE)</f>
        <v>1</v>
      </c>
      <c r="AJ30" s="213">
        <v>0.05</v>
      </c>
      <c r="AK30" s="211">
        <f t="shared" si="21"/>
        <v>5.0000000000000044E-3</v>
      </c>
    </row>
    <row r="31" spans="2:42" x14ac:dyDescent="0.2">
      <c r="B31" s="18">
        <f t="shared" ca="1" si="4"/>
        <v>45170</v>
      </c>
      <c r="C31" s="9">
        <f t="shared" si="18"/>
        <v>27</v>
      </c>
      <c r="D31" s="9"/>
      <c r="E31" s="13">
        <f t="shared" si="5"/>
        <v>2000</v>
      </c>
      <c r="F31" s="14">
        <f t="shared" si="19"/>
        <v>104000</v>
      </c>
      <c r="G31" s="15">
        <f t="shared" si="6"/>
        <v>0.87701275957045044</v>
      </c>
      <c r="H31" s="13">
        <f t="shared" si="7"/>
        <v>742.99186678569356</v>
      </c>
      <c r="I31" s="13">
        <f t="shared" si="8"/>
        <v>14221.448461278876</v>
      </c>
      <c r="J31" s="15">
        <f t="shared" si="0"/>
        <v>0.12298724042954956</v>
      </c>
      <c r="K31" s="13">
        <f t="shared" si="9"/>
        <v>14584.363642483222</v>
      </c>
      <c r="L31" s="13">
        <f t="shared" si="20"/>
        <v>177338.38765737254</v>
      </c>
      <c r="M31" s="15">
        <f t="shared" si="10"/>
        <v>0.12298724042954959</v>
      </c>
      <c r="N31" s="13">
        <f t="shared" si="1"/>
        <v>0</v>
      </c>
      <c r="O31" s="13">
        <f t="shared" si="11"/>
        <v>-362.91518120429828</v>
      </c>
      <c r="P31" s="15">
        <f t="shared" si="2"/>
        <v>-3.0697913612787778E-3</v>
      </c>
      <c r="Q31" s="7">
        <f t="shared" si="12"/>
        <v>118221.44846127892</v>
      </c>
      <c r="R31" s="7">
        <f t="shared" si="13"/>
        <v>118584.36364248322</v>
      </c>
      <c r="S31" s="13">
        <f>IF('BANCO DE DADOS'!$AD$32="Sim",R31,Q31)</f>
        <v>118584.36364248322</v>
      </c>
      <c r="T31" s="9">
        <f t="shared" si="14"/>
        <v>27</v>
      </c>
      <c r="U31" s="18">
        <f t="shared" ca="1" si="15"/>
        <v>45200</v>
      </c>
      <c r="V31" s="119">
        <f t="shared" si="3"/>
        <v>2585496.1382265412</v>
      </c>
      <c r="W31" s="58">
        <v>27</v>
      </c>
      <c r="X31" s="120">
        <f t="shared" ca="1" si="16"/>
        <v>54240</v>
      </c>
      <c r="Y31" s="5">
        <f t="shared" si="17"/>
        <v>324</v>
      </c>
      <c r="Z31" s="5"/>
      <c r="AA31" s="83"/>
      <c r="AB31" s="84"/>
      <c r="AC31" s="85" t="s">
        <v>20</v>
      </c>
      <c r="AD31" s="100" t="str">
        <f>'BANCO DE DADOS'!AL2</f>
        <v>Este mês</v>
      </c>
      <c r="AE31" s="101">
        <f>IF(AD31=AF31,0,1)</f>
        <v>0</v>
      </c>
      <c r="AF31" s="151" t="s">
        <v>114</v>
      </c>
      <c r="AG31" s="103"/>
      <c r="AJ31" s="213">
        <v>5.5E-2</v>
      </c>
      <c r="AK31" s="211">
        <f t="shared" si="21"/>
        <v>4.9999999999999975E-3</v>
      </c>
    </row>
    <row r="32" spans="2:42" x14ac:dyDescent="0.2">
      <c r="B32" s="18">
        <f t="shared" ca="1" si="4"/>
        <v>45200</v>
      </c>
      <c r="C32" s="9">
        <f t="shared" si="18"/>
        <v>28</v>
      </c>
      <c r="D32" s="9"/>
      <c r="E32" s="13">
        <f t="shared" si="5"/>
        <v>2000</v>
      </c>
      <c r="F32" s="14">
        <f t="shared" si="19"/>
        <v>106000</v>
      </c>
      <c r="G32" s="15">
        <f t="shared" si="6"/>
        <v>0.87343291973597914</v>
      </c>
      <c r="H32" s="13">
        <f t="shared" si="7"/>
        <v>760.64035904808725</v>
      </c>
      <c r="I32" s="13">
        <f t="shared" si="8"/>
        <v>14982.088820326964</v>
      </c>
      <c r="J32" s="15">
        <f t="shared" si="0"/>
        <v>0.12656708026402086</v>
      </c>
      <c r="K32" s="13">
        <f t="shared" si="9"/>
        <v>15360.207068954565</v>
      </c>
      <c r="L32" s="13">
        <f t="shared" si="20"/>
        <v>192698.59472632711</v>
      </c>
      <c r="M32" s="15">
        <f t="shared" si="10"/>
        <v>0.12656708026402086</v>
      </c>
      <c r="N32" s="13">
        <f t="shared" si="1"/>
        <v>0</v>
      </c>
      <c r="O32" s="13">
        <f t="shared" si="11"/>
        <v>-378.1182486275502</v>
      </c>
      <c r="P32" s="15">
        <f t="shared" si="2"/>
        <v>-3.1254068458770072E-3</v>
      </c>
      <c r="Q32" s="7">
        <f t="shared" si="12"/>
        <v>120982.08882032702</v>
      </c>
      <c r="R32" s="7">
        <f t="shared" si="13"/>
        <v>121360.20706895457</v>
      </c>
      <c r="S32" s="13">
        <f>IF('BANCO DE DADOS'!$AD$32="Sim",R32,Q32)</f>
        <v>121360.20706895457</v>
      </c>
      <c r="T32" s="9">
        <f t="shared" si="14"/>
        <v>28</v>
      </c>
      <c r="U32" s="18">
        <f t="shared" ca="1" si="15"/>
        <v>45231</v>
      </c>
      <c r="V32" s="119">
        <f t="shared" si="3"/>
        <v>2817363.6022456945</v>
      </c>
      <c r="W32" s="58">
        <v>28</v>
      </c>
      <c r="X32" s="120">
        <f t="shared" ca="1" si="16"/>
        <v>54605</v>
      </c>
      <c r="Y32" s="5">
        <f t="shared" si="17"/>
        <v>336</v>
      </c>
      <c r="Z32" s="5"/>
      <c r="AA32" s="89"/>
      <c r="AB32" s="90"/>
      <c r="AC32" s="104" t="s">
        <v>16</v>
      </c>
      <c r="AD32" s="105" t="str">
        <f>'BANCO DE DADOS'!AM2</f>
        <v>Sim</v>
      </c>
      <c r="AE32" s="106" t="b">
        <f>IF(AD32="sim",TRUE,FALSE)</f>
        <v>1</v>
      </c>
      <c r="AF32" s="107"/>
      <c r="AG32" s="108"/>
      <c r="AJ32" s="213">
        <v>0.06</v>
      </c>
      <c r="AK32" s="211">
        <f t="shared" si="21"/>
        <v>4.9999999999999975E-3</v>
      </c>
    </row>
    <row r="33" spans="2:37" x14ac:dyDescent="0.2">
      <c r="B33" s="18">
        <f t="shared" ca="1" si="4"/>
        <v>45231</v>
      </c>
      <c r="C33" s="9">
        <f t="shared" si="18"/>
        <v>29</v>
      </c>
      <c r="D33" s="9"/>
      <c r="E33" s="13">
        <f t="shared" si="5"/>
        <v>2000</v>
      </c>
      <c r="F33" s="14">
        <f t="shared" si="19"/>
        <v>108000</v>
      </c>
      <c r="G33" s="15">
        <f t="shared" si="6"/>
        <v>0.86988802600463377</v>
      </c>
      <c r="H33" s="13">
        <f t="shared" si="7"/>
        <v>778.40240224109334</v>
      </c>
      <c r="I33" s="13">
        <f t="shared" si="8"/>
        <v>15760.491222568058</v>
      </c>
      <c r="J33" s="15">
        <f t="shared" si="0"/>
        <v>0.13011197399536623</v>
      </c>
      <c r="K33" s="13">
        <f t="shared" si="9"/>
        <v>16153.910355612476</v>
      </c>
      <c r="L33" s="13">
        <f t="shared" si="20"/>
        <v>208852.50508193957</v>
      </c>
      <c r="M33" s="15">
        <f t="shared" si="10"/>
        <v>0.1301119739953662</v>
      </c>
      <c r="N33" s="13">
        <f t="shared" si="1"/>
        <v>0</v>
      </c>
      <c r="O33" s="13">
        <f t="shared" si="11"/>
        <v>-393.41913304437185</v>
      </c>
      <c r="P33" s="15">
        <f t="shared" si="2"/>
        <v>-3.1788750121947693E-3</v>
      </c>
      <c r="Q33" s="7">
        <f t="shared" si="12"/>
        <v>123760.4912225681</v>
      </c>
      <c r="R33" s="7">
        <f t="shared" si="13"/>
        <v>124153.91035561248</v>
      </c>
      <c r="S33" s="13">
        <f>IF('BANCO DE DADOS'!$AD$32="Sim",R33,Q33)</f>
        <v>124153.91035561248</v>
      </c>
      <c r="T33" s="9">
        <f t="shared" si="14"/>
        <v>29</v>
      </c>
      <c r="U33" s="18">
        <f t="shared" ca="1" si="15"/>
        <v>45261</v>
      </c>
      <c r="V33" s="119">
        <f t="shared" si="3"/>
        <v>3067780.4633863801</v>
      </c>
      <c r="W33" s="58">
        <v>29</v>
      </c>
      <c r="X33" s="120">
        <f t="shared" ca="1" si="16"/>
        <v>54970</v>
      </c>
      <c r="Y33" s="5">
        <f t="shared" si="17"/>
        <v>348</v>
      </c>
      <c r="Z33" s="5"/>
      <c r="AA33" s="89"/>
      <c r="AB33" s="90"/>
      <c r="AC33" s="104" t="s">
        <v>15</v>
      </c>
      <c r="AD33" s="105" t="str">
        <f>'BANCO DE DADOS'!AP19</f>
        <v>Sim</v>
      </c>
      <c r="AE33" s="106" t="b">
        <f>IF(AD33="sim",TRUE,FALSE)</f>
        <v>1</v>
      </c>
      <c r="AF33" s="109"/>
      <c r="AG33" s="110"/>
      <c r="AJ33" s="213">
        <v>6.5000000000000002E-2</v>
      </c>
      <c r="AK33" s="211">
        <f t="shared" si="21"/>
        <v>5.0000000000000044E-3</v>
      </c>
    </row>
    <row r="34" spans="2:37" x14ac:dyDescent="0.2">
      <c r="B34" s="18">
        <f t="shared" ca="1" si="4"/>
        <v>45261</v>
      </c>
      <c r="C34" s="9">
        <f t="shared" si="18"/>
        <v>30</v>
      </c>
      <c r="D34" s="9"/>
      <c r="E34" s="13">
        <f t="shared" si="5"/>
        <v>2000</v>
      </c>
      <c r="F34" s="14">
        <f t="shared" si="19"/>
        <v>110000</v>
      </c>
      <c r="G34" s="15">
        <f t="shared" si="6"/>
        <v>0.86637648338143514</v>
      </c>
      <c r="H34" s="13">
        <f t="shared" si="7"/>
        <v>796.27872695481847</v>
      </c>
      <c r="I34" s="13">
        <f t="shared" si="8"/>
        <v>16556.769949522877</v>
      </c>
      <c r="J34" s="15">
        <f>1-G34</f>
        <v>0.13362351661856486</v>
      </c>
      <c r="K34" s="13">
        <f t="shared" si="9"/>
        <v>16965.588413335165</v>
      </c>
      <c r="L34" s="13">
        <f t="shared" si="20"/>
        <v>225818.09349527472</v>
      </c>
      <c r="M34" s="15">
        <f t="shared" si="10"/>
        <v>0.13362351661856492</v>
      </c>
      <c r="N34" s="13">
        <f t="shared" si="1"/>
        <v>0</v>
      </c>
      <c r="O34" s="13">
        <f t="shared" si="11"/>
        <v>-408.8184638122475</v>
      </c>
      <c r="P34" s="15">
        <f t="shared" si="2"/>
        <v>-3.2303168291613676E-3</v>
      </c>
      <c r="Q34" s="7">
        <f t="shared" si="12"/>
        <v>126556.76994952292</v>
      </c>
      <c r="R34" s="7">
        <f t="shared" si="13"/>
        <v>126965.58841333516</v>
      </c>
      <c r="S34" s="13">
        <f>IF('BANCO DE DADOS'!$AD$32="Sim",R34,Q34)</f>
        <v>126965.58841333516</v>
      </c>
      <c r="T34" s="9">
        <f t="shared" si="14"/>
        <v>30</v>
      </c>
      <c r="U34" s="18">
        <f t="shared" ca="1" si="15"/>
        <v>45292</v>
      </c>
      <c r="V34" s="119">
        <f t="shared" si="3"/>
        <v>3338230.6734183193</v>
      </c>
      <c r="W34" s="58">
        <v>30</v>
      </c>
      <c r="X34" s="120">
        <f t="shared" ca="1" si="16"/>
        <v>55335</v>
      </c>
      <c r="Y34" s="5">
        <f t="shared" si="17"/>
        <v>360</v>
      </c>
      <c r="Z34" s="5"/>
      <c r="AA34" s="89"/>
      <c r="AB34" s="90"/>
      <c r="AC34" s="104" t="s">
        <v>178</v>
      </c>
      <c r="AD34" s="105" t="str">
        <f>'BANCO DE DADOS'!AP24</f>
        <v>Sim</v>
      </c>
      <c r="AE34" s="106" t="b">
        <f>IF(AD34="sim",TRUE,FALSE)</f>
        <v>1</v>
      </c>
      <c r="AF34" s="109"/>
      <c r="AG34" s="110"/>
      <c r="AJ34" s="213">
        <v>7.0000000000000007E-2</v>
      </c>
      <c r="AK34" s="211">
        <f t="shared" si="21"/>
        <v>5.0000000000000044E-3</v>
      </c>
    </row>
    <row r="35" spans="2:37" x14ac:dyDescent="0.2">
      <c r="B35" s="18">
        <f t="shared" ca="1" si="4"/>
        <v>45292</v>
      </c>
      <c r="C35" s="9">
        <f t="shared" si="18"/>
        <v>31</v>
      </c>
      <c r="D35" s="9"/>
      <c r="E35" s="13">
        <f t="shared" si="5"/>
        <v>2000</v>
      </c>
      <c r="F35" s="14">
        <f t="shared" si="19"/>
        <v>112000</v>
      </c>
      <c r="G35" s="15">
        <f t="shared" si="6"/>
        <v>0.86289681450545808</v>
      </c>
      <c r="H35" s="13">
        <f t="shared" si="7"/>
        <v>814.27006848000781</v>
      </c>
      <c r="I35" s="13">
        <f t="shared" si="8"/>
        <v>17371.040018002885</v>
      </c>
      <c r="J35" s="15">
        <f t="shared" si="0"/>
        <v>0.13710318549454192</v>
      </c>
      <c r="K35" s="13">
        <f t="shared" si="9"/>
        <v>17795.356892340875</v>
      </c>
      <c r="L35" s="13">
        <f t="shared" si="20"/>
        <v>243613.45038761559</v>
      </c>
      <c r="M35" s="15">
        <f t="shared" si="10"/>
        <v>0.13710318549454187</v>
      </c>
      <c r="N35" s="13">
        <f t="shared" si="1"/>
        <v>0</v>
      </c>
      <c r="O35" s="13">
        <f t="shared" si="11"/>
        <v>-424.31687433795014</v>
      </c>
      <c r="P35" s="15">
        <f t="shared" si="2"/>
        <v>-3.2798443475363834E-3</v>
      </c>
      <c r="Q35" s="7">
        <f t="shared" si="12"/>
        <v>129371.04001800292</v>
      </c>
      <c r="R35" s="7">
        <f t="shared" si="13"/>
        <v>129795.35689234087</v>
      </c>
      <c r="S35" s="13">
        <f>IF('BANCO DE DADOS'!$AD$32="Sim",R35,Q35)</f>
        <v>129795.35689234087</v>
      </c>
      <c r="T35" s="9">
        <f t="shared" si="14"/>
        <v>31</v>
      </c>
      <c r="U35" s="18">
        <f t="shared" ca="1" si="15"/>
        <v>45323</v>
      </c>
      <c r="V35" s="119">
        <f t="shared" ref="V35:V54" si="22">INDEX($S$5:$S$997,Y35,0)</f>
        <v>3630316.9002528149</v>
      </c>
      <c r="W35" s="58">
        <v>31</v>
      </c>
      <c r="X35" s="120">
        <f t="shared" ca="1" si="16"/>
        <v>55701</v>
      </c>
      <c r="Y35" s="5">
        <f t="shared" si="17"/>
        <v>372</v>
      </c>
      <c r="AA35" s="89"/>
      <c r="AB35" s="90"/>
      <c r="AC35" s="91" t="s">
        <v>12</v>
      </c>
      <c r="AD35" s="96">
        <f>INPUTS!F19</f>
        <v>0</v>
      </c>
      <c r="AE35" s="111" t="s">
        <v>17</v>
      </c>
      <c r="AF35" s="97">
        <f>(1+AD35)^(1/12)-1</f>
        <v>0</v>
      </c>
      <c r="AG35" s="95" t="b">
        <f>IF(AE35="anual",TRUE,FALSE)</f>
        <v>1</v>
      </c>
      <c r="AJ35" s="213">
        <v>7.4999999999999997E-2</v>
      </c>
      <c r="AK35" s="211">
        <f t="shared" si="21"/>
        <v>4.9999999999999906E-3</v>
      </c>
    </row>
    <row r="36" spans="2:37" x14ac:dyDescent="0.2">
      <c r="B36" s="18">
        <f t="shared" ca="1" si="4"/>
        <v>45323</v>
      </c>
      <c r="C36" s="9">
        <f t="shared" si="18"/>
        <v>32</v>
      </c>
      <c r="D36" s="9"/>
      <c r="E36" s="13">
        <f t="shared" si="5"/>
        <v>2000</v>
      </c>
      <c r="F36" s="14">
        <f t="shared" si="19"/>
        <v>114000</v>
      </c>
      <c r="G36" s="15">
        <f t="shared" si="6"/>
        <v>0.85944764897289139</v>
      </c>
      <c r="H36" s="13">
        <f t="shared" si="7"/>
        <v>832.37716683828955</v>
      </c>
      <c r="I36" s="13">
        <f t="shared" si="8"/>
        <v>18203.417184841175</v>
      </c>
      <c r="J36" s="15">
        <f t="shared" si="0"/>
        <v>0.14055235102710861</v>
      </c>
      <c r="K36" s="13">
        <f t="shared" si="9"/>
        <v>18643.332186944841</v>
      </c>
      <c r="L36" s="13">
        <f t="shared" si="20"/>
        <v>262256.78257456044</v>
      </c>
      <c r="M36" s="15">
        <f t="shared" si="10"/>
        <v>0.14055235102710859</v>
      </c>
      <c r="N36" s="13">
        <f t="shared" si="1"/>
        <v>0</v>
      </c>
      <c r="O36" s="13">
        <f t="shared" si="11"/>
        <v>-439.91500210363301</v>
      </c>
      <c r="P36" s="15">
        <f t="shared" si="2"/>
        <v>-3.3275615068902682E-3</v>
      </c>
      <c r="Q36" s="7">
        <f t="shared" si="12"/>
        <v>132203.41718484121</v>
      </c>
      <c r="R36" s="7">
        <f t="shared" si="13"/>
        <v>132643.33218694484</v>
      </c>
      <c r="S36" s="13">
        <f>IF('BANCO DE DADOS'!$AD$32="Sim",R36,Q36)</f>
        <v>132643.33218694484</v>
      </c>
      <c r="T36" s="9">
        <f t="shared" si="14"/>
        <v>32</v>
      </c>
      <c r="U36" s="18">
        <f t="shared" ca="1" si="15"/>
        <v>45352</v>
      </c>
      <c r="V36" s="119">
        <f t="shared" si="22"/>
        <v>3945770.0252340687</v>
      </c>
      <c r="W36" s="58">
        <v>32</v>
      </c>
      <c r="X36" s="120">
        <f t="shared" ca="1" si="16"/>
        <v>56066</v>
      </c>
      <c r="Y36" s="5">
        <f t="shared" si="17"/>
        <v>384</v>
      </c>
      <c r="AA36" s="56"/>
      <c r="AB36" s="78"/>
      <c r="AC36" s="79" t="s">
        <v>23</v>
      </c>
      <c r="AD36" s="48" t="str">
        <f>'BANCO DE DADOS'!AP29</f>
        <v>Sim</v>
      </c>
      <c r="AE36" s="49">
        <f>INPUTS!F22</f>
        <v>0</v>
      </c>
      <c r="AF36" s="50" t="b">
        <f>IF(AD36="sim",TRUE,FALSE)</f>
        <v>1</v>
      </c>
      <c r="AG36" s="55"/>
      <c r="AJ36" s="213">
        <v>0.08</v>
      </c>
      <c r="AK36" s="211">
        <f t="shared" si="21"/>
        <v>5.0000000000000044E-3</v>
      </c>
    </row>
    <row r="37" spans="2:37" x14ac:dyDescent="0.2">
      <c r="B37" s="18">
        <f t="shared" ca="1" si="4"/>
        <v>45352</v>
      </c>
      <c r="C37" s="9">
        <f t="shared" si="18"/>
        <v>33</v>
      </c>
      <c r="D37" s="9"/>
      <c r="E37" s="13">
        <f t="shared" si="5"/>
        <v>2000</v>
      </c>
      <c r="F37" s="14">
        <f t="shared" si="19"/>
        <v>116000</v>
      </c>
      <c r="G37" s="15">
        <f t="shared" si="6"/>
        <v>0.85602771380176601</v>
      </c>
      <c r="H37" s="13">
        <f t="shared" si="7"/>
        <v>850.6007668126133</v>
      </c>
      <c r="I37" s="13">
        <f t="shared" si="8"/>
        <v>19054.01795165379</v>
      </c>
      <c r="J37" s="15">
        <f t="shared" si="0"/>
        <v>0.14397228619823399</v>
      </c>
      <c r="K37" s="13">
        <f t="shared" si="9"/>
        <v>19509.631440346828</v>
      </c>
      <c r="L37" s="13">
        <f t="shared" si="20"/>
        <v>281766.41401490726</v>
      </c>
      <c r="M37" s="15">
        <f t="shared" si="10"/>
        <v>0.14397228619823405</v>
      </c>
      <c r="N37" s="13">
        <f t="shared" si="1"/>
        <v>0</v>
      </c>
      <c r="O37" s="13">
        <f t="shared" si="11"/>
        <v>-455.613488692994</v>
      </c>
      <c r="P37" s="15">
        <f t="shared" si="2"/>
        <v>-3.373564856516101E-3</v>
      </c>
      <c r="Q37" s="7">
        <f t="shared" si="12"/>
        <v>135054.01795165383</v>
      </c>
      <c r="R37" s="7">
        <f t="shared" si="13"/>
        <v>135509.63144034683</v>
      </c>
      <c r="S37" s="13">
        <f>IF('BANCO DE DADOS'!$AD$32="Sim",R37,Q37)</f>
        <v>135509.63144034683</v>
      </c>
      <c r="T37" s="9">
        <f t="shared" si="14"/>
        <v>33</v>
      </c>
      <c r="U37" s="18">
        <f t="shared" ca="1" si="15"/>
        <v>45383</v>
      </c>
      <c r="V37" s="119">
        <f t="shared" si="22"/>
        <v>4286459.4002138237</v>
      </c>
      <c r="W37" s="58">
        <v>33</v>
      </c>
      <c r="X37" s="120">
        <f t="shared" ca="1" si="16"/>
        <v>56431</v>
      </c>
      <c r="Y37" s="5">
        <f t="shared" si="17"/>
        <v>396</v>
      </c>
      <c r="AJ37" s="213">
        <v>8.5000000000000006E-2</v>
      </c>
      <c r="AK37" s="211">
        <f t="shared" si="21"/>
        <v>5.0000000000000044E-3</v>
      </c>
    </row>
    <row r="38" spans="2:37" x14ac:dyDescent="0.2">
      <c r="B38" s="18">
        <f t="shared" ca="1" si="4"/>
        <v>45383</v>
      </c>
      <c r="C38" s="9">
        <f t="shared" si="18"/>
        <v>34</v>
      </c>
      <c r="D38" s="9"/>
      <c r="E38" s="13">
        <f t="shared" si="5"/>
        <v>2000</v>
      </c>
      <c r="F38" s="14">
        <f t="shared" si="19"/>
        <v>118000</v>
      </c>
      <c r="G38" s="15">
        <f t="shared" si="6"/>
        <v>0.85263582489842626</v>
      </c>
      <c r="H38" s="13">
        <f t="shared" si="7"/>
        <v>868.94161797788456</v>
      </c>
      <c r="I38" s="13">
        <f t="shared" si="8"/>
        <v>19922.959569631676</v>
      </c>
      <c r="J38" s="15">
        <f t="shared" si="0"/>
        <v>0.14736417510157374</v>
      </c>
      <c r="K38" s="13">
        <f t="shared" si="9"/>
        <v>20394.372549449501</v>
      </c>
      <c r="L38" s="13">
        <f t="shared" si="20"/>
        <v>302160.78656435676</v>
      </c>
      <c r="M38" s="15">
        <f t="shared" si="10"/>
        <v>0.14736417510157371</v>
      </c>
      <c r="N38" s="13">
        <f t="shared" si="1"/>
        <v>0</v>
      </c>
      <c r="O38" s="13">
        <f t="shared" si="11"/>
        <v>-471.41297981777461</v>
      </c>
      <c r="P38" s="15">
        <f t="shared" si="2"/>
        <v>-3.4179442007969477E-3</v>
      </c>
      <c r="Q38" s="7">
        <f t="shared" ref="Q38:Q69" si="23">Q37+E38+H38</f>
        <v>137922.95956963173</v>
      </c>
      <c r="R38" s="7">
        <f t="shared" si="13"/>
        <v>138394.3725494495</v>
      </c>
      <c r="S38" s="13">
        <f>IF('BANCO DE DADOS'!$AD$32="Sim",R38,Q38)</f>
        <v>138394.3725494495</v>
      </c>
      <c r="T38" s="9">
        <f t="shared" si="14"/>
        <v>34</v>
      </c>
      <c r="U38" s="18">
        <f t="shared" ca="1" si="15"/>
        <v>45413</v>
      </c>
      <c r="V38" s="119">
        <f t="shared" si="22"/>
        <v>4654403.9251919584</v>
      </c>
      <c r="W38" s="58">
        <v>34</v>
      </c>
      <c r="X38" s="120">
        <f t="shared" ca="1" si="16"/>
        <v>56796</v>
      </c>
      <c r="Y38" s="5">
        <f t="shared" si="17"/>
        <v>408</v>
      </c>
      <c r="AA38" s="45" t="s">
        <v>44</v>
      </c>
      <c r="AB38" s="2"/>
      <c r="AJ38" s="213">
        <v>0.09</v>
      </c>
      <c r="AK38" s="211">
        <f t="shared" si="21"/>
        <v>4.9999999999999906E-3</v>
      </c>
    </row>
    <row r="39" spans="2:37" x14ac:dyDescent="0.2">
      <c r="B39" s="18">
        <f t="shared" ca="1" si="4"/>
        <v>45413</v>
      </c>
      <c r="C39" s="9">
        <f t="shared" si="18"/>
        <v>35</v>
      </c>
      <c r="D39" s="9"/>
      <c r="E39" s="13">
        <f t="shared" si="5"/>
        <v>2000</v>
      </c>
      <c r="F39" s="14">
        <f t="shared" si="19"/>
        <v>120000</v>
      </c>
      <c r="G39" s="15">
        <f t="shared" si="6"/>
        <v>0.84927087940507917</v>
      </c>
      <c r="H39" s="13">
        <f t="shared" si="7"/>
        <v>887.40047473179629</v>
      </c>
      <c r="I39" s="13">
        <f t="shared" si="8"/>
        <v>20810.360044363471</v>
      </c>
      <c r="J39" s="15">
        <f t="shared" si="0"/>
        <v>0.15072912059492083</v>
      </c>
      <c r="K39" s="13">
        <f t="shared" si="9"/>
        <v>21297.674169707694</v>
      </c>
      <c r="L39" s="13">
        <f t="shared" si="20"/>
        <v>323458.46073406446</v>
      </c>
      <c r="M39" s="15">
        <f t="shared" si="10"/>
        <v>0.15072912059492077</v>
      </c>
      <c r="N39" s="13">
        <f t="shared" si="1"/>
        <v>0</v>
      </c>
      <c r="O39" s="13">
        <f t="shared" si="11"/>
        <v>-487.31412534415722</v>
      </c>
      <c r="P39" s="15">
        <f t="shared" si="2"/>
        <v>-3.4607831781029792E-3</v>
      </c>
      <c r="Q39" s="7">
        <f t="shared" si="23"/>
        <v>140810.36004436354</v>
      </c>
      <c r="R39" s="7">
        <f t="shared" si="13"/>
        <v>141297.67416970769</v>
      </c>
      <c r="S39" s="13">
        <f>IF('BANCO DE DADOS'!$AD$32="Sim",R39,Q39)</f>
        <v>141297.67416970769</v>
      </c>
      <c r="T39" s="9">
        <f t="shared" si="14"/>
        <v>35</v>
      </c>
      <c r="U39" s="18">
        <f t="shared" ca="1" si="15"/>
        <v>45444</v>
      </c>
      <c r="V39" s="119">
        <f t="shared" si="22"/>
        <v>5051784.0121683441</v>
      </c>
      <c r="W39" s="58">
        <v>35</v>
      </c>
      <c r="X39" s="120">
        <f t="shared" ca="1" si="16"/>
        <v>57162</v>
      </c>
      <c r="Y39" s="5">
        <f t="shared" si="17"/>
        <v>420</v>
      </c>
      <c r="AA39" s="63" t="s">
        <v>1</v>
      </c>
      <c r="AB39" s="46" t="s">
        <v>58</v>
      </c>
      <c r="AC39" s="46" t="s">
        <v>2</v>
      </c>
      <c r="AD39" s="46" t="s">
        <v>43</v>
      </c>
      <c r="AE39" s="46" t="s">
        <v>41</v>
      </c>
      <c r="AF39" s="47" t="s">
        <v>42</v>
      </c>
      <c r="AJ39" s="213">
        <v>9.5000000000000001E-2</v>
      </c>
      <c r="AK39" s="211">
        <f t="shared" si="21"/>
        <v>5.0000000000000044E-3</v>
      </c>
    </row>
    <row r="40" spans="2:37" x14ac:dyDescent="0.2">
      <c r="B40" s="18">
        <f t="shared" ca="1" si="4"/>
        <v>45444</v>
      </c>
      <c r="C40" s="9">
        <f t="shared" si="18"/>
        <v>36</v>
      </c>
      <c r="D40" s="9">
        <v>3</v>
      </c>
      <c r="E40" s="13">
        <f t="shared" si="5"/>
        <v>2000</v>
      </c>
      <c r="F40" s="14">
        <f t="shared" si="19"/>
        <v>122000</v>
      </c>
      <c r="G40" s="15">
        <f t="shared" si="6"/>
        <v>0.84593184882408301</v>
      </c>
      <c r="H40" s="13">
        <f t="shared" si="7"/>
        <v>905.97809632585893</v>
      </c>
      <c r="I40" s="13">
        <f t="shared" si="8"/>
        <v>21716.338140689331</v>
      </c>
      <c r="J40" s="15">
        <f t="shared" si="0"/>
        <v>0.15406815117591699</v>
      </c>
      <c r="K40" s="13">
        <f t="shared" si="9"/>
        <v>22219.655720009061</v>
      </c>
      <c r="L40" s="13">
        <f t="shared" si="20"/>
        <v>345678.11645407352</v>
      </c>
      <c r="M40" s="15">
        <f t="shared" si="10"/>
        <v>0.15406815117591702</v>
      </c>
      <c r="N40" s="13">
        <f t="shared" si="1"/>
        <v>0</v>
      </c>
      <c r="O40" s="13">
        <f t="shared" si="11"/>
        <v>-503.31757931967149</v>
      </c>
      <c r="P40" s="15">
        <f t="shared" si="2"/>
        <v>-3.5021597810748198E-3</v>
      </c>
      <c r="Q40" s="7">
        <f t="shared" si="23"/>
        <v>143716.33814068939</v>
      </c>
      <c r="R40" s="7">
        <f t="shared" si="13"/>
        <v>144219.65572000906</v>
      </c>
      <c r="S40" s="13">
        <f>IF('BANCO DE DADOS'!$AD$32="Sim",R40,Q40)</f>
        <v>144219.65572000906</v>
      </c>
      <c r="T40" s="9">
        <f t="shared" si="14"/>
        <v>36</v>
      </c>
      <c r="U40" s="18">
        <f t="shared" ca="1" si="15"/>
        <v>45474</v>
      </c>
      <c r="V40" s="119">
        <f t="shared" si="22"/>
        <v>5480954.5061028395</v>
      </c>
      <c r="W40" s="58">
        <v>36</v>
      </c>
      <c r="X40" s="120">
        <f t="shared" ca="1" si="16"/>
        <v>57527</v>
      </c>
      <c r="Y40" s="5">
        <f t="shared" si="17"/>
        <v>432</v>
      </c>
      <c r="AA40" s="64">
        <v>5</v>
      </c>
      <c r="AB40" s="59">
        <f>AA40*12</f>
        <v>60</v>
      </c>
      <c r="AC40" s="60">
        <f ca="1">INDEX($U$5:$U$997,AB40,0)</f>
        <v>46204</v>
      </c>
      <c r="AD40" s="67">
        <f ca="1">INDEX($S$5:$S$997,MATCH(AC40,$U$5:$U$997,0),0)</f>
        <v>220275.57419076186</v>
      </c>
      <c r="AE40" s="70">
        <f t="shared" ref="AE40:AE49" si="24">INDEX($G$5:$G$997,AB40,0)</f>
        <v>0.77176055776741503</v>
      </c>
      <c r="AF40" s="71">
        <f t="shared" ref="AF40:AF49" si="25">INDEX($J$5:$J$997,AB40,0)</f>
        <v>0.22823944223258497</v>
      </c>
      <c r="AJ40" s="213">
        <v>0.1</v>
      </c>
      <c r="AK40" s="211">
        <f t="shared" si="21"/>
        <v>5.0000000000000044E-3</v>
      </c>
    </row>
    <row r="41" spans="2:37" x14ac:dyDescent="0.2">
      <c r="B41" s="18">
        <f t="shared" ca="1" si="4"/>
        <v>45474</v>
      </c>
      <c r="C41" s="9">
        <f t="shared" si="18"/>
        <v>37</v>
      </c>
      <c r="D41" s="9"/>
      <c r="E41" s="13">
        <f t="shared" si="5"/>
        <v>2000</v>
      </c>
      <c r="F41" s="14">
        <f t="shared" si="19"/>
        <v>124000</v>
      </c>
      <c r="G41" s="15">
        <f t="shared" si="6"/>
        <v>0.84261777282853001</v>
      </c>
      <c r="H41" s="13">
        <f t="shared" si="7"/>
        <v>924.67524689662991</v>
      </c>
      <c r="I41" s="13">
        <f t="shared" si="8"/>
        <v>22641.013387585961</v>
      </c>
      <c r="J41" s="15">
        <f t="shared" si="0"/>
        <v>0.15738222717146999</v>
      </c>
      <c r="K41" s="13">
        <f t="shared" si="9"/>
        <v>23160.437387585931</v>
      </c>
      <c r="L41" s="13">
        <f t="shared" si="20"/>
        <v>368838.55384165945</v>
      </c>
      <c r="M41" s="15">
        <f t="shared" si="10"/>
        <v>0.15738222717146996</v>
      </c>
      <c r="N41" s="13">
        <f t="shared" si="1"/>
        <v>0</v>
      </c>
      <c r="O41" s="13">
        <f t="shared" si="11"/>
        <v>-519.42399999991176</v>
      </c>
      <c r="P41" s="15">
        <f t="shared" si="2"/>
        <v>-3.5421468250974586E-3</v>
      </c>
      <c r="Q41" s="7">
        <f t="shared" si="23"/>
        <v>146641.01338758602</v>
      </c>
      <c r="R41" s="7">
        <f t="shared" si="13"/>
        <v>147160.43738758593</v>
      </c>
      <c r="S41" s="13">
        <f>IF('BANCO DE DADOS'!$AD$32="Sim",R41,Q41)</f>
        <v>147160.43738758593</v>
      </c>
      <c r="T41" s="9">
        <f t="shared" si="14"/>
        <v>37</v>
      </c>
      <c r="U41" s="18">
        <f t="shared" ca="1" si="15"/>
        <v>45505</v>
      </c>
      <c r="V41" s="119">
        <f t="shared" si="22"/>
        <v>5944458.639552095</v>
      </c>
      <c r="W41" s="58">
        <v>37</v>
      </c>
      <c r="X41" s="120">
        <f t="shared" ca="1" si="16"/>
        <v>57892</v>
      </c>
      <c r="Y41" s="5">
        <f t="shared" si="17"/>
        <v>444</v>
      </c>
      <c r="AA41" s="65">
        <v>10</v>
      </c>
      <c r="AB41" s="61">
        <f>AA41*12</f>
        <v>120</v>
      </c>
      <c r="AC41" s="62">
        <f t="shared" ref="AC41:AC49" ca="1" si="26">INDEX($U$5:$U$997,AB41,0)</f>
        <v>48030</v>
      </c>
      <c r="AD41" s="68">
        <f t="shared" ref="AD41:AD49" ca="1" si="27">INDEX($S$5:$S$997,MATCH(AC41,$U$5:$U$997,0),0)</f>
        <v>470485.04267157085</v>
      </c>
      <c r="AE41" s="72">
        <f t="shared" si="24"/>
        <v>0.61638516360325368</v>
      </c>
      <c r="AF41" s="73">
        <f t="shared" si="25"/>
        <v>0.38361483639674632</v>
      </c>
      <c r="AJ41" s="213">
        <v>0.105</v>
      </c>
      <c r="AK41" s="211">
        <f t="shared" si="21"/>
        <v>4.9999999999999906E-3</v>
      </c>
    </row>
    <row r="42" spans="2:37" x14ac:dyDescent="0.2">
      <c r="B42" s="18">
        <f t="shared" ca="1" si="4"/>
        <v>45505</v>
      </c>
      <c r="C42" s="9">
        <f t="shared" si="18"/>
        <v>38</v>
      </c>
      <c r="D42" s="9"/>
      <c r="E42" s="13">
        <f t="shared" si="5"/>
        <v>2000</v>
      </c>
      <c r="F42" s="14">
        <f t="shared" si="19"/>
        <v>126000</v>
      </c>
      <c r="G42" s="15">
        <f t="shared" si="6"/>
        <v>0.83932775368051127</v>
      </c>
      <c r="H42" s="13">
        <f t="shared" si="7"/>
        <v>943.49269549714461</v>
      </c>
      <c r="I42" s="13">
        <f t="shared" si="8"/>
        <v>23584.506083083106</v>
      </c>
      <c r="J42" s="15">
        <f t="shared" si="0"/>
        <v>0.16067224631948873</v>
      </c>
      <c r="K42" s="13">
        <f t="shared" si="9"/>
        <v>24120.140132958943</v>
      </c>
      <c r="L42" s="13">
        <f t="shared" si="20"/>
        <v>392958.69397461839</v>
      </c>
      <c r="M42" s="15">
        <f t="shared" si="10"/>
        <v>0.1606722463194887</v>
      </c>
      <c r="N42" s="13">
        <f t="shared" si="1"/>
        <v>0</v>
      </c>
      <c r="O42" s="13">
        <f t="shared" si="11"/>
        <v>-535.63404987577815</v>
      </c>
      <c r="P42" s="15">
        <f t="shared" si="2"/>
        <v>-3.5808123708900232E-3</v>
      </c>
      <c r="Q42" s="7">
        <f t="shared" si="23"/>
        <v>149584.50608308316</v>
      </c>
      <c r="R42" s="7">
        <f t="shared" si="13"/>
        <v>150120.14013295894</v>
      </c>
      <c r="S42" s="13">
        <f>IF('BANCO DE DADOS'!$AD$32="Sim",R42,Q42)</f>
        <v>150120.14013295894</v>
      </c>
      <c r="T42" s="9">
        <f t="shared" si="14"/>
        <v>38</v>
      </c>
      <c r="U42" s="18">
        <f t="shared" ca="1" si="15"/>
        <v>45536</v>
      </c>
      <c r="V42" s="119">
        <f t="shared" si="22"/>
        <v>6445043.1036772905</v>
      </c>
      <c r="W42" s="58">
        <v>38</v>
      </c>
      <c r="X42" s="120">
        <f t="shared" ca="1" si="16"/>
        <v>58257</v>
      </c>
      <c r="Y42" s="5">
        <f t="shared" si="17"/>
        <v>456</v>
      </c>
      <c r="AA42" s="65">
        <v>15</v>
      </c>
      <c r="AB42" s="61">
        <f t="shared" ref="AB42:AB49" si="28">AA42*12</f>
        <v>180</v>
      </c>
      <c r="AC42" s="62">
        <f t="shared" ca="1" si="26"/>
        <v>49857</v>
      </c>
      <c r="AD42" s="68">
        <f t="shared" ca="1" si="27"/>
        <v>838124.8397916276</v>
      </c>
      <c r="AE42" s="72">
        <f t="shared" si="24"/>
        <v>0.48918726725953277</v>
      </c>
      <c r="AF42" s="73">
        <f t="shared" si="25"/>
        <v>0.51081273274046723</v>
      </c>
      <c r="AJ42" s="213">
        <v>0.11</v>
      </c>
      <c r="AK42" s="211">
        <f t="shared" si="21"/>
        <v>5.0000000000000044E-3</v>
      </c>
    </row>
    <row r="43" spans="2:37" x14ac:dyDescent="0.2">
      <c r="B43" s="18">
        <f t="shared" ca="1" si="4"/>
        <v>45536</v>
      </c>
      <c r="C43" s="9">
        <f t="shared" si="18"/>
        <v>39</v>
      </c>
      <c r="D43" s="9"/>
      <c r="E43" s="13">
        <f t="shared" si="5"/>
        <v>2000</v>
      </c>
      <c r="F43" s="14">
        <f t="shared" si="19"/>
        <v>128000</v>
      </c>
      <c r="G43" s="15">
        <f t="shared" si="6"/>
        <v>0.83606095118857937</v>
      </c>
      <c r="H43" s="13">
        <f t="shared" si="7"/>
        <v>962.43121612854839</v>
      </c>
      <c r="I43" s="13">
        <f t="shared" si="8"/>
        <v>24546.937299211655</v>
      </c>
      <c r="J43" s="15">
        <f t="shared" si="0"/>
        <v>0.16393904881142063</v>
      </c>
      <c r="K43" s="13">
        <f t="shared" si="9"/>
        <v>25098.885694912344</v>
      </c>
      <c r="L43" s="13">
        <f t="shared" si="20"/>
        <v>418057.57966953074</v>
      </c>
      <c r="M43" s="15">
        <f t="shared" si="10"/>
        <v>0.16393904881142063</v>
      </c>
      <c r="N43" s="13">
        <f t="shared" si="1"/>
        <v>0</v>
      </c>
      <c r="O43" s="13">
        <f t="shared" si="11"/>
        <v>-551.9483957006305</v>
      </c>
      <c r="P43" s="15">
        <f t="shared" si="2"/>
        <v>-3.6182201063664535E-3</v>
      </c>
      <c r="Q43" s="7">
        <f t="shared" si="23"/>
        <v>152546.93729921171</v>
      </c>
      <c r="R43" s="7">
        <f t="shared" si="13"/>
        <v>153098.88569491234</v>
      </c>
      <c r="S43" s="13">
        <f>IF('BANCO DE DADOS'!$AD$32="Sim",R43,Q43)</f>
        <v>153098.88569491234</v>
      </c>
      <c r="T43" s="9">
        <f t="shared" si="14"/>
        <v>39</v>
      </c>
      <c r="U43" s="18">
        <f t="shared" ca="1" si="15"/>
        <v>45566</v>
      </c>
      <c r="V43" s="119">
        <f t="shared" si="22"/>
        <v>6985674.3249325026</v>
      </c>
      <c r="W43" s="58">
        <v>39</v>
      </c>
      <c r="X43" s="120">
        <f t="shared" ca="1" si="16"/>
        <v>58623</v>
      </c>
      <c r="Y43" s="5">
        <f t="shared" si="17"/>
        <v>468</v>
      </c>
      <c r="AA43" s="65">
        <v>20</v>
      </c>
      <c r="AB43" s="61">
        <f t="shared" si="28"/>
        <v>240</v>
      </c>
      <c r="AC43" s="62">
        <f t="shared" ca="1" si="26"/>
        <v>51683</v>
      </c>
      <c r="AD43" s="68">
        <f t="shared" ca="1" si="27"/>
        <v>1378308.3158491813</v>
      </c>
      <c r="AE43" s="72">
        <f t="shared" si="24"/>
        <v>0.38452934942459871</v>
      </c>
      <c r="AF43" s="73">
        <f t="shared" si="25"/>
        <v>0.61547065057540129</v>
      </c>
      <c r="AJ43" s="213">
        <v>0.115</v>
      </c>
      <c r="AK43" s="211">
        <f t="shared" si="21"/>
        <v>5.0000000000000044E-3</v>
      </c>
    </row>
    <row r="44" spans="2:37" x14ac:dyDescent="0.2">
      <c r="B44" s="18">
        <f t="shared" ca="1" si="4"/>
        <v>45566</v>
      </c>
      <c r="C44" s="9">
        <f t="shared" si="18"/>
        <v>40</v>
      </c>
      <c r="D44" s="9"/>
      <c r="E44" s="13">
        <f t="shared" si="5"/>
        <v>2000</v>
      </c>
      <c r="F44" s="14">
        <f t="shared" si="19"/>
        <v>130000</v>
      </c>
      <c r="G44" s="15">
        <f t="shared" si="6"/>
        <v>0.83281657814460563</v>
      </c>
      <c r="H44" s="13">
        <f t="shared" si="7"/>
        <v>981.4915877719335</v>
      </c>
      <c r="I44" s="13">
        <f t="shared" si="8"/>
        <v>25528.428886983587</v>
      </c>
      <c r="J44" s="15">
        <f t="shared" si="0"/>
        <v>0.16718342185539437</v>
      </c>
      <c r="K44" s="13">
        <f t="shared" si="9"/>
        <v>26096.796595501393</v>
      </c>
      <c r="L44" s="13">
        <f t="shared" si="20"/>
        <v>444154.3762650321</v>
      </c>
      <c r="M44" s="15">
        <f t="shared" si="10"/>
        <v>0.16718342185539434</v>
      </c>
      <c r="N44" s="13">
        <f t="shared" si="1"/>
        <v>0</v>
      </c>
      <c r="O44" s="13">
        <f t="shared" si="11"/>
        <v>-568.36770851773326</v>
      </c>
      <c r="P44" s="15">
        <f t="shared" si="2"/>
        <v>-3.6544296922766677E-3</v>
      </c>
      <c r="Q44" s="7">
        <f t="shared" si="23"/>
        <v>155528.42888698366</v>
      </c>
      <c r="R44" s="7">
        <f t="shared" si="13"/>
        <v>156096.79659550139</v>
      </c>
      <c r="S44" s="13">
        <f>IF('BANCO DE DADOS'!$AD$32="Sim",R44,Q44)</f>
        <v>156096.79659550139</v>
      </c>
      <c r="T44" s="9">
        <f t="shared" si="14"/>
        <v>40</v>
      </c>
      <c r="U44" s="18">
        <f t="shared" ca="1" si="15"/>
        <v>45597</v>
      </c>
      <c r="V44" s="119">
        <f t="shared" si="22"/>
        <v>7569556.0438881321</v>
      </c>
      <c r="W44" s="58">
        <v>40</v>
      </c>
      <c r="X44" s="120">
        <f t="shared" ca="1" si="16"/>
        <v>58988</v>
      </c>
      <c r="Y44" s="5">
        <f t="shared" si="17"/>
        <v>480</v>
      </c>
      <c r="AA44" s="65">
        <v>25</v>
      </c>
      <c r="AB44" s="61">
        <f t="shared" si="28"/>
        <v>300</v>
      </c>
      <c r="AC44" s="62">
        <f t="shared" ca="1" si="26"/>
        <v>53509</v>
      </c>
      <c r="AD44" s="68">
        <f t="shared" ca="1" si="27"/>
        <v>2172015.0638439646</v>
      </c>
      <c r="AE44" s="72">
        <f t="shared" si="24"/>
        <v>0.29926127623150561</v>
      </c>
      <c r="AF44" s="73">
        <f t="shared" si="25"/>
        <v>0.70073872376849433</v>
      </c>
      <c r="AJ44" s="213">
        <v>0.12</v>
      </c>
      <c r="AK44" s="211">
        <f t="shared" si="21"/>
        <v>4.9999999999999906E-3</v>
      </c>
    </row>
    <row r="45" spans="2:37" x14ac:dyDescent="0.2">
      <c r="B45" s="18">
        <f t="shared" ca="1" si="4"/>
        <v>45597</v>
      </c>
      <c r="C45" s="9">
        <f t="shared" si="18"/>
        <v>41</v>
      </c>
      <c r="D45" s="9"/>
      <c r="E45" s="13">
        <f t="shared" si="5"/>
        <v>2000</v>
      </c>
      <c r="F45" s="14">
        <f t="shared" si="19"/>
        <v>132000</v>
      </c>
      <c r="G45" s="15">
        <f t="shared" si="6"/>
        <v>0.82959389618769053</v>
      </c>
      <c r="H45" s="13">
        <f t="shared" si="7"/>
        <v>1000.6745944203801</v>
      </c>
      <c r="I45" s="13">
        <f t="shared" si="8"/>
        <v>26529.103481403967</v>
      </c>
      <c r="J45" s="15">
        <f t="shared" si="0"/>
        <v>0.17040610381230947</v>
      </c>
      <c r="K45" s="13">
        <f t="shared" si="9"/>
        <v>27113.996145091951</v>
      </c>
      <c r="L45" s="13">
        <f t="shared" si="20"/>
        <v>471268.37241012405</v>
      </c>
      <c r="M45" s="15">
        <f t="shared" si="10"/>
        <v>0.1704061038123095</v>
      </c>
      <c r="N45" s="13">
        <f t="shared" si="1"/>
        <v>0</v>
      </c>
      <c r="O45" s="13">
        <f t="shared" si="11"/>
        <v>-584.89266368790413</v>
      </c>
      <c r="P45" s="15">
        <f t="shared" si="2"/>
        <v>-3.6894970755733431E-3</v>
      </c>
      <c r="Q45" s="7">
        <f t="shared" si="23"/>
        <v>158529.10348140405</v>
      </c>
      <c r="R45" s="7">
        <f t="shared" si="13"/>
        <v>159113.99614509195</v>
      </c>
      <c r="S45" s="13">
        <f>IF('BANCO DE DADOS'!$AD$32="Sim",R45,Q45)</f>
        <v>159113.99614509195</v>
      </c>
      <c r="T45" s="9">
        <f t="shared" si="14"/>
        <v>41</v>
      </c>
      <c r="U45" s="18">
        <f t="shared" ca="1" si="15"/>
        <v>45627</v>
      </c>
      <c r="V45" s="119">
        <f t="shared" si="22"/>
        <v>8200148.3003602102</v>
      </c>
      <c r="W45" s="58">
        <v>41</v>
      </c>
      <c r="X45" s="120">
        <f t="shared" ca="1" si="16"/>
        <v>59353</v>
      </c>
      <c r="Y45" s="5">
        <f t="shared" si="17"/>
        <v>492</v>
      </c>
      <c r="AA45" s="65">
        <v>30</v>
      </c>
      <c r="AB45" s="61">
        <f>AA45*12</f>
        <v>360</v>
      </c>
      <c r="AC45" s="62">
        <f t="shared" ca="1" si="26"/>
        <v>55335</v>
      </c>
      <c r="AD45" s="68">
        <f t="shared" ca="1" si="27"/>
        <v>3338230.6734183193</v>
      </c>
      <c r="AE45" s="72">
        <f t="shared" si="24"/>
        <v>0.2306611122267134</v>
      </c>
      <c r="AF45" s="73">
        <f t="shared" si="25"/>
        <v>0.76933888777328663</v>
      </c>
      <c r="AJ45" s="213">
        <v>0.125</v>
      </c>
      <c r="AK45" s="211">
        <f t="shared" si="21"/>
        <v>5.0000000000000044E-3</v>
      </c>
    </row>
    <row r="46" spans="2:37" x14ac:dyDescent="0.2">
      <c r="B46" s="18">
        <f t="shared" ca="1" si="4"/>
        <v>45627</v>
      </c>
      <c r="C46" s="9">
        <f t="shared" si="18"/>
        <v>42</v>
      </c>
      <c r="D46" s="9"/>
      <c r="E46" s="13">
        <f t="shared" si="5"/>
        <v>2000</v>
      </c>
      <c r="F46" s="14">
        <f t="shared" si="19"/>
        <v>134000</v>
      </c>
      <c r="G46" s="15">
        <f t="shared" si="6"/>
        <v>0.82639221204921598</v>
      </c>
      <c r="H46" s="13">
        <f t="shared" si="7"/>
        <v>1019.9810251112033</v>
      </c>
      <c r="I46" s="13">
        <f t="shared" si="8"/>
        <v>27549.08450651517</v>
      </c>
      <c r="J46" s="15">
        <f t="shared" si="0"/>
        <v>0.17360778795078402</v>
      </c>
      <c r="K46" s="13">
        <f t="shared" si="9"/>
        <v>28150.60844743246</v>
      </c>
      <c r="L46" s="13">
        <f t="shared" si="20"/>
        <v>499418.98085755651</v>
      </c>
      <c r="M46" s="15">
        <f t="shared" si="10"/>
        <v>0.17360778795078399</v>
      </c>
      <c r="N46" s="13">
        <f t="shared" si="1"/>
        <v>0</v>
      </c>
      <c r="O46" s="13">
        <f t="shared" si="11"/>
        <v>-601.5239409172209</v>
      </c>
      <c r="P46" s="15">
        <f t="shared" si="2"/>
        <v>-3.7234747739654417E-3</v>
      </c>
      <c r="Q46" s="7">
        <f t="shared" si="23"/>
        <v>161549.08450651524</v>
      </c>
      <c r="R46" s="7">
        <f t="shared" si="13"/>
        <v>162150.60844743246</v>
      </c>
      <c r="S46" s="13">
        <f>IF('BANCO DE DADOS'!$AD$32="Sim",R46,Q46)</f>
        <v>162150.60844743246</v>
      </c>
      <c r="T46" s="9">
        <f t="shared" si="14"/>
        <v>42</v>
      </c>
      <c r="U46" s="18">
        <f t="shared" ca="1" si="15"/>
        <v>45658</v>
      </c>
      <c r="V46" s="119">
        <f t="shared" si="22"/>
        <v>8881187.9373500571</v>
      </c>
      <c r="W46" s="58">
        <v>42</v>
      </c>
      <c r="X46" s="120">
        <f t="shared" ca="1" si="16"/>
        <v>59718</v>
      </c>
      <c r="Y46" s="5">
        <f t="shared" si="17"/>
        <v>504</v>
      </c>
      <c r="AA46" s="65">
        <v>35</v>
      </c>
      <c r="AB46" s="61">
        <f t="shared" si="28"/>
        <v>420</v>
      </c>
      <c r="AC46" s="62">
        <f t="shared" ca="1" si="26"/>
        <v>57162</v>
      </c>
      <c r="AD46" s="68">
        <f t="shared" ca="1" si="27"/>
        <v>5051784.0121683441</v>
      </c>
      <c r="AE46" s="72">
        <f t="shared" si="24"/>
        <v>0.17617538633010382</v>
      </c>
      <c r="AF46" s="73">
        <f t="shared" si="25"/>
        <v>0.82382461366989612</v>
      </c>
      <c r="AJ46" s="213">
        <v>0.13</v>
      </c>
      <c r="AK46" s="211">
        <f t="shared" si="21"/>
        <v>5.0000000000000044E-3</v>
      </c>
    </row>
    <row r="47" spans="2:37" x14ac:dyDescent="0.2">
      <c r="B47" s="18">
        <f t="shared" ca="1" si="4"/>
        <v>45658</v>
      </c>
      <c r="C47" s="9">
        <f t="shared" si="18"/>
        <v>43</v>
      </c>
      <c r="D47" s="9"/>
      <c r="E47" s="13">
        <f t="shared" si="5"/>
        <v>2000</v>
      </c>
      <c r="F47" s="14">
        <f t="shared" si="19"/>
        <v>136000</v>
      </c>
      <c r="G47" s="15">
        <f t="shared" si="6"/>
        <v>0.82321087413868566</v>
      </c>
      <c r="H47" s="13">
        <f t="shared" si="7"/>
        <v>1039.4116739584076</v>
      </c>
      <c r="I47" s="13">
        <f t="shared" si="8"/>
        <v>28588.496180473576</v>
      </c>
      <c r="J47" s="15">
        <f t="shared" si="0"/>
        <v>0.17678912586131434</v>
      </c>
      <c r="K47" s="13">
        <f t="shared" si="9"/>
        <v>29206.758404758613</v>
      </c>
      <c r="L47" s="13">
        <f t="shared" si="20"/>
        <v>528625.7392623151</v>
      </c>
      <c r="M47" s="15">
        <f t="shared" si="10"/>
        <v>0.17678912586131429</v>
      </c>
      <c r="N47" s="13">
        <f t="shared" si="1"/>
        <v>0</v>
      </c>
      <c r="O47" s="13">
        <f t="shared" si="11"/>
        <v>-618.26222428496112</v>
      </c>
      <c r="P47" s="15">
        <f t="shared" si="2"/>
        <v>-3.7564121347036777E-3</v>
      </c>
      <c r="Q47" s="7">
        <f t="shared" si="23"/>
        <v>164588.49618047365</v>
      </c>
      <c r="R47" s="7">
        <f t="shared" si="13"/>
        <v>165206.75840475861</v>
      </c>
      <c r="S47" s="13">
        <f>IF('BANCO DE DADOS'!$AD$32="Sim",R47,Q47)</f>
        <v>165206.75840475861</v>
      </c>
      <c r="T47" s="9">
        <f t="shared" si="14"/>
        <v>43</v>
      </c>
      <c r="U47" s="18">
        <f t="shared" ca="1" si="15"/>
        <v>45689</v>
      </c>
      <c r="V47" s="119">
        <f t="shared" si="22"/>
        <v>9616710.7452990916</v>
      </c>
      <c r="W47" s="58">
        <v>43</v>
      </c>
      <c r="X47" s="120">
        <f t="shared" ca="1" si="16"/>
        <v>60084</v>
      </c>
      <c r="Y47" s="5">
        <f t="shared" si="17"/>
        <v>516</v>
      </c>
      <c r="AA47" s="65">
        <v>40</v>
      </c>
      <c r="AB47" s="61">
        <f t="shared" si="28"/>
        <v>480</v>
      </c>
      <c r="AC47" s="62">
        <f t="shared" ca="1" si="26"/>
        <v>58988</v>
      </c>
      <c r="AD47" s="68">
        <f t="shared" ca="1" si="27"/>
        <v>7569556.0438881321</v>
      </c>
      <c r="AE47" s="72">
        <f t="shared" si="24"/>
        <v>0.13342922545840741</v>
      </c>
      <c r="AF47" s="73">
        <f t="shared" si="25"/>
        <v>0.86657077454159259</v>
      </c>
      <c r="AJ47" s="213">
        <v>0.13500000000000001</v>
      </c>
      <c r="AK47" s="211">
        <f t="shared" si="21"/>
        <v>5.0000000000000044E-3</v>
      </c>
    </row>
    <row r="48" spans="2:37" x14ac:dyDescent="0.2">
      <c r="B48" s="18">
        <f t="shared" ca="1" si="4"/>
        <v>45689</v>
      </c>
      <c r="C48" s="9">
        <f t="shared" si="18"/>
        <v>44</v>
      </c>
      <c r="D48" s="9"/>
      <c r="E48" s="13">
        <f t="shared" si="5"/>
        <v>2000</v>
      </c>
      <c r="F48" s="14">
        <f t="shared" si="19"/>
        <v>138000</v>
      </c>
      <c r="G48" s="15">
        <f t="shared" si="6"/>
        <v>0.82004926943480694</v>
      </c>
      <c r="H48" s="13">
        <f t="shared" si="7"/>
        <v>1058.967340185352</v>
      </c>
      <c r="I48" s="13">
        <f t="shared" si="8"/>
        <v>29647.463520658926</v>
      </c>
      <c r="J48" s="15">
        <f t="shared" si="0"/>
        <v>0.17995073056519306</v>
      </c>
      <c r="K48" s="13">
        <f t="shared" si="9"/>
        <v>30282.571722930908</v>
      </c>
      <c r="L48" s="13">
        <f t="shared" si="20"/>
        <v>558908.31098524597</v>
      </c>
      <c r="M48" s="15">
        <f t="shared" si="10"/>
        <v>0.17995073056519301</v>
      </c>
      <c r="N48" s="13">
        <f t="shared" si="1"/>
        <v>0</v>
      </c>
      <c r="O48" s="13">
        <f t="shared" si="11"/>
        <v>-635.10820227189106</v>
      </c>
      <c r="P48" s="15">
        <f t="shared" si="2"/>
        <v>-3.7883555702805331E-3</v>
      </c>
      <c r="Q48" s="7">
        <f t="shared" si="23"/>
        <v>167647.46352065902</v>
      </c>
      <c r="R48" s="7">
        <f t="shared" si="13"/>
        <v>168282.57172293091</v>
      </c>
      <c r="S48" s="13">
        <f>IF('BANCO DE DADOS'!$AD$32="Sim",R48,Q48)</f>
        <v>168282.57172293091</v>
      </c>
      <c r="T48" s="9">
        <f t="shared" si="14"/>
        <v>44</v>
      </c>
      <c r="U48" s="18">
        <f t="shared" ca="1" si="15"/>
        <v>45717</v>
      </c>
      <c r="V48" s="119">
        <f t="shared" si="22"/>
        <v>10411075.377884045</v>
      </c>
      <c r="W48" s="58">
        <v>44</v>
      </c>
      <c r="X48" s="120">
        <f t="shared" ca="1" si="16"/>
        <v>60449</v>
      </c>
      <c r="Y48" s="5">
        <f t="shared" si="17"/>
        <v>528</v>
      </c>
      <c r="AA48" s="65">
        <v>45</v>
      </c>
      <c r="AB48" s="61">
        <f t="shared" si="28"/>
        <v>540</v>
      </c>
      <c r="AC48" s="62">
        <f t="shared" ca="1" si="26"/>
        <v>60814</v>
      </c>
      <c r="AD48" s="68">
        <f t="shared" ca="1" si="27"/>
        <v>11268989.181075795</v>
      </c>
      <c r="AE48" s="72">
        <f t="shared" si="24"/>
        <v>0.10027518722776203</v>
      </c>
      <c r="AF48" s="73">
        <f t="shared" si="25"/>
        <v>0.89972481277223793</v>
      </c>
      <c r="AJ48" s="213">
        <v>0.14000000000000001</v>
      </c>
      <c r="AK48" s="211">
        <f t="shared" si="21"/>
        <v>5.0000000000000044E-3</v>
      </c>
    </row>
    <row r="49" spans="2:37" x14ac:dyDescent="0.2">
      <c r="B49" s="18">
        <f t="shared" ca="1" si="4"/>
        <v>45717</v>
      </c>
      <c r="C49" s="9">
        <f t="shared" si="18"/>
        <v>45</v>
      </c>
      <c r="D49" s="9"/>
      <c r="E49" s="13">
        <f t="shared" si="5"/>
        <v>2000</v>
      </c>
      <c r="F49" s="14">
        <f t="shared" si="19"/>
        <v>140000</v>
      </c>
      <c r="G49" s="15">
        <f t="shared" si="6"/>
        <v>0.81690682065044684</v>
      </c>
      <c r="H49" s="13">
        <f t="shared" si="7"/>
        <v>1078.6488281576219</v>
      </c>
      <c r="I49" s="13">
        <f t="shared" si="8"/>
        <v>30726.112348816547</v>
      </c>
      <c r="J49" s="15">
        <f t="shared" si="0"/>
        <v>0.18309317934955316</v>
      </c>
      <c r="K49" s="13">
        <f t="shared" si="9"/>
        <v>31378.174916605058</v>
      </c>
      <c r="L49" s="13">
        <f t="shared" si="20"/>
        <v>590286.48590185097</v>
      </c>
      <c r="M49" s="15">
        <f t="shared" si="10"/>
        <v>0.18309317934955313</v>
      </c>
      <c r="N49" s="13">
        <f t="shared" si="1"/>
        <v>0</v>
      </c>
      <c r="O49" s="13">
        <f t="shared" si="11"/>
        <v>-652.06256778840907</v>
      </c>
      <c r="P49" s="15">
        <f t="shared" si="2"/>
        <v>-3.8193487734094044E-3</v>
      </c>
      <c r="Q49" s="7">
        <f t="shared" si="23"/>
        <v>170726.11234881665</v>
      </c>
      <c r="R49" s="7">
        <f t="shared" si="13"/>
        <v>171378.17491660506</v>
      </c>
      <c r="S49" s="13">
        <f>IF('BANCO DE DADOS'!$AD$32="Sim",R49,Q49)</f>
        <v>171378.17491660506</v>
      </c>
      <c r="T49" s="9">
        <f t="shared" si="14"/>
        <v>45</v>
      </c>
      <c r="U49" s="18">
        <f t="shared" ca="1" si="15"/>
        <v>45748</v>
      </c>
      <c r="V49" s="119">
        <f t="shared" si="22"/>
        <v>11268989.181075795</v>
      </c>
      <c r="W49" s="58">
        <v>45</v>
      </c>
      <c r="X49" s="120">
        <f t="shared" ca="1" si="16"/>
        <v>60814</v>
      </c>
      <c r="Y49" s="5">
        <f t="shared" si="17"/>
        <v>540</v>
      </c>
      <c r="AA49" s="66">
        <v>50</v>
      </c>
      <c r="AB49" s="21">
        <f t="shared" si="28"/>
        <v>600</v>
      </c>
      <c r="AC49" s="25">
        <f t="shared" ca="1" si="26"/>
        <v>62640</v>
      </c>
      <c r="AD49" s="69">
        <f t="shared" ca="1" si="27"/>
        <v>16704670.157789914</v>
      </c>
      <c r="AE49" s="74">
        <f t="shared" si="24"/>
        <v>7.4829373354437984E-2</v>
      </c>
      <c r="AF49" s="75">
        <f t="shared" si="25"/>
        <v>0.92517062664556204</v>
      </c>
      <c r="AJ49" s="213">
        <v>0.14499999999999999</v>
      </c>
      <c r="AK49" s="211">
        <f t="shared" si="21"/>
        <v>4.9999999999999767E-3</v>
      </c>
    </row>
    <row r="50" spans="2:37" x14ac:dyDescent="0.2">
      <c r="B50" s="18">
        <f t="shared" ca="1" si="4"/>
        <v>45748</v>
      </c>
      <c r="C50" s="9">
        <f t="shared" si="18"/>
        <v>46</v>
      </c>
      <c r="D50" s="9"/>
      <c r="E50" s="13">
        <f t="shared" si="5"/>
        <v>2000</v>
      </c>
      <c r="F50" s="14">
        <f t="shared" si="19"/>
        <v>142000</v>
      </c>
      <c r="G50" s="15">
        <f t="shared" si="6"/>
        <v>0.8137829836437207</v>
      </c>
      <c r="H50" s="13">
        <f t="shared" si="7"/>
        <v>1098.4569474161149</v>
      </c>
      <c r="I50" s="13">
        <f t="shared" si="8"/>
        <v>31824.569296232661</v>
      </c>
      <c r="J50" s="15">
        <f t="shared" si="0"/>
        <v>0.1862170163562793</v>
      </c>
      <c r="K50" s="13">
        <f t="shared" si="9"/>
        <v>32493.695314435929</v>
      </c>
      <c r="L50" s="13">
        <f t="shared" si="20"/>
        <v>622780.18121628696</v>
      </c>
      <c r="M50" s="15">
        <f t="shared" si="10"/>
        <v>0.18621701635627927</v>
      </c>
      <c r="N50" s="13">
        <f t="shared" si="1"/>
        <v>0</v>
      </c>
      <c r="O50" s="13">
        <f t="shared" si="11"/>
        <v>-669.12601820315467</v>
      </c>
      <c r="P50" s="15">
        <f t="shared" si="2"/>
        <v>-3.8494329133807689E-3</v>
      </c>
      <c r="Q50" s="7">
        <f t="shared" si="23"/>
        <v>173824.56929623277</v>
      </c>
      <c r="R50" s="7">
        <f t="shared" si="13"/>
        <v>174493.69531443593</v>
      </c>
      <c r="S50" s="13">
        <f>IF('BANCO DE DADOS'!$AD$32="Sim",R50,Q50)</f>
        <v>174493.69531443593</v>
      </c>
      <c r="T50" s="9">
        <f t="shared" si="14"/>
        <v>46</v>
      </c>
      <c r="U50" s="18">
        <f t="shared" ca="1" si="15"/>
        <v>45778</v>
      </c>
      <c r="V50" s="119">
        <f t="shared" si="22"/>
        <v>12195536.088522885</v>
      </c>
      <c r="W50" s="58">
        <v>46</v>
      </c>
      <c r="X50" s="120">
        <f t="shared" ca="1" si="16"/>
        <v>61179</v>
      </c>
      <c r="Y50" s="5">
        <f t="shared" si="17"/>
        <v>552</v>
      </c>
      <c r="AJ50" s="213">
        <v>0.15</v>
      </c>
      <c r="AK50" s="211">
        <f t="shared" si="21"/>
        <v>5.0000000000000044E-3</v>
      </c>
    </row>
    <row r="51" spans="2:37" x14ac:dyDescent="0.2">
      <c r="B51" s="18">
        <f t="shared" ca="1" si="4"/>
        <v>45778</v>
      </c>
      <c r="C51" s="9">
        <f t="shared" si="18"/>
        <v>47</v>
      </c>
      <c r="D51" s="9"/>
      <c r="E51" s="13">
        <f t="shared" si="5"/>
        <v>2000</v>
      </c>
      <c r="F51" s="14">
        <f t="shared" si="19"/>
        <v>144000</v>
      </c>
      <c r="G51" s="15">
        <f t="shared" si="6"/>
        <v>0.8106772450506422</v>
      </c>
      <c r="H51" s="13">
        <f t="shared" si="7"/>
        <v>1118.3925127103394</v>
      </c>
      <c r="I51" s="13">
        <f t="shared" si="8"/>
        <v>32942.961808943001</v>
      </c>
      <c r="J51" s="15">
        <f t="shared" si="0"/>
        <v>0.1893227549493578</v>
      </c>
      <c r="K51" s="13">
        <f t="shared" si="9"/>
        <v>33629.261064314778</v>
      </c>
      <c r="L51" s="13">
        <f t="shared" si="20"/>
        <v>656409.44228060171</v>
      </c>
      <c r="M51" s="15">
        <f t="shared" si="10"/>
        <v>0.18932275494935785</v>
      </c>
      <c r="N51" s="13">
        <f t="shared" si="1"/>
        <v>0</v>
      </c>
      <c r="O51" s="13">
        <f t="shared" si="11"/>
        <v>-686.29925537167583</v>
      </c>
      <c r="P51" s="15">
        <f t="shared" si="2"/>
        <v>-3.8786468156485256E-3</v>
      </c>
      <c r="Q51" s="7">
        <f t="shared" si="23"/>
        <v>176942.9618089431</v>
      </c>
      <c r="R51" s="7">
        <f t="shared" si="13"/>
        <v>177629.26106431478</v>
      </c>
      <c r="S51" s="13">
        <f>IF('BANCO DE DADOS'!$AD$32="Sim",R51,Q51)</f>
        <v>177629.26106431478</v>
      </c>
      <c r="T51" s="9">
        <f t="shared" si="14"/>
        <v>47</v>
      </c>
      <c r="U51" s="18">
        <f t="shared" ca="1" si="15"/>
        <v>45809</v>
      </c>
      <c r="V51" s="119">
        <f t="shared" si="22"/>
        <v>13196206.748565741</v>
      </c>
      <c r="W51" s="58">
        <v>47</v>
      </c>
      <c r="X51" s="120">
        <f t="shared" ca="1" si="16"/>
        <v>61545</v>
      </c>
      <c r="Y51" s="5">
        <f t="shared" si="17"/>
        <v>564</v>
      </c>
      <c r="AJ51" s="213">
        <v>0.155</v>
      </c>
      <c r="AK51" s="211">
        <f t="shared" si="21"/>
        <v>5.0000000000000044E-3</v>
      </c>
    </row>
    <row r="52" spans="2:37" x14ac:dyDescent="0.2">
      <c r="B52" s="18">
        <f t="shared" ca="1" si="4"/>
        <v>45809</v>
      </c>
      <c r="C52" s="9">
        <f t="shared" si="18"/>
        <v>48</v>
      </c>
      <c r="D52" s="9">
        <v>4</v>
      </c>
      <c r="E52" s="13">
        <f t="shared" si="5"/>
        <v>2000</v>
      </c>
      <c r="F52" s="14">
        <f t="shared" si="19"/>
        <v>146000</v>
      </c>
      <c r="G52" s="15">
        <f t="shared" si="6"/>
        <v>0.80758912011752371</v>
      </c>
      <c r="H52" s="13">
        <f t="shared" si="7"/>
        <v>1138.4563440319268</v>
      </c>
      <c r="I52" s="13">
        <f t="shared" si="8"/>
        <v>34081.418152974926</v>
      </c>
      <c r="J52" s="15">
        <f t="shared" si="0"/>
        <v>0.19241087988247629</v>
      </c>
      <c r="K52" s="13">
        <f t="shared" si="9"/>
        <v>34785.001138640248</v>
      </c>
      <c r="L52" s="13">
        <f t="shared" si="20"/>
        <v>691194.44341924193</v>
      </c>
      <c r="M52" s="15">
        <f t="shared" si="10"/>
        <v>0.19241087988247629</v>
      </c>
      <c r="N52" s="13">
        <f t="shared" si="1"/>
        <v>0</v>
      </c>
      <c r="O52" s="13">
        <f t="shared" si="11"/>
        <v>-703.58298566521262</v>
      </c>
      <c r="P52" s="15">
        <f t="shared" si="2"/>
        <v>-3.9070271262942576E-3</v>
      </c>
      <c r="Q52" s="7">
        <f t="shared" si="23"/>
        <v>180081.41815297503</v>
      </c>
      <c r="R52" s="7">
        <f t="shared" si="13"/>
        <v>180785.00113864025</v>
      </c>
      <c r="S52" s="13">
        <f>IF('BANCO DE DADOS'!$AD$32="Sim",R52,Q52)</f>
        <v>180785.00113864025</v>
      </c>
      <c r="T52" s="9">
        <f t="shared" si="14"/>
        <v>48</v>
      </c>
      <c r="U52" s="18">
        <f t="shared" ca="1" si="15"/>
        <v>45839</v>
      </c>
      <c r="V52" s="119">
        <f t="shared" si="22"/>
        <v>14276931.061412023</v>
      </c>
      <c r="W52" s="58">
        <v>48</v>
      </c>
      <c r="X52" s="120">
        <f t="shared" ca="1" si="16"/>
        <v>61910</v>
      </c>
      <c r="Y52" s="5">
        <f t="shared" si="17"/>
        <v>576</v>
      </c>
      <c r="AJ52" s="213">
        <v>0.16</v>
      </c>
      <c r="AK52" s="211">
        <f t="shared" si="21"/>
        <v>5.0000000000000044E-3</v>
      </c>
    </row>
    <row r="53" spans="2:37" x14ac:dyDescent="0.2">
      <c r="B53" s="18">
        <f t="shared" ca="1" si="4"/>
        <v>45839</v>
      </c>
      <c r="C53" s="9">
        <f t="shared" si="18"/>
        <v>49</v>
      </c>
      <c r="D53" s="9"/>
      <c r="E53" s="13">
        <f t="shared" si="5"/>
        <v>2000</v>
      </c>
      <c r="F53" s="14">
        <f t="shared" si="19"/>
        <v>148000</v>
      </c>
      <c r="G53" s="15">
        <f t="shared" si="6"/>
        <v>0.804518150713739</v>
      </c>
      <c r="H53" s="13">
        <f t="shared" si="7"/>
        <v>1158.6492666483598</v>
      </c>
      <c r="I53" s="13">
        <f t="shared" si="8"/>
        <v>35240.067419623287</v>
      </c>
      <c r="J53" s="15">
        <f t="shared" si="0"/>
        <v>0.195481849286261</v>
      </c>
      <c r="K53" s="13">
        <f t="shared" si="9"/>
        <v>35961.045339623262</v>
      </c>
      <c r="L53" s="13">
        <f t="shared" si="20"/>
        <v>727155.48875886516</v>
      </c>
      <c r="M53" s="15">
        <f t="shared" si="10"/>
        <v>0.195481849286261</v>
      </c>
      <c r="N53" s="13">
        <f t="shared" si="1"/>
        <v>0</v>
      </c>
      <c r="O53" s="13">
        <f t="shared" si="11"/>
        <v>-720.9779199998593</v>
      </c>
      <c r="P53" s="15">
        <f t="shared" si="2"/>
        <v>-3.9346084628358357E-3</v>
      </c>
      <c r="Q53" s="7">
        <f t="shared" si="23"/>
        <v>183240.0674196234</v>
      </c>
      <c r="R53" s="7">
        <f t="shared" si="13"/>
        <v>183961.04533962326</v>
      </c>
      <c r="S53" s="13">
        <f>IF('BANCO DE DADOS'!$AD$32="Sim",R53,Q53)</f>
        <v>183961.04533962326</v>
      </c>
      <c r="T53" s="9">
        <f t="shared" si="14"/>
        <v>49</v>
      </c>
      <c r="U53" s="18">
        <f t="shared" ca="1" si="15"/>
        <v>45870</v>
      </c>
      <c r="V53" s="119">
        <f t="shared" si="22"/>
        <v>15444113.319286009</v>
      </c>
      <c r="W53" s="58">
        <v>49</v>
      </c>
      <c r="X53" s="120">
        <f t="shared" ca="1" si="16"/>
        <v>62275</v>
      </c>
      <c r="Y53" s="5">
        <f t="shared" si="17"/>
        <v>588</v>
      </c>
      <c r="AJ53" s="213">
        <v>0.16500000000000001</v>
      </c>
      <c r="AK53" s="211">
        <f t="shared" si="21"/>
        <v>5.0000000000000044E-3</v>
      </c>
    </row>
    <row r="54" spans="2:37" x14ac:dyDescent="0.2">
      <c r="B54" s="18">
        <f t="shared" ca="1" si="4"/>
        <v>45870</v>
      </c>
      <c r="C54" s="9">
        <f t="shared" si="18"/>
        <v>50</v>
      </c>
      <c r="D54" s="9"/>
      <c r="E54" s="13">
        <f t="shared" si="5"/>
        <v>2000</v>
      </c>
      <c r="F54" s="14">
        <f t="shared" si="19"/>
        <v>150000</v>
      </c>
      <c r="G54" s="15">
        <f t="shared" si="6"/>
        <v>0.80146390350757779</v>
      </c>
      <c r="H54" s="13">
        <f t="shared" si="7"/>
        <v>1178.9721111369156</v>
      </c>
      <c r="I54" s="13">
        <f t="shared" si="8"/>
        <v>36419.039530760201</v>
      </c>
      <c r="J54" s="15">
        <f t="shared" si="0"/>
        <v>0.19853609649242221</v>
      </c>
      <c r="K54" s="13">
        <f t="shared" si="9"/>
        <v>37157.524304626102</v>
      </c>
      <c r="L54" s="13">
        <f t="shared" si="20"/>
        <v>764313.01306349132</v>
      </c>
      <c r="M54" s="15">
        <f t="shared" si="10"/>
        <v>0.19853609649242221</v>
      </c>
      <c r="N54" s="13">
        <f t="shared" si="1"/>
        <v>0</v>
      </c>
      <c r="O54" s="13">
        <f t="shared" si="11"/>
        <v>-738.48477386578452</v>
      </c>
      <c r="P54" s="15">
        <f t="shared" si="2"/>
        <v>-3.9614235526834688E-3</v>
      </c>
      <c r="Q54" s="7">
        <f t="shared" si="23"/>
        <v>186419.03953076032</v>
      </c>
      <c r="R54" s="7">
        <f t="shared" si="13"/>
        <v>187157.5243046261</v>
      </c>
      <c r="S54" s="13">
        <f>IF('BANCO DE DADOS'!$AD$32="Sim",R54,Q54)</f>
        <v>187157.5243046261</v>
      </c>
      <c r="T54" s="9">
        <f t="shared" si="14"/>
        <v>50</v>
      </c>
      <c r="U54" s="18">
        <f t="shared" ca="1" si="15"/>
        <v>45901</v>
      </c>
      <c r="V54" s="119">
        <f t="shared" si="22"/>
        <v>16704670.157789914</v>
      </c>
      <c r="W54" s="58">
        <v>50</v>
      </c>
      <c r="X54" s="120">
        <f t="shared" ca="1" si="16"/>
        <v>62640</v>
      </c>
      <c r="Y54" s="5">
        <f t="shared" si="17"/>
        <v>600</v>
      </c>
      <c r="AJ54" s="213">
        <v>0.17</v>
      </c>
      <c r="AK54" s="211">
        <f t="shared" si="21"/>
        <v>5.0000000000000044E-3</v>
      </c>
    </row>
    <row r="55" spans="2:37" x14ac:dyDescent="0.2">
      <c r="B55" s="18">
        <f t="shared" ca="1" si="4"/>
        <v>45901</v>
      </c>
      <c r="C55" s="9">
        <f t="shared" si="18"/>
        <v>51</v>
      </c>
      <c r="D55" s="9"/>
      <c r="E55" s="13">
        <f t="shared" si="5"/>
        <v>2000</v>
      </c>
      <c r="F55" s="14">
        <f t="shared" si="19"/>
        <v>152000</v>
      </c>
      <c r="G55" s="15">
        <f t="shared" si="6"/>
        <v>0.79842596828979062</v>
      </c>
      <c r="H55" s="13">
        <f t="shared" si="7"/>
        <v>1199.4257134188317</v>
      </c>
      <c r="I55" s="13">
        <f t="shared" si="8"/>
        <v>37618.465244179031</v>
      </c>
      <c r="J55" s="15">
        <f t="shared" si="0"/>
        <v>0.20157403171020938</v>
      </c>
      <c r="K55" s="13">
        <f t="shared" si="9"/>
        <v>38374.569511535781</v>
      </c>
      <c r="L55" s="13">
        <f t="shared" si="20"/>
        <v>802687.58257502713</v>
      </c>
      <c r="M55" s="15">
        <f t="shared" si="10"/>
        <v>0.20157403171020943</v>
      </c>
      <c r="N55" s="13">
        <f t="shared" si="1"/>
        <v>0</v>
      </c>
      <c r="O55" s="13">
        <f t="shared" si="11"/>
        <v>-756.10426735662622</v>
      </c>
      <c r="P55" s="15">
        <f t="shared" si="2"/>
        <v>-3.9875033604082864E-3</v>
      </c>
      <c r="Q55" s="7">
        <f t="shared" si="23"/>
        <v>189618.46524417915</v>
      </c>
      <c r="R55" s="7">
        <f t="shared" si="13"/>
        <v>190374.56951153578</v>
      </c>
      <c r="S55" s="13">
        <f>IF('BANCO DE DADOS'!$AD$32="Sim",R55,Q55)</f>
        <v>190374.56951153578</v>
      </c>
      <c r="T55" s="9">
        <f t="shared" si="14"/>
        <v>51</v>
      </c>
      <c r="U55" s="18">
        <f t="shared" ca="1" si="15"/>
        <v>45931</v>
      </c>
      <c r="V55" s="24"/>
      <c r="W55" s="24"/>
      <c r="X55" s="24"/>
      <c r="AJ55" s="213">
        <v>0.17499999999999999</v>
      </c>
      <c r="AK55" s="211">
        <f t="shared" si="21"/>
        <v>4.9999999999999767E-3</v>
      </c>
    </row>
    <row r="56" spans="2:37" x14ac:dyDescent="0.2">
      <c r="B56" s="18">
        <f t="shared" ca="1" si="4"/>
        <v>45931</v>
      </c>
      <c r="C56" s="9">
        <f t="shared" si="18"/>
        <v>52</v>
      </c>
      <c r="D56" s="9"/>
      <c r="E56" s="13">
        <f t="shared" si="5"/>
        <v>2000</v>
      </c>
      <c r="F56" s="14">
        <f t="shared" si="19"/>
        <v>154000</v>
      </c>
      <c r="G56" s="15">
        <f t="shared" si="6"/>
        <v>0.79540395643105877</v>
      </c>
      <c r="H56" s="13">
        <f t="shared" si="7"/>
        <v>1220.0109147936876</v>
      </c>
      <c r="I56" s="13">
        <f t="shared" si="8"/>
        <v>38838.47615897272</v>
      </c>
      <c r="J56" s="15">
        <f t="shared" si="0"/>
        <v>0.20459604356894123</v>
      </c>
      <c r="K56" s="13">
        <f t="shared" si="9"/>
        <v>39612.313284171949</v>
      </c>
      <c r="L56" s="13">
        <f t="shared" si="20"/>
        <v>842299.89585919911</v>
      </c>
      <c r="M56" s="15">
        <f t="shared" si="10"/>
        <v>0.20459604356894126</v>
      </c>
      <c r="N56" s="13">
        <f t="shared" si="1"/>
        <v>0</v>
      </c>
      <c r="O56" s="13">
        <f t="shared" si="11"/>
        <v>-773.83712519911933</v>
      </c>
      <c r="P56" s="15">
        <f t="shared" si="2"/>
        <v>-4.0128772048643492E-3</v>
      </c>
      <c r="Q56" s="7">
        <f t="shared" si="23"/>
        <v>192838.47615897283</v>
      </c>
      <c r="R56" s="7">
        <f t="shared" si="13"/>
        <v>193612.31328417195</v>
      </c>
      <c r="S56" s="13">
        <f>IF('BANCO DE DADOS'!$AD$32="Sim",R56,Q56)</f>
        <v>193612.31328417195</v>
      </c>
      <c r="T56" s="9">
        <f t="shared" si="14"/>
        <v>52</v>
      </c>
      <c r="U56" s="18">
        <f t="shared" ca="1" si="15"/>
        <v>45962</v>
      </c>
      <c r="V56" s="24"/>
      <c r="W56" s="24"/>
      <c r="X56" s="24"/>
      <c r="AJ56" s="213">
        <v>0.18</v>
      </c>
      <c r="AK56" s="211">
        <f t="shared" si="21"/>
        <v>5.0000000000000044E-3</v>
      </c>
    </row>
    <row r="57" spans="2:37" x14ac:dyDescent="0.2">
      <c r="B57" s="18">
        <f t="shared" ca="1" si="4"/>
        <v>45962</v>
      </c>
      <c r="C57" s="9">
        <f t="shared" si="18"/>
        <v>53</v>
      </c>
      <c r="D57" s="9"/>
      <c r="E57" s="13">
        <f t="shared" si="5"/>
        <v>2000</v>
      </c>
      <c r="F57" s="14">
        <f t="shared" si="19"/>
        <v>156000</v>
      </c>
      <c r="G57" s="15">
        <f t="shared" si="6"/>
        <v>0.79239749946107296</v>
      </c>
      <c r="H57" s="13">
        <f t="shared" si="7"/>
        <v>1240.7285619740098</v>
      </c>
      <c r="I57" s="13">
        <f t="shared" si="8"/>
        <v>40079.204720946727</v>
      </c>
      <c r="J57" s="15">
        <f t="shared" si="0"/>
        <v>0.20760250053892704</v>
      </c>
      <c r="K57" s="13">
        <f t="shared" si="9"/>
        <v>40870.888797729742</v>
      </c>
      <c r="L57" s="13">
        <f t="shared" si="20"/>
        <v>883170.78465692885</v>
      </c>
      <c r="M57" s="15">
        <f t="shared" si="10"/>
        <v>0.20760250053892709</v>
      </c>
      <c r="N57" s="13">
        <f t="shared" si="1"/>
        <v>0</v>
      </c>
      <c r="O57" s="13">
        <f t="shared" si="11"/>
        <v>-791.68407678289805</v>
      </c>
      <c r="P57" s="15">
        <f t="shared" si="2"/>
        <v>-4.0375728670951896E-3</v>
      </c>
      <c r="Q57" s="7">
        <f t="shared" si="23"/>
        <v>196079.20472094684</v>
      </c>
      <c r="R57" s="7">
        <f t="shared" si="13"/>
        <v>196870.88879772974</v>
      </c>
      <c r="S57" s="13">
        <f>IF('BANCO DE DADOS'!$AD$32="Sim",R57,Q57)</f>
        <v>196870.88879772974</v>
      </c>
      <c r="T57" s="9">
        <f t="shared" si="14"/>
        <v>53</v>
      </c>
      <c r="U57" s="18">
        <f t="shared" ca="1" si="15"/>
        <v>45992</v>
      </c>
      <c r="V57" s="24"/>
      <c r="W57" s="24"/>
      <c r="X57" s="24"/>
      <c r="AJ57" s="213">
        <v>0.185</v>
      </c>
      <c r="AK57" s="211">
        <f t="shared" si="21"/>
        <v>5.0000000000000044E-3</v>
      </c>
    </row>
    <row r="58" spans="2:37" x14ac:dyDescent="0.2">
      <c r="B58" s="18">
        <f t="shared" ca="1" si="4"/>
        <v>45992</v>
      </c>
      <c r="C58" s="9">
        <f t="shared" si="18"/>
        <v>54</v>
      </c>
      <c r="D58" s="9"/>
      <c r="E58" s="13">
        <f t="shared" si="5"/>
        <v>2000</v>
      </c>
      <c r="F58" s="14">
        <f t="shared" si="19"/>
        <v>158000</v>
      </c>
      <c r="G58" s="15">
        <f t="shared" si="6"/>
        <v>0.7894062477581818</v>
      </c>
      <c r="H58" s="13">
        <f t="shared" si="7"/>
        <v>1261.5795071200987</v>
      </c>
      <c r="I58" s="13">
        <f t="shared" si="8"/>
        <v>41340.784228066826</v>
      </c>
      <c r="J58" s="15">
        <f t="shared" si="0"/>
        <v>0.2105937522418182</v>
      </c>
      <c r="K58" s="13">
        <f t="shared" si="9"/>
        <v>42150.430084257474</v>
      </c>
      <c r="L58" s="13">
        <f t="shared" si="20"/>
        <v>925321.21474118636</v>
      </c>
      <c r="M58" s="15">
        <f t="shared" si="10"/>
        <v>0.2105937522418182</v>
      </c>
      <c r="N58" s="13">
        <f t="shared" si="1"/>
        <v>0</v>
      </c>
      <c r="O58" s="13">
        <f t="shared" si="11"/>
        <v>-809.64585619053105</v>
      </c>
      <c r="P58" s="15">
        <f t="shared" si="2"/>
        <v>-4.0616166898601669E-3</v>
      </c>
      <c r="Q58" s="7">
        <f t="shared" si="23"/>
        <v>199340.78422806694</v>
      </c>
      <c r="R58" s="7">
        <f t="shared" si="13"/>
        <v>200150.43008425747</v>
      </c>
      <c r="S58" s="13">
        <f>IF('BANCO DE DADOS'!$AD$32="Sim",R58,Q58)</f>
        <v>200150.43008425747</v>
      </c>
      <c r="T58" s="9">
        <f t="shared" si="14"/>
        <v>54</v>
      </c>
      <c r="U58" s="18">
        <f t="shared" ca="1" si="15"/>
        <v>46023</v>
      </c>
      <c r="V58" s="24"/>
      <c r="W58" s="24"/>
      <c r="X58" s="24"/>
      <c r="AJ58" s="213">
        <v>0.19</v>
      </c>
      <c r="AK58" s="211">
        <f t="shared" si="21"/>
        <v>5.0000000000000044E-3</v>
      </c>
    </row>
    <row r="59" spans="2:37" x14ac:dyDescent="0.2">
      <c r="B59" s="18">
        <f t="shared" ca="1" si="4"/>
        <v>46023</v>
      </c>
      <c r="C59" s="9">
        <f t="shared" si="18"/>
        <v>55</v>
      </c>
      <c r="D59" s="9"/>
      <c r="E59" s="13">
        <f t="shared" si="5"/>
        <v>2000</v>
      </c>
      <c r="F59" s="14">
        <f t="shared" si="19"/>
        <v>160000</v>
      </c>
      <c r="G59" s="15">
        <f t="shared" si="6"/>
        <v>0.78642986933970149</v>
      </c>
      <c r="H59" s="13">
        <f t="shared" si="7"/>
        <v>1282.5646078750797</v>
      </c>
      <c r="I59" s="13">
        <f t="shared" si="8"/>
        <v>42623.348835941906</v>
      </c>
      <c r="J59" s="15">
        <f t="shared" si="0"/>
        <v>0.21357013066029851</v>
      </c>
      <c r="K59" s="13">
        <f t="shared" si="9"/>
        <v>43451.072038169717</v>
      </c>
      <c r="L59" s="13">
        <f t="shared" si="20"/>
        <v>968772.28677935607</v>
      </c>
      <c r="M59" s="15">
        <f t="shared" si="10"/>
        <v>0.21357013066029853</v>
      </c>
      <c r="N59" s="13">
        <f t="shared" si="1"/>
        <v>0</v>
      </c>
      <c r="O59" s="13">
        <f t="shared" si="11"/>
        <v>-827.72320222770213</v>
      </c>
      <c r="P59" s="15">
        <f t="shared" si="2"/>
        <v>-4.0850336695297858E-3</v>
      </c>
      <c r="Q59" s="7">
        <f t="shared" si="23"/>
        <v>202623.34883594202</v>
      </c>
      <c r="R59" s="7">
        <f t="shared" si="13"/>
        <v>203451.07203816972</v>
      </c>
      <c r="S59" s="13">
        <f>IF('BANCO DE DADOS'!$AD$32="Sim",R59,Q59)</f>
        <v>203451.07203816972</v>
      </c>
      <c r="T59" s="9">
        <f t="shared" si="14"/>
        <v>55</v>
      </c>
      <c r="U59" s="18">
        <f t="shared" ca="1" si="15"/>
        <v>46054</v>
      </c>
      <c r="V59" s="24"/>
      <c r="W59" s="24"/>
      <c r="X59" s="24"/>
      <c r="AJ59" s="213">
        <v>0.19500000000000001</v>
      </c>
      <c r="AK59" s="211">
        <f t="shared" si="21"/>
        <v>5.0000000000000044E-3</v>
      </c>
    </row>
    <row r="60" spans="2:37" x14ac:dyDescent="0.2">
      <c r="B60" s="18">
        <f t="shared" ca="1" si="4"/>
        <v>46054</v>
      </c>
      <c r="C60" s="9">
        <f t="shared" si="18"/>
        <v>56</v>
      </c>
      <c r="D60" s="9"/>
      <c r="E60" s="13">
        <f t="shared" si="5"/>
        <v>2000</v>
      </c>
      <c r="F60" s="14">
        <f t="shared" si="19"/>
        <v>162000</v>
      </c>
      <c r="G60" s="15">
        <f t="shared" si="6"/>
        <v>0.78346804874397979</v>
      </c>
      <c r="H60" s="13">
        <f t="shared" si="7"/>
        <v>1303.6847274001793</v>
      </c>
      <c r="I60" s="13">
        <f t="shared" si="8"/>
        <v>43927.033563342084</v>
      </c>
      <c r="J60" s="15">
        <f t="shared" si="0"/>
        <v>0.21653195125602021</v>
      </c>
      <c r="K60" s="13">
        <f t="shared" si="9"/>
        <v>44772.950421795773</v>
      </c>
      <c r="L60" s="13">
        <f t="shared" si="20"/>
        <v>1013545.2372011519</v>
      </c>
      <c r="M60" s="15">
        <f t="shared" si="10"/>
        <v>0.21653195125602023</v>
      </c>
      <c r="N60" s="13">
        <f t="shared" si="1"/>
        <v>0</v>
      </c>
      <c r="O60" s="13">
        <f t="shared" si="11"/>
        <v>-845.91685845356551</v>
      </c>
      <c r="P60" s="15">
        <f t="shared" si="2"/>
        <v>-4.1078475410241139E-3</v>
      </c>
      <c r="Q60" s="7">
        <f t="shared" si="23"/>
        <v>205927.03356334221</v>
      </c>
      <c r="R60" s="7">
        <f t="shared" si="13"/>
        <v>206772.95042179577</v>
      </c>
      <c r="S60" s="13">
        <f>IF('BANCO DE DADOS'!$AD$32="Sim",R60,Q60)</f>
        <v>206772.95042179577</v>
      </c>
      <c r="T60" s="9">
        <f t="shared" si="14"/>
        <v>56</v>
      </c>
      <c r="U60" s="18">
        <f t="shared" ca="1" si="15"/>
        <v>46082</v>
      </c>
      <c r="V60" s="24"/>
      <c r="W60" s="24"/>
      <c r="X60" s="24"/>
      <c r="AJ60" s="213">
        <v>0.2</v>
      </c>
      <c r="AK60" s="211">
        <f t="shared" si="21"/>
        <v>5.0000000000000044E-3</v>
      </c>
    </row>
    <row r="61" spans="2:37" x14ac:dyDescent="0.2">
      <c r="B61" s="18">
        <f t="shared" ca="1" si="4"/>
        <v>46082</v>
      </c>
      <c r="C61" s="9">
        <f t="shared" si="18"/>
        <v>57</v>
      </c>
      <c r="D61" s="9"/>
      <c r="E61" s="13">
        <f t="shared" si="5"/>
        <v>2000</v>
      </c>
      <c r="F61" s="14">
        <f t="shared" si="19"/>
        <v>164000</v>
      </c>
      <c r="G61" s="15">
        <f t="shared" si="6"/>
        <v>0.78052048599619828</v>
      </c>
      <c r="H61" s="13">
        <f t="shared" si="7"/>
        <v>1324.9407344102308</v>
      </c>
      <c r="I61" s="13">
        <f t="shared" si="8"/>
        <v>45251.974297752313</v>
      </c>
      <c r="J61" s="15">
        <f t="shared" si="0"/>
        <v>0.21947951400380172</v>
      </c>
      <c r="K61" s="13">
        <f t="shared" si="9"/>
        <v>46116.201870963851</v>
      </c>
      <c r="L61" s="13">
        <f t="shared" si="20"/>
        <v>1059661.4390721158</v>
      </c>
      <c r="M61" s="15">
        <f t="shared" si="10"/>
        <v>0.21947951400380178</v>
      </c>
      <c r="N61" s="13">
        <f t="shared" si="1"/>
        <v>0</v>
      </c>
      <c r="O61" s="13">
        <f t="shared" si="11"/>
        <v>-864.22757321142126</v>
      </c>
      <c r="P61" s="15">
        <f t="shared" si="2"/>
        <v>-4.1300808564017641E-3</v>
      </c>
      <c r="Q61" s="7">
        <f t="shared" si="23"/>
        <v>209251.97429775243</v>
      </c>
      <c r="R61" s="7">
        <f t="shared" si="13"/>
        <v>210116.20187096385</v>
      </c>
      <c r="S61" s="13">
        <f>IF('BANCO DE DADOS'!$AD$32="Sim",R61,Q61)</f>
        <v>210116.20187096385</v>
      </c>
      <c r="T61" s="9">
        <f t="shared" si="14"/>
        <v>57</v>
      </c>
      <c r="U61" s="18">
        <f t="shared" ca="1" si="15"/>
        <v>46113</v>
      </c>
      <c r="V61" s="24"/>
      <c r="W61" s="24"/>
      <c r="X61" s="24"/>
      <c r="AJ61" s="213">
        <v>0.20499999999999999</v>
      </c>
      <c r="AK61" s="211">
        <f t="shared" si="21"/>
        <v>4.9999999999999767E-3</v>
      </c>
    </row>
    <row r="62" spans="2:37" x14ac:dyDescent="0.2">
      <c r="B62" s="18">
        <f t="shared" ca="1" si="4"/>
        <v>46113</v>
      </c>
      <c r="C62" s="9">
        <f t="shared" si="18"/>
        <v>58</v>
      </c>
      <c r="D62" s="9"/>
      <c r="E62" s="13">
        <f t="shared" si="5"/>
        <v>2000</v>
      </c>
      <c r="F62" s="14">
        <f t="shared" si="19"/>
        <v>166000</v>
      </c>
      <c r="G62" s="15">
        <f t="shared" si="6"/>
        <v>0.77758689565068506</v>
      </c>
      <c r="H62" s="13">
        <f t="shared" si="7"/>
        <v>1346.333503209403</v>
      </c>
      <c r="I62" s="13">
        <f t="shared" si="8"/>
        <v>46598.307800961717</v>
      </c>
      <c r="J62" s="15">
        <f t="shared" si="0"/>
        <v>0.22241310434931494</v>
      </c>
      <c r="K62" s="13">
        <f t="shared" si="9"/>
        <v>47480.963900621195</v>
      </c>
      <c r="L62" s="13">
        <f t="shared" si="20"/>
        <v>1107142.4029727371</v>
      </c>
      <c r="M62" s="15">
        <f t="shared" si="10"/>
        <v>0.22241310434931494</v>
      </c>
      <c r="N62" s="13">
        <f t="shared" si="1"/>
        <v>0</v>
      </c>
      <c r="O62" s="13">
        <f t="shared" si="11"/>
        <v>-882.65609965936164</v>
      </c>
      <c r="P62" s="15">
        <f t="shared" si="2"/>
        <v>-4.151755057644764E-3</v>
      </c>
      <c r="Q62" s="7">
        <f t="shared" si="23"/>
        <v>212598.30780096183</v>
      </c>
      <c r="R62" s="7">
        <f t="shared" si="13"/>
        <v>213480.96390062119</v>
      </c>
      <c r="S62" s="13">
        <f>IF('BANCO DE DADOS'!$AD$32="Sim",R62,Q62)</f>
        <v>213480.96390062119</v>
      </c>
      <c r="T62" s="9">
        <f t="shared" si="14"/>
        <v>58</v>
      </c>
      <c r="U62" s="18">
        <f t="shared" ca="1" si="15"/>
        <v>46143</v>
      </c>
      <c r="V62" s="24"/>
      <c r="W62" s="24"/>
      <c r="X62" s="24"/>
      <c r="AJ62" s="213">
        <v>0.21</v>
      </c>
      <c r="AK62" s="211">
        <f t="shared" si="21"/>
        <v>5.0000000000000044E-3</v>
      </c>
    </row>
    <row r="63" spans="2:37" x14ac:dyDescent="0.2">
      <c r="B63" s="18">
        <f t="shared" ca="1" si="4"/>
        <v>46143</v>
      </c>
      <c r="C63" s="9">
        <f t="shared" si="18"/>
        <v>59</v>
      </c>
      <c r="D63" s="9"/>
      <c r="E63" s="13">
        <f t="shared" si="5"/>
        <v>2000</v>
      </c>
      <c r="F63" s="14">
        <f t="shared" si="19"/>
        <v>168000</v>
      </c>
      <c r="G63" s="15">
        <f t="shared" si="6"/>
        <v>0.77466700590321702</v>
      </c>
      <c r="H63" s="13">
        <f t="shared" si="7"/>
        <v>1367.8639137271655</v>
      </c>
      <c r="I63" s="13">
        <f t="shared" si="8"/>
        <v>47966.171714688884</v>
      </c>
      <c r="J63" s="15">
        <f t="shared" si="0"/>
        <v>0.22533299409678298</v>
      </c>
      <c r="K63" s="13">
        <f t="shared" si="9"/>
        <v>48867.374910490355</v>
      </c>
      <c r="L63" s="13">
        <f t="shared" si="20"/>
        <v>1156009.7778832274</v>
      </c>
      <c r="M63" s="15">
        <f t="shared" si="10"/>
        <v>0.22533299409678303</v>
      </c>
      <c r="N63" s="13">
        <f t="shared" si="1"/>
        <v>0</v>
      </c>
      <c r="O63" s="13">
        <f t="shared" si="11"/>
        <v>-901.20319580135401</v>
      </c>
      <c r="P63" s="15">
        <f t="shared" si="2"/>
        <v>-4.1728905441354288E-3</v>
      </c>
      <c r="Q63" s="7">
        <f t="shared" si="23"/>
        <v>215966.171714689</v>
      </c>
      <c r="R63" s="7">
        <f t="shared" si="13"/>
        <v>216867.37491049035</v>
      </c>
      <c r="S63" s="13">
        <f>IF('BANCO DE DADOS'!$AD$32="Sim",R63,Q63)</f>
        <v>216867.37491049035</v>
      </c>
      <c r="T63" s="9">
        <f t="shared" si="14"/>
        <v>59</v>
      </c>
      <c r="U63" s="18">
        <f t="shared" ca="1" si="15"/>
        <v>46174</v>
      </c>
      <c r="V63" s="24"/>
      <c r="W63" s="24"/>
      <c r="X63" s="24"/>
      <c r="AJ63" s="213">
        <v>0.215</v>
      </c>
      <c r="AK63" s="211">
        <f t="shared" si="21"/>
        <v>5.0000000000000044E-3</v>
      </c>
    </row>
    <row r="64" spans="2:37" x14ac:dyDescent="0.2">
      <c r="B64" s="18">
        <f t="shared" ca="1" si="4"/>
        <v>46174</v>
      </c>
      <c r="C64" s="9">
        <f t="shared" si="18"/>
        <v>60</v>
      </c>
      <c r="D64" s="9">
        <v>5</v>
      </c>
      <c r="E64" s="13">
        <f t="shared" si="5"/>
        <v>2000</v>
      </c>
      <c r="F64" s="14">
        <f t="shared" si="19"/>
        <v>170000</v>
      </c>
      <c r="G64" s="15">
        <f t="shared" si="6"/>
        <v>0.77176055776741503</v>
      </c>
      <c r="H64" s="13">
        <f t="shared" si="7"/>
        <v>1389.5328515544802</v>
      </c>
      <c r="I64" s="13">
        <f t="shared" si="8"/>
        <v>49355.704566243367</v>
      </c>
      <c r="J64" s="15">
        <f t="shared" si="0"/>
        <v>0.22823944223258497</v>
      </c>
      <c r="K64" s="13">
        <f t="shared" si="9"/>
        <v>50275.574190761865</v>
      </c>
      <c r="L64" s="13">
        <f t="shared" si="20"/>
        <v>1206285.3520739893</v>
      </c>
      <c r="M64" s="15">
        <f t="shared" si="10"/>
        <v>0.22823944223258491</v>
      </c>
      <c r="N64" s="13">
        <f t="shared" si="1"/>
        <v>0</v>
      </c>
      <c r="O64" s="13">
        <f t="shared" si="11"/>
        <v>-919.8696245183819</v>
      </c>
      <c r="P64" s="15">
        <f t="shared" si="2"/>
        <v>-4.1935067352697423E-3</v>
      </c>
      <c r="Q64" s="7">
        <f t="shared" si="23"/>
        <v>219355.70456624348</v>
      </c>
      <c r="R64" s="7">
        <f t="shared" si="13"/>
        <v>220275.57419076186</v>
      </c>
      <c r="S64" s="13">
        <f>IF('BANCO DE DADOS'!$AD$32="Sim",R64,Q64)</f>
        <v>220275.57419076186</v>
      </c>
      <c r="T64" s="9">
        <f t="shared" si="14"/>
        <v>60</v>
      </c>
      <c r="U64" s="18">
        <f t="shared" ca="1" si="15"/>
        <v>46204</v>
      </c>
      <c r="V64" s="24"/>
      <c r="W64" s="24"/>
      <c r="X64" s="24"/>
      <c r="AJ64" s="213">
        <v>0.22</v>
      </c>
      <c r="AK64" s="211">
        <f t="shared" si="21"/>
        <v>5.0000000000000044E-3</v>
      </c>
    </row>
    <row r="65" spans="2:37" x14ac:dyDescent="0.2">
      <c r="B65" s="18">
        <f t="shared" ca="1" si="4"/>
        <v>46204</v>
      </c>
      <c r="C65" s="9">
        <f t="shared" si="18"/>
        <v>61</v>
      </c>
      <c r="D65" s="9"/>
      <c r="E65" s="13">
        <f t="shared" si="5"/>
        <v>2000</v>
      </c>
      <c r="F65" s="14">
        <f t="shared" si="19"/>
        <v>172000</v>
      </c>
      <c r="G65" s="15">
        <f t="shared" si="6"/>
        <v>0.76886730430990147</v>
      </c>
      <c r="H65" s="13">
        <f t="shared" si="7"/>
        <v>1411.3412079802274</v>
      </c>
      <c r="I65" s="13">
        <f t="shared" si="8"/>
        <v>50767.045774223596</v>
      </c>
      <c r="J65" s="15">
        <f t="shared" si="0"/>
        <v>0.23113269569009853</v>
      </c>
      <c r="K65" s="13">
        <f t="shared" si="9"/>
        <v>51705.701927823538</v>
      </c>
      <c r="L65" s="13">
        <f t="shared" si="20"/>
        <v>1257991.0540018128</v>
      </c>
      <c r="M65" s="15">
        <f t="shared" si="10"/>
        <v>0.23113269569009859</v>
      </c>
      <c r="N65" s="13">
        <f t="shared" si="1"/>
        <v>0</v>
      </c>
      <c r="O65" s="13">
        <f t="shared" si="11"/>
        <v>-938.65615359981894</v>
      </c>
      <c r="P65" s="15">
        <f t="shared" si="2"/>
        <v>-4.2136221286121238E-3</v>
      </c>
      <c r="Q65" s="7">
        <f t="shared" si="23"/>
        <v>222767.04577422372</v>
      </c>
      <c r="R65" s="7">
        <f t="shared" si="13"/>
        <v>223705.70192782354</v>
      </c>
      <c r="S65" s="13">
        <f>IF('BANCO DE DADOS'!$AD$32="Sim",R65,Q65)</f>
        <v>223705.70192782354</v>
      </c>
      <c r="T65" s="9">
        <f t="shared" si="14"/>
        <v>61</v>
      </c>
      <c r="U65" s="18">
        <f t="shared" ca="1" si="15"/>
        <v>46235</v>
      </c>
      <c r="V65" s="24"/>
      <c r="W65" s="24"/>
      <c r="X65" s="24"/>
      <c r="AJ65" s="213">
        <v>0.22500000000000001</v>
      </c>
      <c r="AK65" s="211">
        <f t="shared" si="21"/>
        <v>5.0000000000000044E-3</v>
      </c>
    </row>
    <row r="66" spans="2:37" x14ac:dyDescent="0.2">
      <c r="B66" s="18">
        <f t="shared" ca="1" si="4"/>
        <v>46235</v>
      </c>
      <c r="C66" s="9">
        <f t="shared" si="18"/>
        <v>62</v>
      </c>
      <c r="D66" s="9"/>
      <c r="E66" s="13">
        <f t="shared" si="5"/>
        <v>2000</v>
      </c>
      <c r="F66" s="14">
        <f t="shared" si="19"/>
        <v>174000</v>
      </c>
      <c r="G66" s="15">
        <f t="shared" si="6"/>
        <v>0.76598700993938296</v>
      </c>
      <c r="H66" s="13">
        <f t="shared" si="7"/>
        <v>1433.2898800278679</v>
      </c>
      <c r="I66" s="13">
        <f t="shared" si="8"/>
        <v>52200.335654251467</v>
      </c>
      <c r="J66" s="15">
        <f t="shared" si="0"/>
        <v>0.23401299006061704</v>
      </c>
      <c r="K66" s="13">
        <f t="shared" si="9"/>
        <v>53157.899210026604</v>
      </c>
      <c r="L66" s="13">
        <f t="shared" si="20"/>
        <v>1311148.9532118393</v>
      </c>
      <c r="M66" s="15">
        <f t="shared" si="10"/>
        <v>0.23401299006061704</v>
      </c>
      <c r="N66" s="13">
        <f t="shared" si="1"/>
        <v>0</v>
      </c>
      <c r="O66" s="13">
        <f t="shared" si="11"/>
        <v>-957.56355577500653</v>
      </c>
      <c r="P66" s="15">
        <f t="shared" si="2"/>
        <v>-4.2332543539574915E-3</v>
      </c>
      <c r="Q66" s="7">
        <f t="shared" si="23"/>
        <v>226200.3356542516</v>
      </c>
      <c r="R66" s="7">
        <f t="shared" si="13"/>
        <v>227157.8992100266</v>
      </c>
      <c r="S66" s="13">
        <f>IF('BANCO DE DADOS'!$AD$32="Sim",R66,Q66)</f>
        <v>227157.8992100266</v>
      </c>
      <c r="T66" s="9">
        <f t="shared" si="14"/>
        <v>62</v>
      </c>
      <c r="U66" s="18">
        <f t="shared" ca="1" si="15"/>
        <v>46266</v>
      </c>
      <c r="V66" s="24"/>
      <c r="W66" s="24"/>
      <c r="X66" s="24"/>
      <c r="AJ66" s="213">
        <v>0.23</v>
      </c>
      <c r="AK66" s="211">
        <f t="shared" si="21"/>
        <v>5.0000000000000044E-3</v>
      </c>
    </row>
    <row r="67" spans="2:37" x14ac:dyDescent="0.2">
      <c r="B67" s="18">
        <f t="shared" ca="1" si="4"/>
        <v>46266</v>
      </c>
      <c r="C67" s="9">
        <f t="shared" si="18"/>
        <v>63</v>
      </c>
      <c r="D67" s="9"/>
      <c r="E67" s="13">
        <f t="shared" si="5"/>
        <v>2000</v>
      </c>
      <c r="F67" s="14">
        <f t="shared" si="19"/>
        <v>176000</v>
      </c>
      <c r="G67" s="15">
        <f t="shared" si="6"/>
        <v>0.76311944974527968</v>
      </c>
      <c r="H67" s="13">
        <f t="shared" si="7"/>
        <v>1455.3797704923372</v>
      </c>
      <c r="I67" s="13">
        <f t="shared" si="8"/>
        <v>53655.715424743801</v>
      </c>
      <c r="J67" s="15">
        <f t="shared" si="0"/>
        <v>0.23688055025472032</v>
      </c>
      <c r="K67" s="13">
        <f t="shared" si="9"/>
        <v>54632.30803348904</v>
      </c>
      <c r="L67" s="13">
        <f t="shared" si="20"/>
        <v>1365781.2612453285</v>
      </c>
      <c r="M67" s="15">
        <f t="shared" si="10"/>
        <v>0.23688055025472032</v>
      </c>
      <c r="N67" s="13">
        <f t="shared" si="1"/>
        <v>0</v>
      </c>
      <c r="O67" s="13">
        <f t="shared" si="11"/>
        <v>-976.59260874509346</v>
      </c>
      <c r="P67" s="15">
        <f t="shared" si="2"/>
        <v>-4.2524202236330312E-3</v>
      </c>
      <c r="Q67" s="7">
        <f t="shared" si="23"/>
        <v>229655.71542474395</v>
      </c>
      <c r="R67" s="7">
        <f t="shared" si="13"/>
        <v>230632.30803348904</v>
      </c>
      <c r="S67" s="13">
        <f>IF('BANCO DE DADOS'!$AD$32="Sim",R67,Q67)</f>
        <v>230632.30803348904</v>
      </c>
      <c r="T67" s="9">
        <f t="shared" si="14"/>
        <v>63</v>
      </c>
      <c r="U67" s="18">
        <f t="shared" ca="1" si="15"/>
        <v>46296</v>
      </c>
      <c r="V67" s="24"/>
      <c r="W67" s="24"/>
      <c r="X67" s="24"/>
      <c r="AJ67" s="213">
        <v>0.23499999999999999</v>
      </c>
      <c r="AK67" s="211">
        <f t="shared" si="21"/>
        <v>4.9999999999999767E-3</v>
      </c>
    </row>
    <row r="68" spans="2:37" x14ac:dyDescent="0.2">
      <c r="B68" s="18">
        <f t="shared" ca="1" si="4"/>
        <v>46296</v>
      </c>
      <c r="C68" s="9">
        <f t="shared" si="18"/>
        <v>64</v>
      </c>
      <c r="D68" s="9"/>
      <c r="E68" s="13">
        <f t="shared" si="5"/>
        <v>2000</v>
      </c>
      <c r="F68" s="14">
        <f t="shared" si="19"/>
        <v>178000</v>
      </c>
      <c r="G68" s="15">
        <f t="shared" si="6"/>
        <v>0.76026440888191604</v>
      </c>
      <c r="H68" s="13">
        <f t="shared" si="7"/>
        <v>1477.6117879771818</v>
      </c>
      <c r="I68" s="13">
        <f t="shared" si="8"/>
        <v>55133.327212720986</v>
      </c>
      <c r="J68" s="15">
        <f t="shared" si="0"/>
        <v>0.23973559111808396</v>
      </c>
      <c r="K68" s="13">
        <f t="shared" si="9"/>
        <v>56129.071307936101</v>
      </c>
      <c r="L68" s="13">
        <f t="shared" si="20"/>
        <v>1421910.3325532647</v>
      </c>
      <c r="M68" s="15">
        <f t="shared" si="10"/>
        <v>0.23973559111808401</v>
      </c>
      <c r="N68" s="13">
        <f t="shared" si="1"/>
        <v>0</v>
      </c>
      <c r="O68" s="13">
        <f t="shared" si="11"/>
        <v>-995.74409521496273</v>
      </c>
      <c r="P68" s="15">
        <f t="shared" si="2"/>
        <v>-4.2711357793405571E-3</v>
      </c>
      <c r="Q68" s="7">
        <f t="shared" si="23"/>
        <v>233133.32721272114</v>
      </c>
      <c r="R68" s="7">
        <f t="shared" si="13"/>
        <v>234129.0713079361</v>
      </c>
      <c r="S68" s="13">
        <f>IF('BANCO DE DADOS'!$AD$32="Sim",R68,Q68)</f>
        <v>234129.0713079361</v>
      </c>
      <c r="T68" s="9">
        <f t="shared" si="14"/>
        <v>64</v>
      </c>
      <c r="U68" s="18">
        <f t="shared" ca="1" si="15"/>
        <v>46327</v>
      </c>
      <c r="V68" s="24"/>
      <c r="W68" s="24"/>
      <c r="X68" s="24"/>
      <c r="AJ68" s="213">
        <v>0.24</v>
      </c>
      <c r="AK68" s="211">
        <f t="shared" si="21"/>
        <v>5.0000000000000044E-3</v>
      </c>
    </row>
    <row r="69" spans="2:37" x14ac:dyDescent="0.2">
      <c r="B69" s="18">
        <f t="shared" ca="1" si="4"/>
        <v>46327</v>
      </c>
      <c r="C69" s="9">
        <f t="shared" si="18"/>
        <v>65</v>
      </c>
      <c r="D69" s="9"/>
      <c r="E69" s="13">
        <f t="shared" si="5"/>
        <v>2000</v>
      </c>
      <c r="F69" s="14">
        <f t="shared" si="19"/>
        <v>180000</v>
      </c>
      <c r="G69" s="15">
        <f t="shared" si="6"/>
        <v>0.75742168199465565</v>
      </c>
      <c r="H69" s="13">
        <f t="shared" si="7"/>
        <v>1499.9868469319299</v>
      </c>
      <c r="I69" s="13">
        <f t="shared" si="8"/>
        <v>56633.314059652912</v>
      </c>
      <c r="J69" s="15">
        <f t="shared" ref="J69:J132" si="29">1-G69</f>
        <v>0.24257831800534435</v>
      </c>
      <c r="K69" s="13">
        <f t="shared" si="9"/>
        <v>57648.332862578507</v>
      </c>
      <c r="L69" s="13">
        <f t="shared" si="20"/>
        <v>1479558.6654158433</v>
      </c>
      <c r="M69" s="15">
        <f t="shared" si="10"/>
        <v>0.24257831800534441</v>
      </c>
      <c r="N69" s="13">
        <f t="shared" ref="N69:N132" si="30">Q69*Inflação</f>
        <v>0</v>
      </c>
      <c r="O69" s="13">
        <f t="shared" si="11"/>
        <v>-1015.0188029254496</v>
      </c>
      <c r="P69" s="15">
        <f t="shared" ref="P69:P132" si="31">O69/Q69</f>
        <v>-4.2894163358147145E-3</v>
      </c>
      <c r="Q69" s="7">
        <f t="shared" si="23"/>
        <v>236633.31405965306</v>
      </c>
      <c r="R69" s="7">
        <f t="shared" si="13"/>
        <v>237648.33286257851</v>
      </c>
      <c r="S69" s="13">
        <f>IF('BANCO DE DADOS'!$AD$32="Sim",R69,Q69)</f>
        <v>237648.33286257851</v>
      </c>
      <c r="T69" s="9">
        <f t="shared" si="14"/>
        <v>65</v>
      </c>
      <c r="U69" s="18">
        <f t="shared" ca="1" si="15"/>
        <v>46357</v>
      </c>
      <c r="V69" s="24"/>
      <c r="W69" s="24"/>
      <c r="X69" s="24"/>
      <c r="AJ69" s="213">
        <v>0.245</v>
      </c>
      <c r="AK69" s="211">
        <f t="shared" si="21"/>
        <v>5.0000000000000044E-3</v>
      </c>
    </row>
    <row r="70" spans="2:37" x14ac:dyDescent="0.2">
      <c r="B70" s="18">
        <f t="shared" ref="B70:B133" ca="1" si="32">DATE(YEAR(B69),MONTH(B69)+1,1)</f>
        <v>46357</v>
      </c>
      <c r="C70" s="9">
        <f t="shared" si="18"/>
        <v>66</v>
      </c>
      <c r="D70" s="9"/>
      <c r="E70" s="13">
        <f t="shared" ref="E70:E133" si="33">IF($AE$33,IF($AE$34,$E69*(1+Inflação)*(1+Crescimento_Salário),$E69*(1+Inflação)),IF($AE$34,$E69*(1+Crescimento_Salário),$E69))</f>
        <v>2000</v>
      </c>
      <c r="F70" s="14">
        <f t="shared" ref="F70:F133" si="34">F69+E70</f>
        <v>182000</v>
      </c>
      <c r="G70" s="15">
        <f t="shared" ref="G70:G133" si="35">IF(F70&lt;=0,0,F70/S70)</f>
        <v>0.75459107268468484</v>
      </c>
      <c r="H70" s="13">
        <f t="shared" ref="H70:H133" si="36">Q69*Taxa</f>
        <v>1522.5058676897058</v>
      </c>
      <c r="I70" s="13">
        <f t="shared" ref="I70:I133" si="37">I69+H70</f>
        <v>58155.819927342614</v>
      </c>
      <c r="J70" s="15">
        <f t="shared" si="29"/>
        <v>0.24540892731531516</v>
      </c>
      <c r="K70" s="13">
        <f t="shared" ref="K70:K133" si="38">R70-F70</f>
        <v>59190.237452028465</v>
      </c>
      <c r="L70" s="13">
        <f t="shared" si="20"/>
        <v>1538748.9028678718</v>
      </c>
      <c r="M70" s="15">
        <f t="shared" ref="M70:M133" si="39">K70/R70</f>
        <v>0.24540892731531519</v>
      </c>
      <c r="N70" s="13">
        <f t="shared" si="30"/>
        <v>0</v>
      </c>
      <c r="O70" s="13">
        <f t="shared" ref="O70:O133" si="40">Q70-R70</f>
        <v>-1034.4175246857048</v>
      </c>
      <c r="P70" s="15">
        <f t="shared" si="31"/>
        <v>-4.3072765215461349E-3</v>
      </c>
      <c r="Q70" s="7">
        <f t="shared" ref="Q70:Q133" si="41">Q69+E70+H70</f>
        <v>240155.81992734276</v>
      </c>
      <c r="R70" s="7">
        <f t="shared" ref="R70:R133" si="42">(R69+E70)*(1+((1+Taxa)/(1+Inflação)-1))</f>
        <v>241190.23745202846</v>
      </c>
      <c r="S70" s="13">
        <f>IF('BANCO DE DADOS'!$AD$32="Sim",R70,Q70)</f>
        <v>241190.23745202846</v>
      </c>
      <c r="T70" s="9">
        <f t="shared" ref="T70:T133" si="43">C70</f>
        <v>66</v>
      </c>
      <c r="U70" s="18">
        <f t="shared" ref="U70:U133" ca="1" si="44">DATE(YEAR(U69),MONTH(U69)+1,1)</f>
        <v>46388</v>
      </c>
      <c r="V70" s="24"/>
      <c r="W70" s="24"/>
      <c r="X70" s="24"/>
      <c r="AJ70" s="213">
        <v>0.25</v>
      </c>
      <c r="AK70" s="211">
        <f t="shared" si="21"/>
        <v>5.0000000000000044E-3</v>
      </c>
    </row>
    <row r="71" spans="2:37" x14ac:dyDescent="0.2">
      <c r="B71" s="18">
        <f t="shared" ca="1" si="32"/>
        <v>46388</v>
      </c>
      <c r="C71" s="9">
        <f t="shared" ref="C71:C134" si="45">C70+1</f>
        <v>67</v>
      </c>
      <c r="D71" s="9"/>
      <c r="E71" s="13">
        <f t="shared" si="33"/>
        <v>2000</v>
      </c>
      <c r="F71" s="14">
        <f t="shared" si="34"/>
        <v>184000</v>
      </c>
      <c r="G71" s="15">
        <f t="shared" si="35"/>
        <v>0.75177239300944299</v>
      </c>
      <c r="H71" s="13">
        <f t="shared" si="36"/>
        <v>1545.1697765050851</v>
      </c>
      <c r="I71" s="13">
        <f t="shared" si="37"/>
        <v>59700.989703847699</v>
      </c>
      <c r="J71" s="15">
        <f t="shared" si="29"/>
        <v>0.24822760699055701</v>
      </c>
      <c r="K71" s="13">
        <f t="shared" si="38"/>
        <v>60754.930762253702</v>
      </c>
      <c r="L71" s="13">
        <f t="shared" ref="L71:L134" si="46">L70+K71</f>
        <v>1599503.8336301255</v>
      </c>
      <c r="M71" s="15">
        <f t="shared" si="39"/>
        <v>0.24822760699055699</v>
      </c>
      <c r="N71" s="13">
        <f t="shared" si="30"/>
        <v>0</v>
      </c>
      <c r="O71" s="13">
        <f t="shared" si="40"/>
        <v>-1053.9410584058496</v>
      </c>
      <c r="P71" s="15">
        <f t="shared" si="31"/>
        <v>-4.3247303167977605E-3</v>
      </c>
      <c r="Q71" s="7">
        <f t="shared" si="41"/>
        <v>243700.98970384785</v>
      </c>
      <c r="R71" s="7">
        <f t="shared" si="42"/>
        <v>244754.9307622537</v>
      </c>
      <c r="S71" s="13">
        <f>IF('BANCO DE DADOS'!$AD$32="Sim",R71,Q71)</f>
        <v>244754.9307622537</v>
      </c>
      <c r="T71" s="9">
        <f t="shared" si="43"/>
        <v>67</v>
      </c>
      <c r="U71" s="18">
        <f t="shared" ca="1" si="44"/>
        <v>46419</v>
      </c>
      <c r="V71" s="24"/>
      <c r="W71" s="24"/>
      <c r="X71" s="24"/>
      <c r="AJ71" s="213">
        <v>0.255</v>
      </c>
      <c r="AK71" s="211">
        <f t="shared" si="21"/>
        <v>5.0000000000000044E-3</v>
      </c>
    </row>
    <row r="72" spans="2:37" x14ac:dyDescent="0.2">
      <c r="B72" s="18">
        <f t="shared" ca="1" si="32"/>
        <v>46419</v>
      </c>
      <c r="C72" s="9">
        <f t="shared" si="45"/>
        <v>68</v>
      </c>
      <c r="D72" s="9"/>
      <c r="E72" s="13">
        <f t="shared" si="33"/>
        <v>2000</v>
      </c>
      <c r="F72" s="14">
        <f t="shared" si="34"/>
        <v>186000</v>
      </c>
      <c r="G72" s="15">
        <f t="shared" si="35"/>
        <v>0.74896546301596079</v>
      </c>
      <c r="H72" s="13">
        <f t="shared" si="36"/>
        <v>1567.9795055921929</v>
      </c>
      <c r="I72" s="13">
        <f t="shared" si="37"/>
        <v>61268.969209439892</v>
      </c>
      <c r="J72" s="15">
        <f t="shared" si="29"/>
        <v>0.25103453698403921</v>
      </c>
      <c r="K72" s="13">
        <f t="shared" si="38"/>
        <v>62342.559416569857</v>
      </c>
      <c r="L72" s="13">
        <f t="shared" si="46"/>
        <v>1661846.3930466953</v>
      </c>
      <c r="M72" s="15">
        <f t="shared" si="39"/>
        <v>0.25103453698403921</v>
      </c>
      <c r="N72" s="13">
        <f t="shared" si="30"/>
        <v>0</v>
      </c>
      <c r="O72" s="13">
        <f t="shared" si="40"/>
        <v>-1073.5902071298042</v>
      </c>
      <c r="P72" s="15">
        <f t="shared" si="31"/>
        <v>-4.3417910891214951E-3</v>
      </c>
      <c r="Q72" s="7">
        <f t="shared" si="41"/>
        <v>247268.96920944005</v>
      </c>
      <c r="R72" s="7">
        <f t="shared" si="42"/>
        <v>248342.55941656986</v>
      </c>
      <c r="S72" s="13">
        <f>IF('BANCO DE DADOS'!$AD$32="Sim",R72,Q72)</f>
        <v>248342.55941656986</v>
      </c>
      <c r="T72" s="9">
        <f t="shared" si="43"/>
        <v>68</v>
      </c>
      <c r="U72" s="18">
        <f t="shared" ca="1" si="44"/>
        <v>46447</v>
      </c>
      <c r="V72" s="24"/>
      <c r="W72" s="24"/>
      <c r="X72" s="24"/>
      <c r="AJ72" s="213">
        <v>0.26</v>
      </c>
      <c r="AK72" s="211">
        <f t="shared" si="21"/>
        <v>5.0000000000000044E-3</v>
      </c>
    </row>
    <row r="73" spans="2:37" x14ac:dyDescent="0.2">
      <c r="B73" s="18">
        <f t="shared" ca="1" si="32"/>
        <v>46447</v>
      </c>
      <c r="C73" s="9">
        <f t="shared" si="45"/>
        <v>69</v>
      </c>
      <c r="D73" s="9"/>
      <c r="E73" s="13">
        <f t="shared" si="33"/>
        <v>2000</v>
      </c>
      <c r="F73" s="14">
        <f t="shared" si="34"/>
        <v>188000</v>
      </c>
      <c r="G73" s="15">
        <f t="shared" si="35"/>
        <v>0.74617011030460589</v>
      </c>
      <c r="H73" s="13">
        <f t="shared" si="36"/>
        <v>1590.9359931630484</v>
      </c>
      <c r="I73" s="13">
        <f t="shared" si="37"/>
        <v>62859.905202602939</v>
      </c>
      <c r="J73" s="15">
        <f t="shared" si="29"/>
        <v>0.25382988969539411</v>
      </c>
      <c r="K73" s="13">
        <f t="shared" si="38"/>
        <v>63953.270981671376</v>
      </c>
      <c r="L73" s="13">
        <f t="shared" si="46"/>
        <v>1725799.6640283666</v>
      </c>
      <c r="M73" s="15">
        <f t="shared" si="39"/>
        <v>0.25382988969539405</v>
      </c>
      <c r="N73" s="13">
        <f t="shared" si="30"/>
        <v>0</v>
      </c>
      <c r="O73" s="13">
        <f t="shared" si="40"/>
        <v>-1093.3657790682628</v>
      </c>
      <c r="P73" s="15">
        <f t="shared" si="31"/>
        <v>-4.3584716265647272E-3</v>
      </c>
      <c r="Q73" s="7">
        <f t="shared" si="41"/>
        <v>250859.90520260311</v>
      </c>
      <c r="R73" s="7">
        <f t="shared" si="42"/>
        <v>251953.27098167138</v>
      </c>
      <c r="S73" s="13">
        <f>IF('BANCO DE DADOS'!$AD$32="Sim",R73,Q73)</f>
        <v>251953.27098167138</v>
      </c>
      <c r="T73" s="9">
        <f t="shared" si="43"/>
        <v>69</v>
      </c>
      <c r="U73" s="18">
        <f t="shared" ca="1" si="44"/>
        <v>46478</v>
      </c>
      <c r="V73" s="24"/>
      <c r="W73" s="24"/>
      <c r="X73" s="24"/>
      <c r="AJ73" s="213">
        <v>0.26500000000000001</v>
      </c>
      <c r="AK73" s="211">
        <f t="shared" si="21"/>
        <v>5.0000000000000044E-3</v>
      </c>
    </row>
    <row r="74" spans="2:37" x14ac:dyDescent="0.2">
      <c r="B74" s="18">
        <f t="shared" ca="1" si="32"/>
        <v>46478</v>
      </c>
      <c r="C74" s="9">
        <f t="shared" si="45"/>
        <v>70</v>
      </c>
      <c r="D74" s="9"/>
      <c r="E74" s="13">
        <f t="shared" si="33"/>
        <v>2000</v>
      </c>
      <c r="F74" s="14">
        <f t="shared" si="34"/>
        <v>190000</v>
      </c>
      <c r="G74" s="15">
        <f t="shared" si="35"/>
        <v>0.74338616962095017</v>
      </c>
      <c r="H74" s="13">
        <f t="shared" si="36"/>
        <v>1614.0401834661545</v>
      </c>
      <c r="I74" s="13">
        <f t="shared" si="37"/>
        <v>64473.945386069092</v>
      </c>
      <c r="J74" s="15">
        <f t="shared" si="29"/>
        <v>0.25661383037904983</v>
      </c>
      <c r="K74" s="13">
        <f t="shared" si="38"/>
        <v>65587.21397370132</v>
      </c>
      <c r="L74" s="13">
        <f t="shared" si="46"/>
        <v>1791386.8780020678</v>
      </c>
      <c r="M74" s="15">
        <f t="shared" si="39"/>
        <v>0.25661383037904989</v>
      </c>
      <c r="N74" s="13">
        <f t="shared" si="30"/>
        <v>0</v>
      </c>
      <c r="O74" s="13">
        <f t="shared" si="40"/>
        <v>-1113.2685876320465</v>
      </c>
      <c r="P74" s="15">
        <f t="shared" si="31"/>
        <v>-4.3747841687410347E-3</v>
      </c>
      <c r="Q74" s="7">
        <f t="shared" si="41"/>
        <v>254473.94538606927</v>
      </c>
      <c r="R74" s="7">
        <f t="shared" si="42"/>
        <v>255587.21397370132</v>
      </c>
      <c r="S74" s="13">
        <f>IF('BANCO DE DADOS'!$AD$32="Sim",R74,Q74)</f>
        <v>255587.21397370132</v>
      </c>
      <c r="T74" s="9">
        <f t="shared" si="43"/>
        <v>70</v>
      </c>
      <c r="U74" s="18">
        <f t="shared" ca="1" si="44"/>
        <v>46508</v>
      </c>
      <c r="V74" s="24"/>
      <c r="W74" s="24"/>
      <c r="X74" s="24"/>
      <c r="AJ74" s="213">
        <v>0.27</v>
      </c>
      <c r="AK74" s="211">
        <f t="shared" si="21"/>
        <v>5.0000000000000044E-3</v>
      </c>
    </row>
    <row r="75" spans="2:37" x14ac:dyDescent="0.2">
      <c r="B75" s="18">
        <f t="shared" ca="1" si="32"/>
        <v>46508</v>
      </c>
      <c r="C75" s="9">
        <f t="shared" si="45"/>
        <v>71</v>
      </c>
      <c r="D75" s="9"/>
      <c r="E75" s="13">
        <f t="shared" si="33"/>
        <v>2000</v>
      </c>
      <c r="F75" s="14">
        <f t="shared" si="34"/>
        <v>192000</v>
      </c>
      <c r="G75" s="15">
        <f t="shared" si="35"/>
        <v>0.74061348247366665</v>
      </c>
      <c r="H75" s="13">
        <f t="shared" si="36"/>
        <v>1637.2930268253383</v>
      </c>
      <c r="I75" s="13">
        <f t="shared" si="37"/>
        <v>66111.238412894425</v>
      </c>
      <c r="J75" s="15">
        <f t="shared" si="29"/>
        <v>0.25938651752633335</v>
      </c>
      <c r="K75" s="13">
        <f t="shared" si="38"/>
        <v>67244.537864359998</v>
      </c>
      <c r="L75" s="13">
        <f t="shared" si="46"/>
        <v>1858631.4158664278</v>
      </c>
      <c r="M75" s="15">
        <f t="shared" si="39"/>
        <v>0.25938651752633335</v>
      </c>
      <c r="N75" s="13">
        <f t="shared" si="30"/>
        <v>0</v>
      </c>
      <c r="O75" s="13">
        <f t="shared" si="40"/>
        <v>-1133.2994514653983</v>
      </c>
      <c r="P75" s="15">
        <f t="shared" si="31"/>
        <v>-4.3907404359219927E-3</v>
      </c>
      <c r="Q75" s="7">
        <f t="shared" si="41"/>
        <v>258111.2384128946</v>
      </c>
      <c r="R75" s="7">
        <f t="shared" si="42"/>
        <v>259244.53786436</v>
      </c>
      <c r="S75" s="13">
        <f>IF('BANCO DE DADOS'!$AD$32="Sim",R75,Q75)</f>
        <v>259244.53786436</v>
      </c>
      <c r="T75" s="9">
        <f t="shared" si="43"/>
        <v>71</v>
      </c>
      <c r="U75" s="18">
        <f t="shared" ca="1" si="44"/>
        <v>46539</v>
      </c>
      <c r="V75" s="24"/>
      <c r="W75" s="24"/>
      <c r="X75" s="24"/>
      <c r="AJ75" s="213">
        <v>0.27500000000000002</v>
      </c>
      <c r="AK75" s="211">
        <f t="shared" si="21"/>
        <v>5.0000000000000044E-3</v>
      </c>
    </row>
    <row r="76" spans="2:37" x14ac:dyDescent="0.2">
      <c r="B76" s="18">
        <f t="shared" ca="1" si="32"/>
        <v>46539</v>
      </c>
      <c r="C76" s="9">
        <f t="shared" si="45"/>
        <v>72</v>
      </c>
      <c r="D76" s="9">
        <v>6</v>
      </c>
      <c r="E76" s="13">
        <f t="shared" si="33"/>
        <v>2000</v>
      </c>
      <c r="F76" s="14">
        <f t="shared" si="34"/>
        <v>194000</v>
      </c>
      <c r="G76" s="15">
        <f t="shared" si="35"/>
        <v>0.73785189677654162</v>
      </c>
      <c r="H76" s="13">
        <f t="shared" si="36"/>
        <v>1660.695479678838</v>
      </c>
      <c r="I76" s="13">
        <f t="shared" si="37"/>
        <v>67771.933892573259</v>
      </c>
      <c r="J76" s="15">
        <f t="shared" si="29"/>
        <v>0.26214810322345838</v>
      </c>
      <c r="K76" s="13">
        <f t="shared" si="38"/>
        <v>68925.393087053206</v>
      </c>
      <c r="L76" s="13">
        <f t="shared" si="46"/>
        <v>1927556.808953481</v>
      </c>
      <c r="M76" s="15">
        <f t="shared" si="39"/>
        <v>0.26214810322345844</v>
      </c>
      <c r="N76" s="13">
        <f t="shared" si="30"/>
        <v>0</v>
      </c>
      <c r="O76" s="13">
        <f t="shared" si="40"/>
        <v>-1153.4591944797721</v>
      </c>
      <c r="P76" s="15">
        <f t="shared" si="31"/>
        <v>-4.4063516562976206E-3</v>
      </c>
      <c r="Q76" s="7">
        <f t="shared" si="41"/>
        <v>261771.93389257343</v>
      </c>
      <c r="R76" s="7">
        <f t="shared" si="42"/>
        <v>262925.39308705321</v>
      </c>
      <c r="S76" s="13">
        <f>IF('BANCO DE DADOS'!$AD$32="Sim",R76,Q76)</f>
        <v>262925.39308705321</v>
      </c>
      <c r="T76" s="9">
        <f t="shared" si="43"/>
        <v>72</v>
      </c>
      <c r="U76" s="18">
        <f t="shared" ca="1" si="44"/>
        <v>46569</v>
      </c>
      <c r="V76" s="24"/>
      <c r="W76" s="24"/>
      <c r="X76" s="24"/>
      <c r="AJ76" s="213">
        <v>0.28000000000000003</v>
      </c>
      <c r="AK76" s="211">
        <f t="shared" si="21"/>
        <v>5.0000000000000044E-3</v>
      </c>
    </row>
    <row r="77" spans="2:37" x14ac:dyDescent="0.2">
      <c r="B77" s="18">
        <f t="shared" ca="1" si="32"/>
        <v>46569</v>
      </c>
      <c r="C77" s="9">
        <f t="shared" si="45"/>
        <v>73</v>
      </c>
      <c r="D77" s="9"/>
      <c r="E77" s="13">
        <f t="shared" si="33"/>
        <v>2000</v>
      </c>
      <c r="F77" s="14">
        <f t="shared" si="34"/>
        <v>196000</v>
      </c>
      <c r="G77" s="15">
        <f t="shared" si="35"/>
        <v>0.73510126651284313</v>
      </c>
      <c r="H77" s="13">
        <f t="shared" si="36"/>
        <v>1684.248504618645</v>
      </c>
      <c r="I77" s="13">
        <f t="shared" si="37"/>
        <v>69456.182397191908</v>
      </c>
      <c r="J77" s="15">
        <f t="shared" si="29"/>
        <v>0.26489873348715687</v>
      </c>
      <c r="K77" s="13">
        <f t="shared" si="38"/>
        <v>70629.931043079821</v>
      </c>
      <c r="L77" s="13">
        <f t="shared" si="46"/>
        <v>1998186.7399965608</v>
      </c>
      <c r="M77" s="15">
        <f t="shared" si="39"/>
        <v>0.26489873348715687</v>
      </c>
      <c r="N77" s="13">
        <f t="shared" si="30"/>
        <v>0</v>
      </c>
      <c r="O77" s="13">
        <f t="shared" si="40"/>
        <v>-1173.7486458877102</v>
      </c>
      <c r="P77" s="15">
        <f t="shared" si="31"/>
        <v>-4.4216285915370931E-3</v>
      </c>
      <c r="Q77" s="7">
        <f t="shared" si="41"/>
        <v>265456.18239719211</v>
      </c>
      <c r="R77" s="7">
        <f t="shared" si="42"/>
        <v>266629.93104307982</v>
      </c>
      <c r="S77" s="13">
        <f>IF('BANCO DE DADOS'!$AD$32="Sim",R77,Q77)</f>
        <v>266629.93104307982</v>
      </c>
      <c r="T77" s="9">
        <f t="shared" si="43"/>
        <v>73</v>
      </c>
      <c r="U77" s="18">
        <f t="shared" ca="1" si="44"/>
        <v>46600</v>
      </c>
      <c r="V77" s="24"/>
      <c r="W77" s="24"/>
      <c r="X77" s="24"/>
      <c r="AJ77" s="213">
        <v>0.28499999999999998</v>
      </c>
      <c r="AK77" s="211">
        <f t="shared" si="21"/>
        <v>4.9999999999999489E-3</v>
      </c>
    </row>
    <row r="78" spans="2:37" x14ac:dyDescent="0.2">
      <c r="B78" s="18">
        <f t="shared" ca="1" si="32"/>
        <v>46600</v>
      </c>
      <c r="C78" s="9">
        <f t="shared" si="45"/>
        <v>74</v>
      </c>
      <c r="D78" s="9"/>
      <c r="E78" s="13">
        <f t="shared" si="33"/>
        <v>2000</v>
      </c>
      <c r="F78" s="14">
        <f t="shared" si="34"/>
        <v>198000</v>
      </c>
      <c r="G78" s="15">
        <f t="shared" si="35"/>
        <v>0.7323614514204384</v>
      </c>
      <c r="H78" s="13">
        <f t="shared" si="36"/>
        <v>1707.9530704300967</v>
      </c>
      <c r="I78" s="13">
        <f t="shared" si="37"/>
        <v>71164.135467622007</v>
      </c>
      <c r="J78" s="15">
        <f t="shared" si="29"/>
        <v>0.2676385485795616</v>
      </c>
      <c r="K78" s="13">
        <f t="shared" si="38"/>
        <v>72358.304107859149</v>
      </c>
      <c r="L78" s="13">
        <f t="shared" si="46"/>
        <v>2070545.0441044201</v>
      </c>
      <c r="M78" s="15">
        <f t="shared" si="39"/>
        <v>0.2676385485795616</v>
      </c>
      <c r="N78" s="13">
        <f t="shared" si="30"/>
        <v>0</v>
      </c>
      <c r="O78" s="13">
        <f t="shared" si="40"/>
        <v>-1194.1686402369523</v>
      </c>
      <c r="P78" s="15">
        <f t="shared" si="31"/>
        <v>-4.4365815607726056E-3</v>
      </c>
      <c r="Q78" s="7">
        <f t="shared" si="41"/>
        <v>269164.1354676222</v>
      </c>
      <c r="R78" s="7">
        <f t="shared" si="42"/>
        <v>270358.30410785915</v>
      </c>
      <c r="S78" s="13">
        <f>IF('BANCO DE DADOS'!$AD$32="Sim",R78,Q78)</f>
        <v>270358.30410785915</v>
      </c>
      <c r="T78" s="9">
        <f t="shared" si="43"/>
        <v>74</v>
      </c>
      <c r="U78" s="18">
        <f t="shared" ca="1" si="44"/>
        <v>46631</v>
      </c>
      <c r="V78" s="24"/>
      <c r="W78" s="24"/>
      <c r="X78" s="24"/>
    </row>
    <row r="79" spans="2:37" x14ac:dyDescent="0.2">
      <c r="B79" s="18">
        <f t="shared" ca="1" si="32"/>
        <v>46631</v>
      </c>
      <c r="C79" s="9">
        <f t="shared" si="45"/>
        <v>75</v>
      </c>
      <c r="D79" s="9"/>
      <c r="E79" s="13">
        <f t="shared" si="33"/>
        <v>2000</v>
      </c>
      <c r="F79" s="14">
        <f t="shared" si="34"/>
        <v>200000</v>
      </c>
      <c r="G79" s="15">
        <f t="shared" si="35"/>
        <v>0.72963231669617568</v>
      </c>
      <c r="H79" s="13">
        <f t="shared" si="36"/>
        <v>1731.8101521317235</v>
      </c>
      <c r="I79" s="13">
        <f t="shared" si="37"/>
        <v>72895.945619753737</v>
      </c>
      <c r="J79" s="15">
        <f t="shared" si="29"/>
        <v>0.27036768330382432</v>
      </c>
      <c r="K79" s="13">
        <f t="shared" si="38"/>
        <v>74110.665637198603</v>
      </c>
      <c r="L79" s="13">
        <f t="shared" si="46"/>
        <v>2144655.7097416185</v>
      </c>
      <c r="M79" s="15">
        <f t="shared" si="39"/>
        <v>0.27036768330382438</v>
      </c>
      <c r="N79" s="13">
        <f t="shared" si="30"/>
        <v>0</v>
      </c>
      <c r="O79" s="13">
        <f t="shared" si="40"/>
        <v>-1214.7200174446916</v>
      </c>
      <c r="P79" s="15">
        <f t="shared" si="31"/>
        <v>-4.4512204631183888E-3</v>
      </c>
      <c r="Q79" s="7">
        <f t="shared" si="41"/>
        <v>272895.94561975391</v>
      </c>
      <c r="R79" s="7">
        <f t="shared" si="42"/>
        <v>274110.6656371986</v>
      </c>
      <c r="S79" s="13">
        <f>IF('BANCO DE DADOS'!$AD$32="Sim",R79,Q79)</f>
        <v>274110.6656371986</v>
      </c>
      <c r="T79" s="9">
        <f t="shared" si="43"/>
        <v>75</v>
      </c>
      <c r="U79" s="18">
        <f t="shared" ca="1" si="44"/>
        <v>46661</v>
      </c>
      <c r="V79" s="24"/>
      <c r="W79" s="24"/>
      <c r="X79" s="24"/>
    </row>
    <row r="80" spans="2:37" x14ac:dyDescent="0.2">
      <c r="B80" s="18">
        <f t="shared" ca="1" si="32"/>
        <v>46661</v>
      </c>
      <c r="C80" s="9">
        <f t="shared" si="45"/>
        <v>76</v>
      </c>
      <c r="D80" s="9"/>
      <c r="E80" s="13">
        <f t="shared" si="33"/>
        <v>2000</v>
      </c>
      <c r="F80" s="14">
        <f t="shared" si="34"/>
        <v>202000</v>
      </c>
      <c r="G80" s="15">
        <f t="shared" si="35"/>
        <v>0.72691373271817294</v>
      </c>
      <c r="H80" s="13">
        <f t="shared" si="36"/>
        <v>1755.8207310153555</v>
      </c>
      <c r="I80" s="13">
        <f t="shared" si="37"/>
        <v>74651.766350769089</v>
      </c>
      <c r="J80" s="15">
        <f t="shared" si="29"/>
        <v>0.27308626728182706</v>
      </c>
      <c r="K80" s="13">
        <f t="shared" si="38"/>
        <v>75887.169973601412</v>
      </c>
      <c r="L80" s="13">
        <f t="shared" si="46"/>
        <v>2220542.8797152201</v>
      </c>
      <c r="M80" s="15">
        <f t="shared" si="39"/>
        <v>0.273086267281827</v>
      </c>
      <c r="N80" s="13">
        <f t="shared" si="30"/>
        <v>0</v>
      </c>
      <c r="O80" s="13">
        <f t="shared" si="40"/>
        <v>-1235.4036228321493</v>
      </c>
      <c r="P80" s="15">
        <f t="shared" si="31"/>
        <v>-4.4655547988288278E-3</v>
      </c>
      <c r="Q80" s="7">
        <f t="shared" si="41"/>
        <v>276651.76635076926</v>
      </c>
      <c r="R80" s="7">
        <f t="shared" si="42"/>
        <v>277887.16997360141</v>
      </c>
      <c r="S80" s="13">
        <f>IF('BANCO DE DADOS'!$AD$32="Sim",R80,Q80)</f>
        <v>277887.16997360141</v>
      </c>
      <c r="T80" s="9">
        <f t="shared" si="43"/>
        <v>76</v>
      </c>
      <c r="U80" s="18">
        <f t="shared" ca="1" si="44"/>
        <v>46692</v>
      </c>
      <c r="V80" s="24"/>
      <c r="W80" s="24"/>
      <c r="X80" s="24"/>
    </row>
    <row r="81" spans="2:24" x14ac:dyDescent="0.2">
      <c r="B81" s="18">
        <f t="shared" ca="1" si="32"/>
        <v>46692</v>
      </c>
      <c r="C81" s="9">
        <f t="shared" si="45"/>
        <v>77</v>
      </c>
      <c r="D81" s="9"/>
      <c r="E81" s="13">
        <f t="shared" si="33"/>
        <v>2000</v>
      </c>
      <c r="F81" s="14">
        <f t="shared" si="34"/>
        <v>204000</v>
      </c>
      <c r="G81" s="15">
        <f t="shared" si="35"/>
        <v>0.72420557478476055</v>
      </c>
      <c r="H81" s="13">
        <f t="shared" si="36"/>
        <v>1779.9857946864834</v>
      </c>
      <c r="I81" s="13">
        <f t="shared" si="37"/>
        <v>76431.752145455568</v>
      </c>
      <c r="J81" s="15">
        <f t="shared" si="29"/>
        <v>0.27579442521523945</v>
      </c>
      <c r="K81" s="13">
        <f t="shared" si="38"/>
        <v>77687.972452615213</v>
      </c>
      <c r="L81" s="13">
        <f t="shared" si="46"/>
        <v>2298230.8521678355</v>
      </c>
      <c r="M81" s="15">
        <f t="shared" si="39"/>
        <v>0.27579442521523945</v>
      </c>
      <c r="N81" s="13">
        <f t="shared" si="30"/>
        <v>0</v>
      </c>
      <c r="O81" s="13">
        <f t="shared" si="40"/>
        <v>-1256.2203071594704</v>
      </c>
      <c r="P81" s="15">
        <f t="shared" si="31"/>
        <v>-4.4795936891906868E-3</v>
      </c>
      <c r="Q81" s="7">
        <f t="shared" si="41"/>
        <v>280431.75214545574</v>
      </c>
      <c r="R81" s="7">
        <f t="shared" si="42"/>
        <v>281687.97245261521</v>
      </c>
      <c r="S81" s="13">
        <f>IF('BANCO DE DADOS'!$AD$32="Sim",R81,Q81)</f>
        <v>281687.97245261521</v>
      </c>
      <c r="T81" s="9">
        <f t="shared" si="43"/>
        <v>77</v>
      </c>
      <c r="U81" s="18">
        <f t="shared" ca="1" si="44"/>
        <v>46722</v>
      </c>
      <c r="V81" s="24"/>
      <c r="W81" s="24"/>
      <c r="X81" s="24"/>
    </row>
    <row r="82" spans="2:24" x14ac:dyDescent="0.2">
      <c r="B82" s="18">
        <f t="shared" ca="1" si="32"/>
        <v>46722</v>
      </c>
      <c r="C82" s="9">
        <f t="shared" si="45"/>
        <v>78</v>
      </c>
      <c r="D82" s="9"/>
      <c r="E82" s="13">
        <f t="shared" si="33"/>
        <v>2000</v>
      </c>
      <c r="F82" s="14">
        <f t="shared" si="34"/>
        <v>206000</v>
      </c>
      <c r="G82" s="15">
        <f t="shared" si="35"/>
        <v>0.72150772286892451</v>
      </c>
      <c r="H82" s="13">
        <f t="shared" si="36"/>
        <v>1804.3063371048813</v>
      </c>
      <c r="I82" s="13">
        <f t="shared" si="37"/>
        <v>78236.058482560446</v>
      </c>
      <c r="J82" s="15">
        <f t="shared" si="29"/>
        <v>0.27849227713107549</v>
      </c>
      <c r="K82" s="13">
        <f t="shared" si="38"/>
        <v>79513.229409221152</v>
      </c>
      <c r="L82" s="13">
        <f t="shared" si="46"/>
        <v>2377744.0815770566</v>
      </c>
      <c r="M82" s="15">
        <f t="shared" si="39"/>
        <v>0.27849227713107549</v>
      </c>
      <c r="N82" s="13">
        <f t="shared" si="30"/>
        <v>0</v>
      </c>
      <c r="O82" s="13">
        <f t="shared" si="40"/>
        <v>-1277.1709266605321</v>
      </c>
      <c r="P82" s="15">
        <f t="shared" si="31"/>
        <v>-4.4933458952355031E-3</v>
      </c>
      <c r="Q82" s="7">
        <f t="shared" si="41"/>
        <v>284236.05848256062</v>
      </c>
      <c r="R82" s="7">
        <f t="shared" si="42"/>
        <v>285513.22940922115</v>
      </c>
      <c r="S82" s="13">
        <f>IF('BANCO DE DADOS'!$AD$32="Sim",R82,Q82)</f>
        <v>285513.22940922115</v>
      </c>
      <c r="T82" s="9">
        <f t="shared" si="43"/>
        <v>78</v>
      </c>
      <c r="U82" s="18">
        <f t="shared" ca="1" si="44"/>
        <v>46753</v>
      </c>
      <c r="V82" s="24"/>
      <c r="W82" s="24"/>
      <c r="X82" s="24"/>
    </row>
    <row r="83" spans="2:24" x14ac:dyDescent="0.2">
      <c r="B83" s="18">
        <f t="shared" ca="1" si="32"/>
        <v>46753</v>
      </c>
      <c r="C83" s="9">
        <f t="shared" si="45"/>
        <v>79</v>
      </c>
      <c r="D83" s="9"/>
      <c r="E83" s="13">
        <f t="shared" si="33"/>
        <v>2000</v>
      </c>
      <c r="F83" s="14">
        <f t="shared" si="34"/>
        <v>208000</v>
      </c>
      <c r="G83" s="15">
        <f t="shared" si="35"/>
        <v>0.71882006138718857</v>
      </c>
      <c r="H83" s="13">
        <f t="shared" si="36"/>
        <v>1828.783358625491</v>
      </c>
      <c r="I83" s="13">
        <f t="shared" si="37"/>
        <v>80064.841841185931</v>
      </c>
      <c r="J83" s="15">
        <f t="shared" si="29"/>
        <v>0.28117993861281143</v>
      </c>
      <c r="K83" s="13">
        <f t="shared" si="38"/>
        <v>81363.098184264381</v>
      </c>
      <c r="L83" s="13">
        <f t="shared" si="46"/>
        <v>2459107.1797613208</v>
      </c>
      <c r="M83" s="15">
        <f t="shared" si="39"/>
        <v>0.28117993861281143</v>
      </c>
      <c r="N83" s="13">
        <f t="shared" si="30"/>
        <v>0</v>
      </c>
      <c r="O83" s="13">
        <f t="shared" si="40"/>
        <v>-1298.2563430782757</v>
      </c>
      <c r="P83" s="15">
        <f t="shared" si="31"/>
        <v>-4.5068198353550599E-3</v>
      </c>
      <c r="Q83" s="7">
        <f t="shared" si="41"/>
        <v>288064.84184118611</v>
      </c>
      <c r="R83" s="7">
        <f t="shared" si="42"/>
        <v>289363.09818426438</v>
      </c>
      <c r="S83" s="13">
        <f>IF('BANCO DE DADOS'!$AD$32="Sim",R83,Q83)</f>
        <v>289363.09818426438</v>
      </c>
      <c r="T83" s="9">
        <f t="shared" si="43"/>
        <v>79</v>
      </c>
      <c r="U83" s="18">
        <f t="shared" ca="1" si="44"/>
        <v>46784</v>
      </c>
      <c r="V83" s="24"/>
      <c r="W83" s="24"/>
      <c r="X83" s="24"/>
    </row>
    <row r="84" spans="2:24" x14ac:dyDescent="0.2">
      <c r="B84" s="18">
        <f t="shared" ca="1" si="32"/>
        <v>46784</v>
      </c>
      <c r="C84" s="9">
        <f t="shared" si="45"/>
        <v>80</v>
      </c>
      <c r="D84" s="9"/>
      <c r="E84" s="13">
        <f t="shared" si="33"/>
        <v>2000</v>
      </c>
      <c r="F84" s="14">
        <f t="shared" si="34"/>
        <v>210000</v>
      </c>
      <c r="G84" s="15">
        <f t="shared" si="35"/>
        <v>0.71614247898195471</v>
      </c>
      <c r="H84" s="13">
        <f t="shared" si="36"/>
        <v>1853.4178660395673</v>
      </c>
      <c r="I84" s="13">
        <f t="shared" si="37"/>
        <v>81918.259707225501</v>
      </c>
      <c r="J84" s="15">
        <f t="shared" si="29"/>
        <v>0.28385752101804529</v>
      </c>
      <c r="K84" s="13">
        <f t="shared" si="38"/>
        <v>83237.737130925816</v>
      </c>
      <c r="L84" s="13">
        <f t="shared" si="46"/>
        <v>2542344.9168922468</v>
      </c>
      <c r="M84" s="15">
        <f t="shared" si="39"/>
        <v>0.28385752101804529</v>
      </c>
      <c r="N84" s="13">
        <f t="shared" si="30"/>
        <v>0</v>
      </c>
      <c r="O84" s="13">
        <f t="shared" si="40"/>
        <v>-1319.4774237001548</v>
      </c>
      <c r="P84" s="15">
        <f t="shared" si="31"/>
        <v>-4.5200236018928782E-3</v>
      </c>
      <c r="Q84" s="7">
        <f t="shared" si="41"/>
        <v>291918.25970722566</v>
      </c>
      <c r="R84" s="7">
        <f t="shared" si="42"/>
        <v>293237.73713092582</v>
      </c>
      <c r="S84" s="13">
        <f>IF('BANCO DE DADOS'!$AD$32="Sim",R84,Q84)</f>
        <v>293237.73713092582</v>
      </c>
      <c r="T84" s="9">
        <f t="shared" si="43"/>
        <v>80</v>
      </c>
      <c r="U84" s="18">
        <f t="shared" ca="1" si="44"/>
        <v>46813</v>
      </c>
      <c r="V84" s="24"/>
      <c r="W84" s="24"/>
      <c r="X84" s="24"/>
    </row>
    <row r="85" spans="2:24" x14ac:dyDescent="0.2">
      <c r="B85" s="18">
        <f t="shared" ca="1" si="32"/>
        <v>46813</v>
      </c>
      <c r="C85" s="9">
        <f t="shared" si="45"/>
        <v>81</v>
      </c>
      <c r="D85" s="9"/>
      <c r="E85" s="13">
        <f t="shared" si="33"/>
        <v>2000</v>
      </c>
      <c r="F85" s="14">
        <f t="shared" si="34"/>
        <v>212000</v>
      </c>
      <c r="G85" s="15">
        <f t="shared" si="35"/>
        <v>0.71347486831639706</v>
      </c>
      <c r="H85" s="13">
        <f t="shared" si="36"/>
        <v>1878.2108726160911</v>
      </c>
      <c r="I85" s="13">
        <f t="shared" si="37"/>
        <v>83796.470579841596</v>
      </c>
      <c r="J85" s="15">
        <f t="shared" si="29"/>
        <v>0.28652513168360294</v>
      </c>
      <c r="K85" s="13">
        <f t="shared" si="38"/>
        <v>85137.305621235457</v>
      </c>
      <c r="L85" s="13">
        <f t="shared" si="46"/>
        <v>2627482.2225134824</v>
      </c>
      <c r="M85" s="15">
        <f t="shared" si="39"/>
        <v>0.28652513168360294</v>
      </c>
      <c r="N85" s="13">
        <f t="shared" si="30"/>
        <v>0</v>
      </c>
      <c r="O85" s="13">
        <f t="shared" si="40"/>
        <v>-1340.8350413937005</v>
      </c>
      <c r="P85" s="15">
        <f t="shared" si="31"/>
        <v>-4.5329649767804807E-3</v>
      </c>
      <c r="Q85" s="7">
        <f t="shared" si="41"/>
        <v>295796.47057984176</v>
      </c>
      <c r="R85" s="7">
        <f t="shared" si="42"/>
        <v>297137.30562123546</v>
      </c>
      <c r="S85" s="13">
        <f>IF('BANCO DE DADOS'!$AD$32="Sim",R85,Q85)</f>
        <v>297137.30562123546</v>
      </c>
      <c r="T85" s="9">
        <f t="shared" si="43"/>
        <v>81</v>
      </c>
      <c r="U85" s="18">
        <f t="shared" ca="1" si="44"/>
        <v>46844</v>
      </c>
      <c r="V85" s="24"/>
      <c r="W85" s="24"/>
      <c r="X85" s="24"/>
    </row>
    <row r="86" spans="2:24" x14ac:dyDescent="0.2">
      <c r="B86" s="18">
        <f t="shared" ca="1" si="32"/>
        <v>46844</v>
      </c>
      <c r="C86" s="9">
        <f t="shared" si="45"/>
        <v>82</v>
      </c>
      <c r="D86" s="9"/>
      <c r="E86" s="13">
        <f t="shared" si="33"/>
        <v>2000</v>
      </c>
      <c r="F86" s="14">
        <f t="shared" si="34"/>
        <v>214000</v>
      </c>
      <c r="G86" s="15">
        <f t="shared" si="35"/>
        <v>0.7108171258810736</v>
      </c>
      <c r="H86" s="13">
        <f t="shared" si="36"/>
        <v>1903.1633981434456</v>
      </c>
      <c r="I86" s="13">
        <f t="shared" si="37"/>
        <v>85699.633977985039</v>
      </c>
      <c r="J86" s="15">
        <f t="shared" si="29"/>
        <v>0.2891828741189264</v>
      </c>
      <c r="K86" s="13">
        <f t="shared" si="38"/>
        <v>87061.964052627794</v>
      </c>
      <c r="L86" s="13">
        <f t="shared" si="46"/>
        <v>2714544.1865661102</v>
      </c>
      <c r="M86" s="15">
        <f t="shared" si="39"/>
        <v>0.28918287411892635</v>
      </c>
      <c r="N86" s="13">
        <f t="shared" si="30"/>
        <v>0</v>
      </c>
      <c r="O86" s="13">
        <f t="shared" si="40"/>
        <v>-1362.3300746426103</v>
      </c>
      <c r="P86" s="15">
        <f t="shared" si="31"/>
        <v>-4.5456514462833206E-3</v>
      </c>
      <c r="Q86" s="7">
        <f t="shared" si="41"/>
        <v>299699.63397798518</v>
      </c>
      <c r="R86" s="7">
        <f t="shared" si="42"/>
        <v>301061.96405262779</v>
      </c>
      <c r="S86" s="13">
        <f>IF('BANCO DE DADOS'!$AD$32="Sim",R86,Q86)</f>
        <v>301061.96405262779</v>
      </c>
      <c r="T86" s="9">
        <f t="shared" si="43"/>
        <v>82</v>
      </c>
      <c r="U86" s="18">
        <f t="shared" ca="1" si="44"/>
        <v>46874</v>
      </c>
      <c r="V86" s="24"/>
      <c r="W86" s="24"/>
      <c r="X86" s="24"/>
    </row>
    <row r="87" spans="2:24" x14ac:dyDescent="0.2">
      <c r="B87" s="18">
        <f t="shared" ca="1" si="32"/>
        <v>46874</v>
      </c>
      <c r="C87" s="9">
        <f t="shared" si="45"/>
        <v>83</v>
      </c>
      <c r="D87" s="9"/>
      <c r="E87" s="13">
        <f t="shared" si="33"/>
        <v>2000</v>
      </c>
      <c r="F87" s="14">
        <f t="shared" si="34"/>
        <v>216000</v>
      </c>
      <c r="G87" s="15">
        <f t="shared" si="35"/>
        <v>0.70816915181148277</v>
      </c>
      <c r="H87" s="13">
        <f t="shared" si="36"/>
        <v>1928.2764689713638</v>
      </c>
      <c r="I87" s="13">
        <f t="shared" si="37"/>
        <v>87627.910446956404</v>
      </c>
      <c r="J87" s="15">
        <f t="shared" si="29"/>
        <v>0.29183084818851723</v>
      </c>
      <c r="K87" s="13">
        <f t="shared" si="38"/>
        <v>89011.873854539183</v>
      </c>
      <c r="L87" s="13">
        <f t="shared" si="46"/>
        <v>2803556.0604206496</v>
      </c>
      <c r="M87" s="15">
        <f t="shared" si="39"/>
        <v>0.29183084818851718</v>
      </c>
      <c r="N87" s="13">
        <f t="shared" si="30"/>
        <v>0</v>
      </c>
      <c r="O87" s="13">
        <f t="shared" si="40"/>
        <v>-1383.9634075826616</v>
      </c>
      <c r="P87" s="15">
        <f t="shared" si="31"/>
        <v>-4.5580902149126986E-3</v>
      </c>
      <c r="Q87" s="7">
        <f t="shared" si="41"/>
        <v>303627.91044695652</v>
      </c>
      <c r="R87" s="7">
        <f t="shared" si="42"/>
        <v>305011.87385453918</v>
      </c>
      <c r="S87" s="13">
        <f>IF('BANCO DE DADOS'!$AD$32="Sim",R87,Q87)</f>
        <v>305011.87385453918</v>
      </c>
      <c r="T87" s="9">
        <f t="shared" si="43"/>
        <v>83</v>
      </c>
      <c r="U87" s="18">
        <f t="shared" ca="1" si="44"/>
        <v>46905</v>
      </c>
      <c r="V87" s="24"/>
      <c r="W87" s="24"/>
      <c r="X87" s="24"/>
    </row>
    <row r="88" spans="2:24" x14ac:dyDescent="0.2">
      <c r="B88" s="18">
        <f t="shared" ca="1" si="32"/>
        <v>46905</v>
      </c>
      <c r="C88" s="9">
        <f t="shared" si="45"/>
        <v>84</v>
      </c>
      <c r="D88" s="9">
        <v>7</v>
      </c>
      <c r="E88" s="13">
        <f t="shared" si="33"/>
        <v>2000</v>
      </c>
      <c r="F88" s="14">
        <f t="shared" si="34"/>
        <v>218000</v>
      </c>
      <c r="G88" s="15">
        <f t="shared" si="35"/>
        <v>0.70553084971584912</v>
      </c>
      <c r="H88" s="13">
        <f t="shared" si="36"/>
        <v>1953.5511180531435</v>
      </c>
      <c r="I88" s="13">
        <f t="shared" si="37"/>
        <v>89581.461565009551</v>
      </c>
      <c r="J88" s="15">
        <f t="shared" si="29"/>
        <v>0.29446915028415088</v>
      </c>
      <c r="K88" s="13">
        <f t="shared" si="38"/>
        <v>90987.197495047876</v>
      </c>
      <c r="L88" s="13">
        <f t="shared" si="46"/>
        <v>2894543.2579156975</v>
      </c>
      <c r="M88" s="15">
        <f t="shared" si="39"/>
        <v>0.29446915028415094</v>
      </c>
      <c r="N88" s="13">
        <f t="shared" si="30"/>
        <v>0</v>
      </c>
      <c r="O88" s="13">
        <f t="shared" si="40"/>
        <v>-1405.7359300382086</v>
      </c>
      <c r="P88" s="15">
        <f t="shared" si="31"/>
        <v>-4.5702882185605833E-3</v>
      </c>
      <c r="Q88" s="7">
        <f t="shared" si="41"/>
        <v>307581.46156500967</v>
      </c>
      <c r="R88" s="7">
        <f t="shared" si="42"/>
        <v>308987.19749504788</v>
      </c>
      <c r="S88" s="13">
        <f>IF('BANCO DE DADOS'!$AD$32="Sim",R88,Q88)</f>
        <v>308987.19749504788</v>
      </c>
      <c r="T88" s="9">
        <f t="shared" si="43"/>
        <v>84</v>
      </c>
      <c r="U88" s="18">
        <f t="shared" ca="1" si="44"/>
        <v>46935</v>
      </c>
      <c r="V88" s="24"/>
      <c r="W88" s="24"/>
      <c r="X88" s="24"/>
    </row>
    <row r="89" spans="2:24" x14ac:dyDescent="0.2">
      <c r="B89" s="18">
        <f t="shared" ca="1" si="32"/>
        <v>46935</v>
      </c>
      <c r="C89" s="9">
        <f t="shared" si="45"/>
        <v>85</v>
      </c>
      <c r="D89" s="9"/>
      <c r="E89" s="13">
        <f t="shared" si="33"/>
        <v>2000</v>
      </c>
      <c r="F89" s="14">
        <f t="shared" si="34"/>
        <v>220000</v>
      </c>
      <c r="G89" s="15">
        <f t="shared" si="35"/>
        <v>0.70290212651247652</v>
      </c>
      <c r="H89" s="13">
        <f t="shared" si="36"/>
        <v>1978.9883849881351</v>
      </c>
      <c r="I89" s="13">
        <f t="shared" si="37"/>
        <v>91560.449949997681</v>
      </c>
      <c r="J89" s="15">
        <f t="shared" si="29"/>
        <v>0.29709787348752348</v>
      </c>
      <c r="K89" s="13">
        <f t="shared" si="38"/>
        <v>92988.098487556621</v>
      </c>
      <c r="L89" s="13">
        <f t="shared" si="46"/>
        <v>2987531.356403254</v>
      </c>
      <c r="M89" s="15">
        <f t="shared" si="39"/>
        <v>0.29709787348752342</v>
      </c>
      <c r="N89" s="13">
        <f t="shared" si="30"/>
        <v>0</v>
      </c>
      <c r="O89" s="13">
        <f t="shared" si="40"/>
        <v>-1427.6485375587945</v>
      </c>
      <c r="P89" s="15">
        <f t="shared" si="31"/>
        <v>-4.5822521369060709E-3</v>
      </c>
      <c r="Q89" s="7">
        <f t="shared" si="41"/>
        <v>311560.44994999783</v>
      </c>
      <c r="R89" s="7">
        <f t="shared" si="42"/>
        <v>312988.09848755662</v>
      </c>
      <c r="S89" s="13">
        <f>IF('BANCO DE DADOS'!$AD$32="Sim",R89,Q89)</f>
        <v>312988.09848755662</v>
      </c>
      <c r="T89" s="9">
        <f t="shared" si="43"/>
        <v>85</v>
      </c>
      <c r="U89" s="18">
        <f t="shared" ca="1" si="44"/>
        <v>46966</v>
      </c>
      <c r="V89" s="24"/>
      <c r="W89" s="24"/>
      <c r="X89" s="24"/>
    </row>
    <row r="90" spans="2:24" x14ac:dyDescent="0.2">
      <c r="B90" s="18">
        <f t="shared" ca="1" si="32"/>
        <v>46966</v>
      </c>
      <c r="C90" s="9">
        <f t="shared" si="45"/>
        <v>86</v>
      </c>
      <c r="D90" s="9"/>
      <c r="E90" s="13">
        <f t="shared" si="33"/>
        <v>2000</v>
      </c>
      <c r="F90" s="14">
        <f t="shared" si="34"/>
        <v>222000</v>
      </c>
      <c r="G90" s="15">
        <f t="shared" si="35"/>
        <v>0.70028289227605589</v>
      </c>
      <c r="H90" s="13">
        <f t="shared" si="36"/>
        <v>2004.5893160645028</v>
      </c>
      <c r="I90" s="13">
        <f t="shared" si="37"/>
        <v>93565.039266062187</v>
      </c>
      <c r="J90" s="15">
        <f t="shared" si="29"/>
        <v>0.29971710772394411</v>
      </c>
      <c r="K90" s="13">
        <f t="shared" si="38"/>
        <v>95014.741397518257</v>
      </c>
      <c r="L90" s="13">
        <f t="shared" si="46"/>
        <v>3082546.0978007722</v>
      </c>
      <c r="M90" s="15">
        <f t="shared" si="39"/>
        <v>0.29971710772394411</v>
      </c>
      <c r="N90" s="13">
        <f t="shared" si="30"/>
        <v>0</v>
      </c>
      <c r="O90" s="13">
        <f t="shared" si="40"/>
        <v>-1449.7021314559388</v>
      </c>
      <c r="P90" s="15">
        <f t="shared" si="31"/>
        <v>-4.5939884051403156E-3</v>
      </c>
      <c r="Q90" s="7">
        <f t="shared" si="41"/>
        <v>315565.03926606232</v>
      </c>
      <c r="R90" s="7">
        <f t="shared" si="42"/>
        <v>317014.74139751826</v>
      </c>
      <c r="S90" s="13">
        <f>IF('BANCO DE DADOS'!$AD$32="Sim",R90,Q90)</f>
        <v>317014.74139751826</v>
      </c>
      <c r="T90" s="9">
        <f t="shared" si="43"/>
        <v>86</v>
      </c>
      <c r="U90" s="18">
        <f t="shared" ca="1" si="44"/>
        <v>46997</v>
      </c>
      <c r="V90" s="24"/>
      <c r="W90" s="24"/>
      <c r="X90" s="24"/>
    </row>
    <row r="91" spans="2:24" x14ac:dyDescent="0.2">
      <c r="B91" s="18">
        <f t="shared" ca="1" si="32"/>
        <v>46997</v>
      </c>
      <c r="C91" s="9">
        <f t="shared" si="45"/>
        <v>87</v>
      </c>
      <c r="D91" s="9"/>
      <c r="E91" s="13">
        <f t="shared" si="33"/>
        <v>2000</v>
      </c>
      <c r="F91" s="14">
        <f t="shared" si="34"/>
        <v>224000</v>
      </c>
      <c r="G91" s="15">
        <f t="shared" si="35"/>
        <v>0.69767306009235508</v>
      </c>
      <c r="H91" s="13">
        <f t="shared" si="36"/>
        <v>2030.3549643022598</v>
      </c>
      <c r="I91" s="13">
        <f t="shared" si="37"/>
        <v>95595.394230364444</v>
      </c>
      <c r="J91" s="15">
        <f t="shared" si="29"/>
        <v>0.30232693990764492</v>
      </c>
      <c r="K91" s="13">
        <f t="shared" si="38"/>
        <v>97067.291849204863</v>
      </c>
      <c r="L91" s="13">
        <f t="shared" si="46"/>
        <v>3179613.389649977</v>
      </c>
      <c r="M91" s="15">
        <f t="shared" si="39"/>
        <v>0.30232693990764498</v>
      </c>
      <c r="N91" s="13">
        <f t="shared" si="30"/>
        <v>0</v>
      </c>
      <c r="O91" s="13">
        <f t="shared" si="40"/>
        <v>-1471.8976188402739</v>
      </c>
      <c r="P91" s="15">
        <f t="shared" si="31"/>
        <v>-4.6055032250537659E-3</v>
      </c>
      <c r="Q91" s="7">
        <f t="shared" si="41"/>
        <v>319595.39423036459</v>
      </c>
      <c r="R91" s="7">
        <f t="shared" si="42"/>
        <v>321067.29184920486</v>
      </c>
      <c r="S91" s="13">
        <f>IF('BANCO DE DADOS'!$AD$32="Sim",R91,Q91)</f>
        <v>321067.29184920486</v>
      </c>
      <c r="T91" s="9">
        <f t="shared" si="43"/>
        <v>87</v>
      </c>
      <c r="U91" s="18">
        <f t="shared" ca="1" si="44"/>
        <v>47027</v>
      </c>
      <c r="V91" s="24"/>
      <c r="W91" s="24"/>
      <c r="X91" s="24"/>
    </row>
    <row r="92" spans="2:24" x14ac:dyDescent="0.2">
      <c r="B92" s="18">
        <f t="shared" ca="1" si="32"/>
        <v>47027</v>
      </c>
      <c r="C92" s="9">
        <f t="shared" si="45"/>
        <v>88</v>
      </c>
      <c r="D92" s="9"/>
      <c r="E92" s="13">
        <f t="shared" si="33"/>
        <v>2000</v>
      </c>
      <c r="F92" s="14">
        <f t="shared" si="34"/>
        <v>226000</v>
      </c>
      <c r="G92" s="15">
        <f t="shared" si="35"/>
        <v>0.6950725459207675</v>
      </c>
      <c r="H92" s="13">
        <f t="shared" si="36"/>
        <v>2056.2863894965822</v>
      </c>
      <c r="I92" s="13">
        <f t="shared" si="37"/>
        <v>97651.680619861028</v>
      </c>
      <c r="J92" s="15">
        <f t="shared" si="29"/>
        <v>0.3049274540792325</v>
      </c>
      <c r="K92" s="13">
        <f t="shared" si="38"/>
        <v>99145.916532519914</v>
      </c>
      <c r="L92" s="13">
        <f t="shared" si="46"/>
        <v>3278759.3061824967</v>
      </c>
      <c r="M92" s="15">
        <f t="shared" si="39"/>
        <v>0.30492745407923244</v>
      </c>
      <c r="N92" s="13">
        <f t="shared" si="30"/>
        <v>0</v>
      </c>
      <c r="O92" s="13">
        <f t="shared" si="40"/>
        <v>-1494.2359126587398</v>
      </c>
      <c r="P92" s="15">
        <f t="shared" si="31"/>
        <v>-4.6168025755249078E-3</v>
      </c>
      <c r="Q92" s="7">
        <f t="shared" si="41"/>
        <v>323651.68061986117</v>
      </c>
      <c r="R92" s="7">
        <f t="shared" si="42"/>
        <v>325145.91653251991</v>
      </c>
      <c r="S92" s="13">
        <f>IF('BANCO DE DADOS'!$AD$32="Sim",R92,Q92)</f>
        <v>325145.91653251991</v>
      </c>
      <c r="T92" s="9">
        <f t="shared" si="43"/>
        <v>88</v>
      </c>
      <c r="U92" s="18">
        <f t="shared" ca="1" si="44"/>
        <v>47058</v>
      </c>
      <c r="V92" s="24"/>
      <c r="W92" s="24"/>
      <c r="X92" s="24"/>
    </row>
    <row r="93" spans="2:24" x14ac:dyDescent="0.2">
      <c r="B93" s="18">
        <f t="shared" ca="1" si="32"/>
        <v>47058</v>
      </c>
      <c r="C93" s="9">
        <f t="shared" si="45"/>
        <v>89</v>
      </c>
      <c r="D93" s="9"/>
      <c r="E93" s="13">
        <f t="shared" si="33"/>
        <v>2000</v>
      </c>
      <c r="F93" s="14">
        <f t="shared" si="34"/>
        <v>228000</v>
      </c>
      <c r="G93" s="15">
        <f t="shared" si="35"/>
        <v>0.69248126846422564</v>
      </c>
      <c r="H93" s="13">
        <f t="shared" si="36"/>
        <v>2082.3846582614005</v>
      </c>
      <c r="I93" s="13">
        <f t="shared" si="37"/>
        <v>99734.065278122434</v>
      </c>
      <c r="J93" s="15">
        <f t="shared" si="29"/>
        <v>0.30751873153577436</v>
      </c>
      <c r="K93" s="13">
        <f t="shared" si="38"/>
        <v>101250.7832098548</v>
      </c>
      <c r="L93" s="13">
        <f t="shared" si="46"/>
        <v>3380010.0893923515</v>
      </c>
      <c r="M93" s="15">
        <f t="shared" si="39"/>
        <v>0.30751873153577441</v>
      </c>
      <c r="N93" s="13">
        <f t="shared" si="30"/>
        <v>0</v>
      </c>
      <c r="O93" s="13">
        <f t="shared" si="40"/>
        <v>-1516.7179317322443</v>
      </c>
      <c r="P93" s="15">
        <f t="shared" si="31"/>
        <v>-4.6278922224490858E-3</v>
      </c>
      <c r="Q93" s="7">
        <f t="shared" si="41"/>
        <v>327734.06527812255</v>
      </c>
      <c r="R93" s="7">
        <f t="shared" si="42"/>
        <v>329250.7832098548</v>
      </c>
      <c r="S93" s="13">
        <f>IF('BANCO DE DADOS'!$AD$32="Sim",R93,Q93)</f>
        <v>329250.7832098548</v>
      </c>
      <c r="T93" s="9">
        <f t="shared" si="43"/>
        <v>89</v>
      </c>
      <c r="U93" s="18">
        <f t="shared" ca="1" si="44"/>
        <v>47088</v>
      </c>
      <c r="V93" s="24"/>
      <c r="W93" s="24"/>
      <c r="X93" s="24"/>
    </row>
    <row r="94" spans="2:24" x14ac:dyDescent="0.2">
      <c r="B94" s="18">
        <f t="shared" ca="1" si="32"/>
        <v>47088</v>
      </c>
      <c r="C94" s="9">
        <f t="shared" si="45"/>
        <v>90</v>
      </c>
      <c r="D94" s="9"/>
      <c r="E94" s="13">
        <f t="shared" si="33"/>
        <v>2000</v>
      </c>
      <c r="F94" s="14">
        <f t="shared" si="34"/>
        <v>230000</v>
      </c>
      <c r="G94" s="15">
        <f t="shared" si="35"/>
        <v>0.68989914904602356</v>
      </c>
      <c r="H94" s="13">
        <f t="shared" si="36"/>
        <v>2108.65084407327</v>
      </c>
      <c r="I94" s="13">
        <f t="shared" si="37"/>
        <v>101842.71612219571</v>
      </c>
      <c r="J94" s="15">
        <f t="shared" si="29"/>
        <v>0.31010085095397644</v>
      </c>
      <c r="K94" s="13">
        <f t="shared" si="38"/>
        <v>103382.0607229892</v>
      </c>
      <c r="L94" s="13">
        <f t="shared" si="46"/>
        <v>3483392.1501153405</v>
      </c>
      <c r="M94" s="15">
        <f t="shared" si="39"/>
        <v>0.31010085095397644</v>
      </c>
      <c r="N94" s="13">
        <f t="shared" si="30"/>
        <v>0</v>
      </c>
      <c r="O94" s="13">
        <f t="shared" si="40"/>
        <v>-1539.3446007933817</v>
      </c>
      <c r="P94" s="15">
        <f t="shared" si="31"/>
        <v>-4.6387777281407692E-3</v>
      </c>
      <c r="Q94" s="7">
        <f t="shared" si="41"/>
        <v>331842.71612219582</v>
      </c>
      <c r="R94" s="7">
        <f t="shared" si="42"/>
        <v>333382.0607229892</v>
      </c>
      <c r="S94" s="13">
        <f>IF('BANCO DE DADOS'!$AD$32="Sim",R94,Q94)</f>
        <v>333382.0607229892</v>
      </c>
      <c r="T94" s="9">
        <f t="shared" si="43"/>
        <v>90</v>
      </c>
      <c r="U94" s="18">
        <f t="shared" ca="1" si="44"/>
        <v>47119</v>
      </c>
      <c r="V94" s="24"/>
      <c r="W94" s="24"/>
      <c r="X94" s="24"/>
    </row>
    <row r="95" spans="2:24" x14ac:dyDescent="0.2">
      <c r="B95" s="18">
        <f t="shared" ca="1" si="32"/>
        <v>47119</v>
      </c>
      <c r="C95" s="9">
        <f t="shared" si="45"/>
        <v>91</v>
      </c>
      <c r="D95" s="9"/>
      <c r="E95" s="13">
        <f t="shared" si="33"/>
        <v>2000</v>
      </c>
      <c r="F95" s="14">
        <f t="shared" si="34"/>
        <v>232000</v>
      </c>
      <c r="G95" s="15">
        <f t="shared" si="35"/>
        <v>0.68732611149312772</v>
      </c>
      <c r="H95" s="13">
        <f t="shared" si="36"/>
        <v>2135.0860273155286</v>
      </c>
      <c r="I95" s="13">
        <f t="shared" si="37"/>
        <v>103977.80214951123</v>
      </c>
      <c r="J95" s="15">
        <f t="shared" si="29"/>
        <v>0.31267388850687228</v>
      </c>
      <c r="K95" s="13">
        <f t="shared" si="38"/>
        <v>105539.91900003591</v>
      </c>
      <c r="L95" s="13">
        <f t="shared" si="46"/>
        <v>3588932.0691153766</v>
      </c>
      <c r="M95" s="15">
        <f t="shared" si="39"/>
        <v>0.31267388850687222</v>
      </c>
      <c r="N95" s="13">
        <f t="shared" si="30"/>
        <v>0</v>
      </c>
      <c r="O95" s="13">
        <f t="shared" si="40"/>
        <v>-1562.1168505245587</v>
      </c>
      <c r="P95" s="15">
        <f t="shared" si="31"/>
        <v>-4.6494644602425575E-3</v>
      </c>
      <c r="Q95" s="7">
        <f t="shared" si="41"/>
        <v>335977.80214951135</v>
      </c>
      <c r="R95" s="7">
        <f t="shared" si="42"/>
        <v>337539.91900003591</v>
      </c>
      <c r="S95" s="13">
        <f>IF('BANCO DE DADOS'!$AD$32="Sim",R95,Q95)</f>
        <v>337539.91900003591</v>
      </c>
      <c r="T95" s="9">
        <f t="shared" si="43"/>
        <v>91</v>
      </c>
      <c r="U95" s="18">
        <f t="shared" ca="1" si="44"/>
        <v>47150</v>
      </c>
      <c r="V95" s="24"/>
      <c r="W95" s="24"/>
      <c r="X95" s="24"/>
    </row>
    <row r="96" spans="2:24" x14ac:dyDescent="0.2">
      <c r="B96" s="18">
        <f t="shared" ca="1" si="32"/>
        <v>47150</v>
      </c>
      <c r="C96" s="9">
        <f t="shared" si="45"/>
        <v>92</v>
      </c>
      <c r="D96" s="9"/>
      <c r="E96" s="13">
        <f t="shared" si="33"/>
        <v>2000</v>
      </c>
      <c r="F96" s="14">
        <f t="shared" si="34"/>
        <v>234000</v>
      </c>
      <c r="G96" s="15">
        <f t="shared" si="35"/>
        <v>0.68476208202557831</v>
      </c>
      <c r="H96" s="13">
        <f t="shared" si="36"/>
        <v>2161.6912953227311</v>
      </c>
      <c r="I96" s="13">
        <f t="shared" si="37"/>
        <v>106139.49344483396</v>
      </c>
      <c r="J96" s="15">
        <f t="shared" si="29"/>
        <v>0.31523791797442169</v>
      </c>
      <c r="K96" s="13">
        <f t="shared" si="38"/>
        <v>107724.52906243026</v>
      </c>
      <c r="L96" s="13">
        <f t="shared" si="46"/>
        <v>3696656.5981778069</v>
      </c>
      <c r="M96" s="15">
        <f t="shared" si="39"/>
        <v>0.31523791797442163</v>
      </c>
      <c r="N96" s="13">
        <f t="shared" si="30"/>
        <v>0</v>
      </c>
      <c r="O96" s="13">
        <f t="shared" si="40"/>
        <v>-1585.0356175961788</v>
      </c>
      <c r="P96" s="15">
        <f t="shared" si="31"/>
        <v>-4.6599576001698541E-3</v>
      </c>
      <c r="Q96" s="7">
        <f t="shared" si="41"/>
        <v>340139.49344483408</v>
      </c>
      <c r="R96" s="7">
        <f t="shared" si="42"/>
        <v>341724.52906243026</v>
      </c>
      <c r="S96" s="13">
        <f>IF('BANCO DE DADOS'!$AD$32="Sim",R96,Q96)</f>
        <v>341724.52906243026</v>
      </c>
      <c r="T96" s="9">
        <f t="shared" si="43"/>
        <v>92</v>
      </c>
      <c r="U96" s="18">
        <f t="shared" ca="1" si="44"/>
        <v>47178</v>
      </c>
      <c r="V96" s="24"/>
      <c r="W96" s="24"/>
      <c r="X96" s="24"/>
    </row>
    <row r="97" spans="2:24" x14ac:dyDescent="0.2">
      <c r="B97" s="18">
        <f t="shared" ca="1" si="32"/>
        <v>47178</v>
      </c>
      <c r="C97" s="9">
        <f t="shared" si="45"/>
        <v>93</v>
      </c>
      <c r="D97" s="9"/>
      <c r="E97" s="13">
        <f t="shared" si="33"/>
        <v>2000</v>
      </c>
      <c r="F97" s="14">
        <f t="shared" si="34"/>
        <v>236000</v>
      </c>
      <c r="G97" s="15">
        <f t="shared" si="35"/>
        <v>0.68220698915161515</v>
      </c>
      <c r="H97" s="13">
        <f t="shared" si="36"/>
        <v>2188.4677424253769</v>
      </c>
      <c r="I97" s="13">
        <f t="shared" si="37"/>
        <v>108327.96118725934</v>
      </c>
      <c r="J97" s="15">
        <f t="shared" si="29"/>
        <v>0.31779301084838485</v>
      </c>
      <c r="K97" s="13">
        <f t="shared" si="38"/>
        <v>109936.0630319647</v>
      </c>
      <c r="L97" s="13">
        <f t="shared" si="46"/>
        <v>3806592.6612097714</v>
      </c>
      <c r="M97" s="15">
        <f t="shared" si="39"/>
        <v>0.31779301084838485</v>
      </c>
      <c r="N97" s="13">
        <f t="shared" si="30"/>
        <v>0</v>
      </c>
      <c r="O97" s="13">
        <f t="shared" si="40"/>
        <v>-1608.1018447052338</v>
      </c>
      <c r="P97" s="15">
        <f t="shared" si="31"/>
        <v>-4.6702621511201733E-3</v>
      </c>
      <c r="Q97" s="7">
        <f t="shared" si="41"/>
        <v>344327.96118725947</v>
      </c>
      <c r="R97" s="7">
        <f t="shared" si="42"/>
        <v>345936.0630319647</v>
      </c>
      <c r="S97" s="13">
        <f>IF('BANCO DE DADOS'!$AD$32="Sim",R97,Q97)</f>
        <v>345936.0630319647</v>
      </c>
      <c r="T97" s="9">
        <f t="shared" si="43"/>
        <v>93</v>
      </c>
      <c r="U97" s="18">
        <f t="shared" ca="1" si="44"/>
        <v>47209</v>
      </c>
      <c r="V97" s="24"/>
      <c r="W97" s="24"/>
      <c r="X97" s="24"/>
    </row>
    <row r="98" spans="2:24" x14ac:dyDescent="0.2">
      <c r="B98" s="18">
        <f t="shared" ca="1" si="32"/>
        <v>47209</v>
      </c>
      <c r="C98" s="9">
        <f t="shared" si="45"/>
        <v>94</v>
      </c>
      <c r="D98" s="9"/>
      <c r="E98" s="13">
        <f t="shared" si="33"/>
        <v>2000</v>
      </c>
      <c r="F98" s="14">
        <f t="shared" si="34"/>
        <v>238000</v>
      </c>
      <c r="G98" s="15">
        <f t="shared" si="35"/>
        <v>0.67966076356818705</v>
      </c>
      <c r="H98" s="13">
        <f t="shared" si="36"/>
        <v>2215.4164699949201</v>
      </c>
      <c r="I98" s="13">
        <f t="shared" si="37"/>
        <v>110543.37765725426</v>
      </c>
      <c r="J98" s="15">
        <f t="shared" si="29"/>
        <v>0.32033923643181295</v>
      </c>
      <c r="K98" s="13">
        <f t="shared" si="38"/>
        <v>112174.69413786841</v>
      </c>
      <c r="L98" s="13">
        <f t="shared" si="46"/>
        <v>3918767.3553476399</v>
      </c>
      <c r="M98" s="15">
        <f t="shared" si="39"/>
        <v>0.32033923643181295</v>
      </c>
      <c r="N98" s="13">
        <f t="shared" si="30"/>
        <v>0</v>
      </c>
      <c r="O98" s="13">
        <f t="shared" si="40"/>
        <v>-1631.3164806140121</v>
      </c>
      <c r="P98" s="15">
        <f t="shared" si="31"/>
        <v>-4.6803829456722396E-3</v>
      </c>
      <c r="Q98" s="7">
        <f t="shared" si="41"/>
        <v>348543.3776572544</v>
      </c>
      <c r="R98" s="7">
        <f t="shared" si="42"/>
        <v>350174.69413786841</v>
      </c>
      <c r="S98" s="13">
        <f>IF('BANCO DE DADOS'!$AD$32="Sim",R98,Q98)</f>
        <v>350174.69413786841</v>
      </c>
      <c r="T98" s="9">
        <f t="shared" si="43"/>
        <v>94</v>
      </c>
      <c r="U98" s="18">
        <f t="shared" ca="1" si="44"/>
        <v>47239</v>
      </c>
      <c r="V98" s="24"/>
      <c r="W98" s="24"/>
      <c r="X98" s="24"/>
    </row>
    <row r="99" spans="2:24" x14ac:dyDescent="0.2">
      <c r="B99" s="18">
        <f t="shared" ca="1" si="32"/>
        <v>47239</v>
      </c>
      <c r="C99" s="9">
        <f t="shared" si="45"/>
        <v>95</v>
      </c>
      <c r="D99" s="9"/>
      <c r="E99" s="13">
        <f t="shared" si="33"/>
        <v>2000</v>
      </c>
      <c r="F99" s="14">
        <f t="shared" si="34"/>
        <v>240000</v>
      </c>
      <c r="G99" s="15">
        <f t="shared" si="35"/>
        <v>0.67712333806652403</v>
      </c>
      <c r="H99" s="13">
        <f t="shared" si="36"/>
        <v>2242.5385864890718</v>
      </c>
      <c r="I99" s="13">
        <f t="shared" si="37"/>
        <v>112785.91624374333</v>
      </c>
      <c r="J99" s="15">
        <f t="shared" si="29"/>
        <v>0.32287666193347597</v>
      </c>
      <c r="K99" s="13">
        <f t="shared" si="38"/>
        <v>114440.59672393271</v>
      </c>
      <c r="L99" s="13">
        <f t="shared" si="46"/>
        <v>4033207.9520715727</v>
      </c>
      <c r="M99" s="15">
        <f t="shared" si="39"/>
        <v>0.32287666193347597</v>
      </c>
      <c r="N99" s="13">
        <f t="shared" si="30"/>
        <v>0</v>
      </c>
      <c r="O99" s="13">
        <f t="shared" si="40"/>
        <v>-1654.680480189214</v>
      </c>
      <c r="P99" s="15">
        <f t="shared" si="31"/>
        <v>-4.6903246529999736E-3</v>
      </c>
      <c r="Q99" s="7">
        <f t="shared" si="41"/>
        <v>352785.9162437435</v>
      </c>
      <c r="R99" s="7">
        <f t="shared" si="42"/>
        <v>354440.59672393271</v>
      </c>
      <c r="S99" s="13">
        <f>IF('BANCO DE DADOS'!$AD$32="Sim",R99,Q99)</f>
        <v>354440.59672393271</v>
      </c>
      <c r="T99" s="9">
        <f t="shared" si="43"/>
        <v>95</v>
      </c>
      <c r="U99" s="18">
        <f t="shared" ca="1" si="44"/>
        <v>47270</v>
      </c>
      <c r="V99" s="24"/>
      <c r="W99" s="24"/>
      <c r="X99" s="24"/>
    </row>
    <row r="100" spans="2:24" x14ac:dyDescent="0.2">
      <c r="B100" s="18">
        <f t="shared" ca="1" si="32"/>
        <v>47270</v>
      </c>
      <c r="C100" s="9">
        <f t="shared" si="45"/>
        <v>96</v>
      </c>
      <c r="D100" s="9">
        <v>8</v>
      </c>
      <c r="E100" s="13">
        <f t="shared" si="33"/>
        <v>2000</v>
      </c>
      <c r="F100" s="14">
        <f t="shared" si="34"/>
        <v>242000</v>
      </c>
      <c r="G100" s="15">
        <f t="shared" si="35"/>
        <v>0.67459464744247599</v>
      </c>
      <c r="H100" s="13">
        <f t="shared" si="36"/>
        <v>2269.8352074973941</v>
      </c>
      <c r="I100" s="13">
        <f t="shared" si="37"/>
        <v>115055.75145124072</v>
      </c>
      <c r="J100" s="15">
        <f t="shared" si="29"/>
        <v>0.32540535255752401</v>
      </c>
      <c r="K100" s="13">
        <f t="shared" si="38"/>
        <v>116733.94625568209</v>
      </c>
      <c r="L100" s="13">
        <f t="shared" si="46"/>
        <v>4149941.8983272547</v>
      </c>
      <c r="M100" s="15">
        <f t="shared" si="39"/>
        <v>0.32540535255752401</v>
      </c>
      <c r="N100" s="13">
        <f t="shared" si="30"/>
        <v>0</v>
      </c>
      <c r="O100" s="13">
        <f t="shared" si="40"/>
        <v>-1678.1948044411838</v>
      </c>
      <c r="P100" s="15">
        <f t="shared" si="31"/>
        <v>-4.7000917857231489E-3</v>
      </c>
      <c r="Q100" s="7">
        <f t="shared" si="41"/>
        <v>357055.75145124091</v>
      </c>
      <c r="R100" s="7">
        <f t="shared" si="42"/>
        <v>358733.94625568209</v>
      </c>
      <c r="S100" s="13">
        <f>IF('BANCO DE DADOS'!$AD$32="Sim",R100,Q100)</f>
        <v>358733.94625568209</v>
      </c>
      <c r="T100" s="9">
        <f t="shared" si="43"/>
        <v>96</v>
      </c>
      <c r="U100" s="18">
        <f t="shared" ca="1" si="44"/>
        <v>47300</v>
      </c>
      <c r="V100" s="24"/>
      <c r="W100" s="24"/>
      <c r="X100" s="24"/>
    </row>
    <row r="101" spans="2:24" x14ac:dyDescent="0.2">
      <c r="B101" s="18">
        <f t="shared" ca="1" si="32"/>
        <v>47300</v>
      </c>
      <c r="C101" s="9">
        <f t="shared" si="45"/>
        <v>97</v>
      </c>
      <c r="D101" s="9"/>
      <c r="E101" s="13">
        <f t="shared" si="33"/>
        <v>2000</v>
      </c>
      <c r="F101" s="14">
        <f t="shared" si="34"/>
        <v>244000</v>
      </c>
      <c r="G101" s="15">
        <f t="shared" si="35"/>
        <v>0.6720746284113398</v>
      </c>
      <c r="H101" s="13">
        <f t="shared" si="36"/>
        <v>2297.3074557871851</v>
      </c>
      <c r="I101" s="13">
        <f t="shared" si="37"/>
        <v>117353.05890702791</v>
      </c>
      <c r="J101" s="15">
        <f t="shared" si="29"/>
        <v>0.3279253715886602</v>
      </c>
      <c r="K101" s="13">
        <f t="shared" si="38"/>
        <v>119054.91932759149</v>
      </c>
      <c r="L101" s="13">
        <f t="shared" si="46"/>
        <v>4268996.8176548462</v>
      </c>
      <c r="M101" s="15">
        <f t="shared" si="39"/>
        <v>0.3279253715886602</v>
      </c>
      <c r="N101" s="13">
        <f t="shared" si="30"/>
        <v>0</v>
      </c>
      <c r="O101" s="13">
        <f t="shared" si="40"/>
        <v>-1701.8604205633746</v>
      </c>
      <c r="P101" s="15">
        <f t="shared" si="31"/>
        <v>-4.7096887064161904E-3</v>
      </c>
      <c r="Q101" s="7">
        <f t="shared" si="41"/>
        <v>361353.05890702811</v>
      </c>
      <c r="R101" s="7">
        <f t="shared" si="42"/>
        <v>363054.91932759149</v>
      </c>
      <c r="S101" s="13">
        <f>IF('BANCO DE DADOS'!$AD$32="Sim",R101,Q101)</f>
        <v>363054.91932759149</v>
      </c>
      <c r="T101" s="9">
        <f t="shared" si="43"/>
        <v>97</v>
      </c>
      <c r="U101" s="18">
        <f t="shared" ca="1" si="44"/>
        <v>47331</v>
      </c>
      <c r="V101" s="24"/>
      <c r="W101" s="24"/>
      <c r="X101" s="24"/>
    </row>
    <row r="102" spans="2:24" x14ac:dyDescent="0.2">
      <c r="B102" s="18">
        <f t="shared" ca="1" si="32"/>
        <v>47331</v>
      </c>
      <c r="C102" s="9">
        <f t="shared" si="45"/>
        <v>98</v>
      </c>
      <c r="D102" s="9"/>
      <c r="E102" s="13">
        <f t="shared" si="33"/>
        <v>2000</v>
      </c>
      <c r="F102" s="14">
        <f t="shared" si="34"/>
        <v>246000</v>
      </c>
      <c r="G102" s="15">
        <f t="shared" si="35"/>
        <v>0.66956321952691489</v>
      </c>
      <c r="H102" s="13">
        <f t="shared" si="36"/>
        <v>2324.9564613496623</v>
      </c>
      <c r="I102" s="13">
        <f t="shared" si="37"/>
        <v>119678.01536837757</v>
      </c>
      <c r="J102" s="15">
        <f t="shared" si="29"/>
        <v>0.33043678047308511</v>
      </c>
      <c r="K102" s="13">
        <f t="shared" si="38"/>
        <v>121403.69367035007</v>
      </c>
      <c r="L102" s="13">
        <f t="shared" si="46"/>
        <v>4390400.5113251964</v>
      </c>
      <c r="M102" s="15">
        <f t="shared" si="39"/>
        <v>0.33043678047308511</v>
      </c>
      <c r="N102" s="13">
        <f t="shared" si="30"/>
        <v>0</v>
      </c>
      <c r="O102" s="13">
        <f t="shared" si="40"/>
        <v>-1725.6783019722789</v>
      </c>
      <c r="P102" s="15">
        <f t="shared" si="31"/>
        <v>-4.7191196337954856E-3</v>
      </c>
      <c r="Q102" s="7">
        <f t="shared" si="41"/>
        <v>365678.01536837779</v>
      </c>
      <c r="R102" s="7">
        <f t="shared" si="42"/>
        <v>367403.69367035007</v>
      </c>
      <c r="S102" s="13">
        <f>IF('BANCO DE DADOS'!$AD$32="Sim",R102,Q102)</f>
        <v>367403.69367035007</v>
      </c>
      <c r="T102" s="9">
        <f t="shared" si="43"/>
        <v>98</v>
      </c>
      <c r="U102" s="18">
        <f t="shared" ca="1" si="44"/>
        <v>47362</v>
      </c>
      <c r="V102" s="24"/>
      <c r="W102" s="24"/>
      <c r="X102" s="24"/>
    </row>
    <row r="103" spans="2:24" x14ac:dyDescent="0.2">
      <c r="B103" s="18">
        <f t="shared" ca="1" si="32"/>
        <v>47362</v>
      </c>
      <c r="C103" s="9">
        <f t="shared" si="45"/>
        <v>99</v>
      </c>
      <c r="D103" s="9"/>
      <c r="E103" s="13">
        <f t="shared" si="33"/>
        <v>2000</v>
      </c>
      <c r="F103" s="14">
        <f t="shared" si="34"/>
        <v>248000</v>
      </c>
      <c r="G103" s="15">
        <f t="shared" si="35"/>
        <v>0.66706036110454625</v>
      </c>
      <c r="H103" s="13">
        <f t="shared" si="36"/>
        <v>2352.7833614464398</v>
      </c>
      <c r="I103" s="13">
        <f t="shared" si="37"/>
        <v>122030.79872982402</v>
      </c>
      <c r="J103" s="15">
        <f t="shared" si="29"/>
        <v>0.33293963889545375</v>
      </c>
      <c r="K103" s="13">
        <f t="shared" si="38"/>
        <v>123780.44815817161</v>
      </c>
      <c r="L103" s="13">
        <f t="shared" si="46"/>
        <v>4514180.9594833683</v>
      </c>
      <c r="M103" s="15">
        <f t="shared" si="39"/>
        <v>0.33293963889545375</v>
      </c>
      <c r="N103" s="13">
        <f t="shared" si="30"/>
        <v>0</v>
      </c>
      <c r="O103" s="13">
        <f t="shared" si="40"/>
        <v>-1749.6494283473585</v>
      </c>
      <c r="P103" s="15">
        <f t="shared" si="31"/>
        <v>-4.7283886486023411E-3</v>
      </c>
      <c r="Q103" s="7">
        <f t="shared" si="41"/>
        <v>370030.79872982425</v>
      </c>
      <c r="R103" s="7">
        <f t="shared" si="42"/>
        <v>371780.44815817161</v>
      </c>
      <c r="S103" s="13">
        <f>IF('BANCO DE DADOS'!$AD$32="Sim",R103,Q103)</f>
        <v>371780.44815817161</v>
      </c>
      <c r="T103" s="9">
        <f t="shared" si="43"/>
        <v>99</v>
      </c>
      <c r="U103" s="18">
        <f t="shared" ca="1" si="44"/>
        <v>47392</v>
      </c>
      <c r="V103" s="24"/>
      <c r="W103" s="24"/>
      <c r="X103" s="24"/>
    </row>
    <row r="104" spans="2:24" x14ac:dyDescent="0.2">
      <c r="B104" s="18">
        <f t="shared" ca="1" si="32"/>
        <v>47392</v>
      </c>
      <c r="C104" s="9">
        <f t="shared" si="45"/>
        <v>100</v>
      </c>
      <c r="D104" s="9"/>
      <c r="E104" s="13">
        <f t="shared" si="33"/>
        <v>2000</v>
      </c>
      <c r="F104" s="14">
        <f t="shared" si="34"/>
        <v>250000</v>
      </c>
      <c r="G104" s="15">
        <f t="shared" si="35"/>
        <v>0.66456599514792714</v>
      </c>
      <c r="H104" s="13">
        <f t="shared" si="36"/>
        <v>2380.7893006563081</v>
      </c>
      <c r="I104" s="13">
        <f t="shared" si="37"/>
        <v>124411.58803048033</v>
      </c>
      <c r="J104" s="15">
        <f t="shared" si="29"/>
        <v>0.33543400485207286</v>
      </c>
      <c r="K104" s="13">
        <f t="shared" si="38"/>
        <v>126185.36281615187</v>
      </c>
      <c r="L104" s="13">
        <f t="shared" si="46"/>
        <v>4640366.3222995205</v>
      </c>
      <c r="M104" s="15">
        <f t="shared" si="39"/>
        <v>0.33543400485207286</v>
      </c>
      <c r="N104" s="13">
        <f t="shared" si="30"/>
        <v>0</v>
      </c>
      <c r="O104" s="13">
        <f t="shared" si="40"/>
        <v>-1773.7747856713249</v>
      </c>
      <c r="P104" s="15">
        <f t="shared" si="31"/>
        <v>-4.7374996991998101E-3</v>
      </c>
      <c r="Q104" s="7">
        <f t="shared" si="41"/>
        <v>374411.58803048055</v>
      </c>
      <c r="R104" s="7">
        <f t="shared" si="42"/>
        <v>376185.36281615187</v>
      </c>
      <c r="S104" s="13">
        <f>IF('BANCO DE DADOS'!$AD$32="Sim",R104,Q104)</f>
        <v>376185.36281615187</v>
      </c>
      <c r="T104" s="9">
        <f t="shared" si="43"/>
        <v>100</v>
      </c>
      <c r="U104" s="18">
        <f t="shared" ca="1" si="44"/>
        <v>47423</v>
      </c>
      <c r="V104" s="24"/>
      <c r="W104" s="24"/>
      <c r="X104" s="24"/>
    </row>
    <row r="105" spans="2:24" x14ac:dyDescent="0.2">
      <c r="B105" s="18">
        <f t="shared" ca="1" si="32"/>
        <v>47423</v>
      </c>
      <c r="C105" s="9">
        <f t="shared" si="45"/>
        <v>101</v>
      </c>
      <c r="D105" s="9"/>
      <c r="E105" s="13">
        <f t="shared" si="33"/>
        <v>2000</v>
      </c>
      <c r="F105" s="14">
        <f t="shared" si="34"/>
        <v>252000</v>
      </c>
      <c r="G105" s="27">
        <f t="shared" si="35"/>
        <v>0.66208006527944951</v>
      </c>
      <c r="H105" s="13">
        <f t="shared" si="36"/>
        <v>2408.9754309223117</v>
      </c>
      <c r="I105" s="13">
        <f t="shared" si="37"/>
        <v>126820.56346140263</v>
      </c>
      <c r="J105" s="27">
        <f t="shared" si="29"/>
        <v>0.33791993472055049</v>
      </c>
      <c r="K105" s="13">
        <f t="shared" si="38"/>
        <v>128618.61882767355</v>
      </c>
      <c r="L105" s="13">
        <f t="shared" si="46"/>
        <v>4768984.9411271941</v>
      </c>
      <c r="M105" s="27">
        <f t="shared" si="39"/>
        <v>0.33791993472055054</v>
      </c>
      <c r="N105" s="13">
        <f t="shared" si="30"/>
        <v>0</v>
      </c>
      <c r="O105" s="13">
        <f t="shared" si="40"/>
        <v>-1798.0553662707098</v>
      </c>
      <c r="P105" s="27">
        <f t="shared" si="31"/>
        <v>-4.7464566068993498E-3</v>
      </c>
      <c r="Q105" s="7">
        <f t="shared" si="41"/>
        <v>378820.56346140284</v>
      </c>
      <c r="R105" s="7">
        <f t="shared" si="42"/>
        <v>380618.61882767355</v>
      </c>
      <c r="S105" s="13">
        <f>IF('BANCO DE DADOS'!$AD$32="Sim",R105,Q105)</f>
        <v>380618.61882767355</v>
      </c>
      <c r="T105" s="9">
        <f t="shared" si="43"/>
        <v>101</v>
      </c>
      <c r="U105" s="18">
        <f t="shared" ca="1" si="44"/>
        <v>47453</v>
      </c>
      <c r="V105" s="24"/>
      <c r="W105" s="24"/>
      <c r="X105" s="24"/>
    </row>
    <row r="106" spans="2:24" x14ac:dyDescent="0.2">
      <c r="B106" s="18">
        <f t="shared" ca="1" si="32"/>
        <v>47453</v>
      </c>
      <c r="C106" s="9">
        <f t="shared" si="45"/>
        <v>102</v>
      </c>
      <c r="D106" s="9"/>
      <c r="E106" s="13">
        <f t="shared" si="33"/>
        <v>2000</v>
      </c>
      <c r="F106" s="14">
        <f t="shared" si="34"/>
        <v>254000</v>
      </c>
      <c r="G106" s="27">
        <f t="shared" si="35"/>
        <v>0.65960251667390413</v>
      </c>
      <c r="H106" s="13">
        <f t="shared" si="36"/>
        <v>2437.3429115991312</v>
      </c>
      <c r="I106" s="13">
        <f t="shared" si="37"/>
        <v>129257.90637300177</v>
      </c>
      <c r="J106" s="27">
        <f t="shared" si="29"/>
        <v>0.34039748332609587</v>
      </c>
      <c r="K106" s="13">
        <f t="shared" si="38"/>
        <v>131080.39854185871</v>
      </c>
      <c r="L106" s="13">
        <f t="shared" si="46"/>
        <v>4900065.3396690525</v>
      </c>
      <c r="M106" s="27">
        <f t="shared" si="39"/>
        <v>0.34039748332609587</v>
      </c>
      <c r="N106" s="13">
        <f t="shared" si="30"/>
        <v>0</v>
      </c>
      <c r="O106" s="13">
        <f t="shared" si="40"/>
        <v>-1822.4921688567265</v>
      </c>
      <c r="P106" s="27">
        <f t="shared" si="31"/>
        <v>-4.7552630710323927E-3</v>
      </c>
      <c r="Q106" s="7">
        <f t="shared" si="41"/>
        <v>383257.90637300198</v>
      </c>
      <c r="R106" s="7">
        <f t="shared" si="42"/>
        <v>385080.39854185871</v>
      </c>
      <c r="S106" s="13">
        <f>IF('BANCO DE DADOS'!$AD$32="Sim",R106,Q106)</f>
        <v>385080.39854185871</v>
      </c>
      <c r="T106" s="9">
        <f t="shared" si="43"/>
        <v>102</v>
      </c>
      <c r="U106" s="18">
        <f t="shared" ca="1" si="44"/>
        <v>47484</v>
      </c>
      <c r="V106" s="24"/>
      <c r="W106" s="24"/>
      <c r="X106" s="24"/>
    </row>
    <row r="107" spans="2:24" x14ac:dyDescent="0.2">
      <c r="B107" s="18">
        <f t="shared" ca="1" si="32"/>
        <v>47484</v>
      </c>
      <c r="C107" s="9">
        <f t="shared" si="45"/>
        <v>103</v>
      </c>
      <c r="D107" s="9"/>
      <c r="E107" s="13">
        <f t="shared" si="33"/>
        <v>2000</v>
      </c>
      <c r="F107" s="14">
        <f t="shared" si="34"/>
        <v>256000</v>
      </c>
      <c r="G107" s="27">
        <f t="shared" si="35"/>
        <v>0.65713329599534487</v>
      </c>
      <c r="H107" s="13">
        <f t="shared" si="36"/>
        <v>2465.8929095007702</v>
      </c>
      <c r="I107" s="13">
        <f t="shared" si="37"/>
        <v>131723.79928250253</v>
      </c>
      <c r="J107" s="27">
        <f t="shared" si="29"/>
        <v>0.34286670400465513</v>
      </c>
      <c r="K107" s="13">
        <f t="shared" si="38"/>
        <v>133570.88548106916</v>
      </c>
      <c r="L107" s="13">
        <f t="shared" si="46"/>
        <v>5033636.2251501214</v>
      </c>
      <c r="M107" s="27">
        <f t="shared" si="39"/>
        <v>0.34286670400465519</v>
      </c>
      <c r="N107" s="13">
        <f t="shared" si="30"/>
        <v>0</v>
      </c>
      <c r="O107" s="13">
        <f t="shared" si="40"/>
        <v>-1847.0861985664233</v>
      </c>
      <c r="P107" s="27">
        <f t="shared" si="31"/>
        <v>-4.763922673780987E-3</v>
      </c>
      <c r="Q107" s="7">
        <f t="shared" si="41"/>
        <v>387723.79928250273</v>
      </c>
      <c r="R107" s="7">
        <f t="shared" si="42"/>
        <v>389570.88548106916</v>
      </c>
      <c r="S107" s="13">
        <f>IF('BANCO DE DADOS'!$AD$32="Sim",R107,Q107)</f>
        <v>389570.88548106916</v>
      </c>
      <c r="T107" s="9">
        <f t="shared" si="43"/>
        <v>103</v>
      </c>
      <c r="U107" s="18">
        <f t="shared" ca="1" si="44"/>
        <v>47515</v>
      </c>
      <c r="V107" s="24"/>
      <c r="W107" s="24"/>
      <c r="X107" s="24"/>
    </row>
    <row r="108" spans="2:24" x14ac:dyDescent="0.2">
      <c r="B108" s="18">
        <f t="shared" ca="1" si="32"/>
        <v>47515</v>
      </c>
      <c r="C108" s="9">
        <f t="shared" si="45"/>
        <v>104</v>
      </c>
      <c r="D108" s="9"/>
      <c r="E108" s="13">
        <f t="shared" si="33"/>
        <v>2000</v>
      </c>
      <c r="F108" s="14">
        <f t="shared" si="34"/>
        <v>258000</v>
      </c>
      <c r="G108" s="27">
        <f t="shared" si="35"/>
        <v>0.65467235133694168</v>
      </c>
      <c r="H108" s="13">
        <f t="shared" si="36"/>
        <v>2494.6265989485491</v>
      </c>
      <c r="I108" s="13">
        <f t="shared" si="37"/>
        <v>134218.42588145108</v>
      </c>
      <c r="J108" s="27">
        <f t="shared" si="29"/>
        <v>0.34532764866305832</v>
      </c>
      <c r="K108" s="13">
        <f t="shared" si="38"/>
        <v>136090.26434845506</v>
      </c>
      <c r="L108" s="13">
        <f t="shared" si="46"/>
        <v>5169726.4894985761</v>
      </c>
      <c r="M108" s="27">
        <f t="shared" si="39"/>
        <v>0.34532764866305832</v>
      </c>
      <c r="N108" s="13">
        <f t="shared" si="30"/>
        <v>0</v>
      </c>
      <c r="O108" s="13">
        <f t="shared" si="40"/>
        <v>-1871.8384670037776</v>
      </c>
      <c r="P108" s="27">
        <f t="shared" si="31"/>
        <v>-4.77243888477984E-3</v>
      </c>
      <c r="Q108" s="7">
        <f t="shared" si="41"/>
        <v>392218.42588145129</v>
      </c>
      <c r="R108" s="7">
        <f t="shared" si="42"/>
        <v>394090.26434845506</v>
      </c>
      <c r="S108" s="13">
        <f>IF('BANCO DE DADOS'!$AD$32="Sim",R108,Q108)</f>
        <v>394090.26434845506</v>
      </c>
      <c r="T108" s="9">
        <f t="shared" si="43"/>
        <v>104</v>
      </c>
      <c r="U108" s="18">
        <f t="shared" ca="1" si="44"/>
        <v>47543</v>
      </c>
      <c r="V108" s="24"/>
      <c r="W108" s="24"/>
      <c r="X108" s="24"/>
    </row>
    <row r="109" spans="2:24" x14ac:dyDescent="0.2">
      <c r="B109" s="18">
        <f t="shared" ca="1" si="32"/>
        <v>47543</v>
      </c>
      <c r="C109" s="9">
        <f t="shared" si="45"/>
        <v>105</v>
      </c>
      <c r="D109" s="9"/>
      <c r="E109" s="13">
        <f t="shared" si="33"/>
        <v>2000</v>
      </c>
      <c r="F109" s="14">
        <f t="shared" si="34"/>
        <v>260000</v>
      </c>
      <c r="G109" s="15">
        <f t="shared" si="35"/>
        <v>0.65221963216366052</v>
      </c>
      <c r="H109" s="13">
        <f t="shared" si="36"/>
        <v>2523.5451618194061</v>
      </c>
      <c r="I109" s="13">
        <f t="shared" si="37"/>
        <v>136741.97104327049</v>
      </c>
      <c r="J109" s="15">
        <f t="shared" si="29"/>
        <v>0.34778036783633948</v>
      </c>
      <c r="K109" s="13">
        <f t="shared" si="38"/>
        <v>138638.72103555227</v>
      </c>
      <c r="L109" s="13">
        <f t="shared" si="46"/>
        <v>5308365.2105341284</v>
      </c>
      <c r="M109" s="15">
        <f t="shared" si="39"/>
        <v>0.34778036783633942</v>
      </c>
      <c r="N109" s="13">
        <f t="shared" si="30"/>
        <v>0</v>
      </c>
      <c r="O109" s="13">
        <f t="shared" si="40"/>
        <v>-1896.7499922815477</v>
      </c>
      <c r="P109" s="15">
        <f t="shared" si="31"/>
        <v>-4.7808150655043206E-3</v>
      </c>
      <c r="Q109" s="7">
        <f t="shared" si="41"/>
        <v>396741.97104327072</v>
      </c>
      <c r="R109" s="7">
        <f t="shared" si="42"/>
        <v>398638.72103555227</v>
      </c>
      <c r="S109" s="13">
        <f>IF('BANCO DE DADOS'!$AD$32="Sim",R109,Q109)</f>
        <v>398638.72103555227</v>
      </c>
      <c r="T109" s="9">
        <f t="shared" si="43"/>
        <v>105</v>
      </c>
      <c r="U109" s="18">
        <f t="shared" ca="1" si="44"/>
        <v>47574</v>
      </c>
      <c r="V109" s="24"/>
      <c r="W109" s="24"/>
      <c r="X109" s="24"/>
    </row>
    <row r="110" spans="2:24" x14ac:dyDescent="0.2">
      <c r="B110" s="18">
        <f t="shared" ca="1" si="32"/>
        <v>47574</v>
      </c>
      <c r="C110" s="9">
        <f t="shared" si="45"/>
        <v>106</v>
      </c>
      <c r="D110" s="9"/>
      <c r="E110" s="13">
        <f t="shared" si="33"/>
        <v>2000</v>
      </c>
      <c r="F110" s="14">
        <f t="shared" si="34"/>
        <v>262000</v>
      </c>
      <c r="G110" s="15">
        <f t="shared" si="35"/>
        <v>0.64977508925761585</v>
      </c>
      <c r="H110" s="13">
        <f t="shared" si="36"/>
        <v>2552.6497875945129</v>
      </c>
      <c r="I110" s="13">
        <f t="shared" si="37"/>
        <v>139294.62083086499</v>
      </c>
      <c r="J110" s="15">
        <f t="shared" si="29"/>
        <v>0.35022491074238415</v>
      </c>
      <c r="K110" s="13">
        <f t="shared" si="38"/>
        <v>141216.44262992829</v>
      </c>
      <c r="L110" s="13">
        <f t="shared" si="46"/>
        <v>5449581.6531640571</v>
      </c>
      <c r="M110" s="15">
        <f t="shared" si="39"/>
        <v>0.35022491074238415</v>
      </c>
      <c r="N110" s="13">
        <f t="shared" si="30"/>
        <v>0</v>
      </c>
      <c r="O110" s="13">
        <f t="shared" si="40"/>
        <v>-1921.8217990630656</v>
      </c>
      <c r="P110" s="15">
        <f t="shared" si="31"/>
        <v>-4.7890544734539593E-3</v>
      </c>
      <c r="Q110" s="7">
        <f t="shared" si="41"/>
        <v>401294.62083086523</v>
      </c>
      <c r="R110" s="7">
        <f t="shared" si="42"/>
        <v>403216.44262992829</v>
      </c>
      <c r="S110" s="13">
        <f>IF('BANCO DE DADOS'!$AD$32="Sim",R110,Q110)</f>
        <v>403216.44262992829</v>
      </c>
      <c r="T110" s="9">
        <f t="shared" si="43"/>
        <v>106</v>
      </c>
      <c r="U110" s="18">
        <f t="shared" ca="1" si="44"/>
        <v>47604</v>
      </c>
      <c r="V110" s="24"/>
      <c r="W110" s="24"/>
      <c r="X110" s="24"/>
    </row>
    <row r="111" spans="2:24" x14ac:dyDescent="0.2">
      <c r="B111" s="18">
        <f t="shared" ca="1" si="32"/>
        <v>47604</v>
      </c>
      <c r="C111" s="9">
        <f t="shared" si="45"/>
        <v>107</v>
      </c>
      <c r="D111" s="9"/>
      <c r="E111" s="13">
        <f t="shared" si="33"/>
        <v>2000</v>
      </c>
      <c r="F111" s="14">
        <f t="shared" si="34"/>
        <v>264000</v>
      </c>
      <c r="G111" s="15">
        <f t="shared" si="35"/>
        <v>0.64733867466595219</v>
      </c>
      <c r="H111" s="13">
        <f t="shared" si="36"/>
        <v>2581.9416734081965</v>
      </c>
      <c r="I111" s="13">
        <f t="shared" si="37"/>
        <v>141876.5625042732</v>
      </c>
      <c r="J111" s="15">
        <f t="shared" si="29"/>
        <v>0.35266132533404781</v>
      </c>
      <c r="K111" s="13">
        <f t="shared" si="38"/>
        <v>143823.61742287775</v>
      </c>
      <c r="L111" s="13">
        <f t="shared" si="46"/>
        <v>5593405.2705869349</v>
      </c>
      <c r="M111" s="15">
        <f t="shared" si="39"/>
        <v>0.35266132533404781</v>
      </c>
      <c r="N111" s="13">
        <f t="shared" si="30"/>
        <v>0</v>
      </c>
      <c r="O111" s="13">
        <f t="shared" si="40"/>
        <v>-1947.0549186043208</v>
      </c>
      <c r="P111" s="15">
        <f t="shared" si="31"/>
        <v>-4.7971602661432819E-3</v>
      </c>
      <c r="Q111" s="7">
        <f t="shared" si="41"/>
        <v>405876.56250427343</v>
      </c>
      <c r="R111" s="7">
        <f t="shared" si="42"/>
        <v>407823.61742287775</v>
      </c>
      <c r="S111" s="13">
        <f>IF('BANCO DE DADOS'!$AD$32="Sim",R111,Q111)</f>
        <v>407823.61742287775</v>
      </c>
      <c r="T111" s="9">
        <f t="shared" si="43"/>
        <v>107</v>
      </c>
      <c r="U111" s="18">
        <f t="shared" ca="1" si="44"/>
        <v>47635</v>
      </c>
      <c r="V111" s="24"/>
      <c r="W111" s="24"/>
      <c r="X111" s="24"/>
    </row>
    <row r="112" spans="2:24" x14ac:dyDescent="0.2">
      <c r="B112" s="18">
        <f t="shared" ca="1" si="32"/>
        <v>47635</v>
      </c>
      <c r="C112" s="9">
        <f t="shared" si="45"/>
        <v>108</v>
      </c>
      <c r="D112" s="9">
        <v>9</v>
      </c>
      <c r="E112" s="13">
        <f t="shared" si="33"/>
        <v>2000</v>
      </c>
      <c r="F112" s="14">
        <f t="shared" si="34"/>
        <v>266000</v>
      </c>
      <c r="G112" s="15">
        <f t="shared" si="35"/>
        <v>0.6449103416511206</v>
      </c>
      <c r="H112" s="13">
        <f t="shared" si="36"/>
        <v>2611.4220240971845</v>
      </c>
      <c r="I112" s="13">
        <f t="shared" si="37"/>
        <v>144487.98452837038</v>
      </c>
      <c r="J112" s="15">
        <f t="shared" si="29"/>
        <v>0.3550896583488794</v>
      </c>
      <c r="K112" s="13">
        <f t="shared" si="38"/>
        <v>146460.43491716706</v>
      </c>
      <c r="L112" s="13">
        <f t="shared" si="46"/>
        <v>5739865.7055041017</v>
      </c>
      <c r="M112" s="15">
        <f t="shared" si="39"/>
        <v>0.3550896583488794</v>
      </c>
      <c r="N112" s="13">
        <f t="shared" si="30"/>
        <v>0</v>
      </c>
      <c r="O112" s="13">
        <f t="shared" si="40"/>
        <v>-1972.4503887964529</v>
      </c>
      <c r="P112" s="15">
        <f t="shared" si="31"/>
        <v>-4.8051355049105668E-3</v>
      </c>
      <c r="Q112" s="7">
        <f t="shared" si="41"/>
        <v>410487.98452837061</v>
      </c>
      <c r="R112" s="7">
        <f t="shared" si="42"/>
        <v>412460.43491716706</v>
      </c>
      <c r="S112" s="13">
        <f>IF('BANCO DE DADOS'!$AD$32="Sim",R112,Q112)</f>
        <v>412460.43491716706</v>
      </c>
      <c r="T112" s="9">
        <f t="shared" si="43"/>
        <v>108</v>
      </c>
      <c r="U112" s="18">
        <f t="shared" ca="1" si="44"/>
        <v>47665</v>
      </c>
      <c r="V112" s="24"/>
      <c r="W112" s="24"/>
      <c r="X112" s="24"/>
    </row>
    <row r="113" spans="2:24" x14ac:dyDescent="0.2">
      <c r="B113" s="18">
        <f t="shared" ca="1" si="32"/>
        <v>47665</v>
      </c>
      <c r="C113" s="9">
        <f t="shared" si="45"/>
        <v>109</v>
      </c>
      <c r="D113" s="9"/>
      <c r="E113" s="13">
        <f t="shared" si="33"/>
        <v>2000</v>
      </c>
      <c r="F113" s="14">
        <f t="shared" si="34"/>
        <v>268000</v>
      </c>
      <c r="G113" s="15">
        <f t="shared" si="35"/>
        <v>0.64249004464342208</v>
      </c>
      <c r="H113" s="13">
        <f t="shared" si="36"/>
        <v>2641.0920522501588</v>
      </c>
      <c r="I113" s="13">
        <f t="shared" si="37"/>
        <v>147129.07658062055</v>
      </c>
      <c r="J113" s="15">
        <f t="shared" si="29"/>
        <v>0.35750995535657792</v>
      </c>
      <c r="K113" s="13">
        <f t="shared" si="38"/>
        <v>149127.08583482925</v>
      </c>
      <c r="L113" s="13">
        <f t="shared" si="46"/>
        <v>5888992.7913389308</v>
      </c>
      <c r="M113" s="15">
        <f t="shared" si="39"/>
        <v>0.35750995535657792</v>
      </c>
      <c r="N113" s="13">
        <f t="shared" si="30"/>
        <v>0</v>
      </c>
      <c r="O113" s="13">
        <f t="shared" si="40"/>
        <v>-1998.0092542084749</v>
      </c>
      <c r="P113" s="15">
        <f t="shared" si="31"/>
        <v>-4.8129831585536952E-3</v>
      </c>
      <c r="Q113" s="7">
        <f t="shared" si="41"/>
        <v>415129.07658062078</v>
      </c>
      <c r="R113" s="7">
        <f t="shared" si="42"/>
        <v>417127.08583482925</v>
      </c>
      <c r="S113" s="13">
        <f>IF('BANCO DE DADOS'!$AD$32="Sim",R113,Q113)</f>
        <v>417127.08583482925</v>
      </c>
      <c r="T113" s="9">
        <f t="shared" si="43"/>
        <v>109</v>
      </c>
      <c r="U113" s="18">
        <f t="shared" ca="1" si="44"/>
        <v>47696</v>
      </c>
      <c r="V113" s="24"/>
      <c r="W113" s="24"/>
      <c r="X113" s="24"/>
    </row>
    <row r="114" spans="2:24" x14ac:dyDescent="0.2">
      <c r="B114" s="18">
        <f t="shared" ca="1" si="32"/>
        <v>47696</v>
      </c>
      <c r="C114" s="9">
        <f t="shared" si="45"/>
        <v>110</v>
      </c>
      <c r="D114" s="9"/>
      <c r="E114" s="13">
        <f t="shared" si="33"/>
        <v>2000</v>
      </c>
      <c r="F114" s="14">
        <f t="shared" si="34"/>
        <v>270000</v>
      </c>
      <c r="G114" s="15">
        <f t="shared" si="35"/>
        <v>0.64007773919569944</v>
      </c>
      <c r="H114" s="13">
        <f t="shared" si="36"/>
        <v>2670.9529782576337</v>
      </c>
      <c r="I114" s="13">
        <f t="shared" si="37"/>
        <v>149800.02955887819</v>
      </c>
      <c r="J114" s="15">
        <f t="shared" si="29"/>
        <v>0.35992226080430056</v>
      </c>
      <c r="K114" s="13">
        <f t="shared" si="38"/>
        <v>151823.76212500856</v>
      </c>
      <c r="L114" s="13">
        <f t="shared" si="46"/>
        <v>6040816.5534639396</v>
      </c>
      <c r="M114" s="15">
        <f t="shared" si="39"/>
        <v>0.35992226080430056</v>
      </c>
      <c r="N114" s="13">
        <f t="shared" si="30"/>
        <v>0</v>
      </c>
      <c r="O114" s="13">
        <f t="shared" si="40"/>
        <v>-2023.7325661301729</v>
      </c>
      <c r="P114" s="15">
        <f t="shared" si="31"/>
        <v>-4.8207061068020664E-3</v>
      </c>
      <c r="Q114" s="7">
        <f t="shared" si="41"/>
        <v>419800.02955887839</v>
      </c>
      <c r="R114" s="7">
        <f t="shared" si="42"/>
        <v>421823.76212500856</v>
      </c>
      <c r="S114" s="13">
        <f>IF('BANCO DE DADOS'!$AD$32="Sim",R114,Q114)</f>
        <v>421823.76212500856</v>
      </c>
      <c r="T114" s="9">
        <f t="shared" si="43"/>
        <v>110</v>
      </c>
      <c r="U114" s="18">
        <f t="shared" ca="1" si="44"/>
        <v>47727</v>
      </c>
      <c r="V114" s="24"/>
      <c r="W114" s="24"/>
      <c r="X114" s="24"/>
    </row>
    <row r="115" spans="2:24" x14ac:dyDescent="0.2">
      <c r="B115" s="18">
        <f t="shared" ca="1" si="32"/>
        <v>47727</v>
      </c>
      <c r="C115" s="9">
        <f t="shared" si="45"/>
        <v>111</v>
      </c>
      <c r="D115" s="9"/>
      <c r="E115" s="13">
        <f t="shared" si="33"/>
        <v>2000</v>
      </c>
      <c r="F115" s="14">
        <f t="shared" si="34"/>
        <v>272000</v>
      </c>
      <c r="G115" s="15">
        <f t="shared" si="35"/>
        <v>0.6376733819400654</v>
      </c>
      <c r="H115" s="13">
        <f t="shared" si="36"/>
        <v>2701.0060303621535</v>
      </c>
      <c r="I115" s="13">
        <f t="shared" si="37"/>
        <v>152501.03558924035</v>
      </c>
      <c r="J115" s="15">
        <f t="shared" si="29"/>
        <v>0.3623266180599346</v>
      </c>
      <c r="K115" s="13">
        <f t="shared" si="38"/>
        <v>154550.65697185579</v>
      </c>
      <c r="L115" s="13">
        <f t="shared" si="46"/>
        <v>6195367.2104357956</v>
      </c>
      <c r="M115" s="15">
        <f t="shared" si="39"/>
        <v>0.36232661805993466</v>
      </c>
      <c r="N115" s="13">
        <f t="shared" si="30"/>
        <v>0</v>
      </c>
      <c r="O115" s="13">
        <f t="shared" si="40"/>
        <v>-2049.621382615238</v>
      </c>
      <c r="P115" s="15">
        <f t="shared" si="31"/>
        <v>-4.8283071436332385E-3</v>
      </c>
      <c r="Q115" s="7">
        <f t="shared" si="41"/>
        <v>424501.03558924055</v>
      </c>
      <c r="R115" s="7">
        <f t="shared" si="42"/>
        <v>426550.65697185579</v>
      </c>
      <c r="S115" s="13">
        <f>IF('BANCO DE DADOS'!$AD$32="Sim",R115,Q115)</f>
        <v>426550.65697185579</v>
      </c>
      <c r="T115" s="9">
        <f t="shared" si="43"/>
        <v>111</v>
      </c>
      <c r="U115" s="18">
        <f t="shared" ca="1" si="44"/>
        <v>47757</v>
      </c>
      <c r="V115" s="24"/>
      <c r="W115" s="24"/>
      <c r="X115" s="24"/>
    </row>
    <row r="116" spans="2:24" x14ac:dyDescent="0.2">
      <c r="B116" s="18">
        <f t="shared" ca="1" si="32"/>
        <v>47757</v>
      </c>
      <c r="C116" s="9">
        <f t="shared" si="45"/>
        <v>112</v>
      </c>
      <c r="D116" s="9"/>
      <c r="E116" s="13">
        <f t="shared" si="33"/>
        <v>2000</v>
      </c>
      <c r="F116" s="14">
        <f t="shared" si="34"/>
        <v>274000</v>
      </c>
      <c r="G116" s="15">
        <f t="shared" si="35"/>
        <v>0.63527693054656065</v>
      </c>
      <c r="H116" s="13">
        <f t="shared" si="36"/>
        <v>2731.2524447088113</v>
      </c>
      <c r="I116" s="13">
        <f t="shared" si="37"/>
        <v>155232.28803394915</v>
      </c>
      <c r="J116" s="15">
        <f t="shared" si="29"/>
        <v>0.36472306945343935</v>
      </c>
      <c r="K116" s="13">
        <f t="shared" si="38"/>
        <v>157307.96480247448</v>
      </c>
      <c r="L116" s="13">
        <f t="shared" si="46"/>
        <v>6352675.1752382703</v>
      </c>
      <c r="M116" s="15">
        <f t="shared" si="39"/>
        <v>0.36472306945343935</v>
      </c>
      <c r="N116" s="13">
        <f t="shared" si="30"/>
        <v>0</v>
      </c>
      <c r="O116" s="13">
        <f t="shared" si="40"/>
        <v>-2075.6767685250961</v>
      </c>
      <c r="P116" s="15">
        <f t="shared" si="31"/>
        <v>-4.835788980443438E-3</v>
      </c>
      <c r="Q116" s="7">
        <f t="shared" si="41"/>
        <v>429232.28803394939</v>
      </c>
      <c r="R116" s="7">
        <f t="shared" si="42"/>
        <v>431307.96480247448</v>
      </c>
      <c r="S116" s="13">
        <f>IF('BANCO DE DADOS'!$AD$32="Sim",R116,Q116)</f>
        <v>431307.96480247448</v>
      </c>
      <c r="T116" s="9">
        <f t="shared" si="43"/>
        <v>112</v>
      </c>
      <c r="U116" s="18">
        <f t="shared" ca="1" si="44"/>
        <v>47788</v>
      </c>
      <c r="V116" s="24"/>
      <c r="W116" s="24"/>
      <c r="X116" s="24"/>
    </row>
    <row r="117" spans="2:24" x14ac:dyDescent="0.2">
      <c r="B117" s="18">
        <f t="shared" ca="1" si="32"/>
        <v>47788</v>
      </c>
      <c r="C117" s="9">
        <f t="shared" si="45"/>
        <v>113</v>
      </c>
      <c r="D117" s="9"/>
      <c r="E117" s="13">
        <f t="shared" si="33"/>
        <v>2000</v>
      </c>
      <c r="F117" s="14">
        <f t="shared" si="34"/>
        <v>276000</v>
      </c>
      <c r="G117" s="15">
        <f t="shared" si="35"/>
        <v>0.63288834368364488</v>
      </c>
      <c r="H117" s="13">
        <f t="shared" si="36"/>
        <v>2761.6934653960952</v>
      </c>
      <c r="I117" s="13">
        <f t="shared" si="37"/>
        <v>157993.98149934525</v>
      </c>
      <c r="J117" s="15">
        <f t="shared" si="29"/>
        <v>0.36711165631635512</v>
      </c>
      <c r="K117" s="13">
        <f t="shared" si="38"/>
        <v>160095.8812949179</v>
      </c>
      <c r="L117" s="13">
        <f t="shared" si="46"/>
        <v>6512771.0565331886</v>
      </c>
      <c r="M117" s="15">
        <f t="shared" si="39"/>
        <v>0.36711165631635512</v>
      </c>
      <c r="N117" s="13">
        <f t="shared" si="30"/>
        <v>0</v>
      </c>
      <c r="O117" s="13">
        <f t="shared" si="40"/>
        <v>-2101.8997955723898</v>
      </c>
      <c r="P117" s="15">
        <f t="shared" si="31"/>
        <v>-4.8431542490769766E-3</v>
      </c>
      <c r="Q117" s="7">
        <f t="shared" si="41"/>
        <v>433993.98149934551</v>
      </c>
      <c r="R117" s="7">
        <f t="shared" si="42"/>
        <v>436095.8812949179</v>
      </c>
      <c r="S117" s="13">
        <f>IF('BANCO DE DADOS'!$AD$32="Sim",R117,Q117)</f>
        <v>436095.8812949179</v>
      </c>
      <c r="T117" s="9">
        <f t="shared" si="43"/>
        <v>113</v>
      </c>
      <c r="U117" s="18">
        <f t="shared" ca="1" si="44"/>
        <v>47818</v>
      </c>
      <c r="V117" s="24"/>
      <c r="W117" s="24"/>
      <c r="X117" s="24"/>
    </row>
    <row r="118" spans="2:24" x14ac:dyDescent="0.2">
      <c r="B118" s="18">
        <f t="shared" ca="1" si="32"/>
        <v>47818</v>
      </c>
      <c r="C118" s="9">
        <f t="shared" si="45"/>
        <v>114</v>
      </c>
      <c r="D118" s="9"/>
      <c r="E118" s="13">
        <f t="shared" si="33"/>
        <v>2000</v>
      </c>
      <c r="F118" s="14">
        <f t="shared" si="34"/>
        <v>278000</v>
      </c>
      <c r="G118" s="15">
        <f t="shared" si="35"/>
        <v>0.63050758098042425</v>
      </c>
      <c r="H118" s="13">
        <f t="shared" si="36"/>
        <v>2792.3303445270608</v>
      </c>
      <c r="I118" s="13">
        <f t="shared" si="37"/>
        <v>160786.3118438723</v>
      </c>
      <c r="J118" s="15">
        <f t="shared" si="29"/>
        <v>0.36949241901957575</v>
      </c>
      <c r="K118" s="13">
        <f t="shared" si="38"/>
        <v>162914.60338623787</v>
      </c>
      <c r="L118" s="13">
        <f t="shared" si="46"/>
        <v>6675685.6599194268</v>
      </c>
      <c r="M118" s="15">
        <f t="shared" si="39"/>
        <v>0.3694924190195758</v>
      </c>
      <c r="N118" s="13">
        <f t="shared" si="30"/>
        <v>0</v>
      </c>
      <c r="O118" s="13">
        <f t="shared" si="40"/>
        <v>-2128.2915423652739</v>
      </c>
      <c r="P118" s="15">
        <f t="shared" si="31"/>
        <v>-4.8504055047244848E-3</v>
      </c>
      <c r="Q118" s="7">
        <f t="shared" si="41"/>
        <v>438786.31184387259</v>
      </c>
      <c r="R118" s="7">
        <f t="shared" si="42"/>
        <v>440914.60338623787</v>
      </c>
      <c r="S118" s="13">
        <f>IF('BANCO DE DADOS'!$AD$32="Sim",R118,Q118)</f>
        <v>440914.60338623787</v>
      </c>
      <c r="T118" s="9">
        <f t="shared" si="43"/>
        <v>114</v>
      </c>
      <c r="U118" s="18">
        <f t="shared" ca="1" si="44"/>
        <v>47849</v>
      </c>
      <c r="V118" s="24"/>
      <c r="W118" s="24"/>
      <c r="X118" s="24"/>
    </row>
    <row r="119" spans="2:24" x14ac:dyDescent="0.2">
      <c r="B119" s="18">
        <f t="shared" ca="1" si="32"/>
        <v>47849</v>
      </c>
      <c r="C119" s="9">
        <f t="shared" si="45"/>
        <v>115</v>
      </c>
      <c r="D119" s="9"/>
      <c r="E119" s="13">
        <f t="shared" si="33"/>
        <v>2000</v>
      </c>
      <c r="F119" s="14">
        <f t="shared" si="34"/>
        <v>280000</v>
      </c>
      <c r="G119" s="15">
        <f t="shared" si="35"/>
        <v>0.62813460299052948</v>
      </c>
      <c r="H119" s="13">
        <f t="shared" si="36"/>
        <v>2823.1643422608308</v>
      </c>
      <c r="I119" s="13">
        <f t="shared" si="37"/>
        <v>163609.47618613314</v>
      </c>
      <c r="J119" s="15">
        <f t="shared" si="29"/>
        <v>0.37186539700947052</v>
      </c>
      <c r="K119" s="13">
        <f t="shared" si="38"/>
        <v>165764.32928058517</v>
      </c>
      <c r="L119" s="13">
        <f t="shared" si="46"/>
        <v>6841449.9892000118</v>
      </c>
      <c r="M119" s="15">
        <f t="shared" si="39"/>
        <v>0.37186539700947058</v>
      </c>
      <c r="N119" s="13">
        <f t="shared" si="30"/>
        <v>0</v>
      </c>
      <c r="O119" s="13">
        <f t="shared" si="40"/>
        <v>-2154.8530944517697</v>
      </c>
      <c r="P119" s="15">
        <f t="shared" si="31"/>
        <v>-4.8575452286948404E-3</v>
      </c>
      <c r="Q119" s="7">
        <f t="shared" si="41"/>
        <v>443609.4761861334</v>
      </c>
      <c r="R119" s="7">
        <f t="shared" si="42"/>
        <v>445764.32928058517</v>
      </c>
      <c r="S119" s="13">
        <f>IF('BANCO DE DADOS'!$AD$32="Sim",R119,Q119)</f>
        <v>445764.32928058517</v>
      </c>
      <c r="T119" s="9">
        <f t="shared" si="43"/>
        <v>115</v>
      </c>
      <c r="U119" s="18">
        <f t="shared" ca="1" si="44"/>
        <v>47880</v>
      </c>
      <c r="V119" s="24"/>
      <c r="W119" s="24"/>
      <c r="X119" s="24"/>
    </row>
    <row r="120" spans="2:24" x14ac:dyDescent="0.2">
      <c r="B120" s="18">
        <f t="shared" ca="1" si="32"/>
        <v>47880</v>
      </c>
      <c r="C120" s="9">
        <f t="shared" si="45"/>
        <v>116</v>
      </c>
      <c r="D120" s="9"/>
      <c r="E120" s="13">
        <f t="shared" si="33"/>
        <v>2000</v>
      </c>
      <c r="F120" s="14">
        <f t="shared" si="34"/>
        <v>282000</v>
      </c>
      <c r="G120" s="15">
        <f t="shared" si="35"/>
        <v>0.62576937115756115</v>
      </c>
      <c r="H120" s="13">
        <f t="shared" si="36"/>
        <v>2854.1967268644321</v>
      </c>
      <c r="I120" s="13">
        <f t="shared" si="37"/>
        <v>166463.67291299757</v>
      </c>
      <c r="J120" s="15">
        <f t="shared" si="29"/>
        <v>0.37423062884243885</v>
      </c>
      <c r="K120" s="13">
        <f t="shared" si="38"/>
        <v>168645.25845736195</v>
      </c>
      <c r="L120" s="13">
        <f t="shared" si="46"/>
        <v>7010095.2476573735</v>
      </c>
      <c r="M120" s="15">
        <f t="shared" si="39"/>
        <v>0.37423062884243885</v>
      </c>
      <c r="N120" s="13">
        <f t="shared" si="30"/>
        <v>0</v>
      </c>
      <c r="O120" s="13">
        <f t="shared" si="40"/>
        <v>-2181.5855443641194</v>
      </c>
      <c r="P120" s="15">
        <f t="shared" si="31"/>
        <v>-4.8645758310670306E-3</v>
      </c>
      <c r="Q120" s="7">
        <f t="shared" si="41"/>
        <v>448463.67291299783</v>
      </c>
      <c r="R120" s="7">
        <f t="shared" si="42"/>
        <v>450645.25845736195</v>
      </c>
      <c r="S120" s="13">
        <f>IF('BANCO DE DADOS'!$AD$32="Sim",R120,Q120)</f>
        <v>450645.25845736195</v>
      </c>
      <c r="T120" s="9">
        <f t="shared" si="43"/>
        <v>116</v>
      </c>
      <c r="U120" s="18">
        <f t="shared" ca="1" si="44"/>
        <v>47908</v>
      </c>
      <c r="V120" s="24"/>
      <c r="W120" s="24"/>
      <c r="X120" s="24"/>
    </row>
    <row r="121" spans="2:24" x14ac:dyDescent="0.2">
      <c r="B121" s="18">
        <f t="shared" ca="1" si="32"/>
        <v>47908</v>
      </c>
      <c r="C121" s="9">
        <f t="shared" si="45"/>
        <v>117</v>
      </c>
      <c r="D121" s="9"/>
      <c r="E121" s="13">
        <f t="shared" si="33"/>
        <v>2000</v>
      </c>
      <c r="F121" s="14">
        <f t="shared" si="34"/>
        <v>284000</v>
      </c>
      <c r="G121" s="15">
        <f t="shared" si="35"/>
        <v>0.6234118477820233</v>
      </c>
      <c r="H121" s="13">
        <f t="shared" si="36"/>
        <v>2885.4287747649578</v>
      </c>
      <c r="I121" s="13">
        <f t="shared" si="37"/>
        <v>169349.10168776254</v>
      </c>
      <c r="J121" s="15">
        <f t="shared" si="29"/>
        <v>0.3765881522179767</v>
      </c>
      <c r="K121" s="13">
        <f t="shared" si="38"/>
        <v>171557.5916794269</v>
      </c>
      <c r="L121" s="13">
        <f t="shared" si="46"/>
        <v>7181652.8393368004</v>
      </c>
      <c r="M121" s="15">
        <f t="shared" si="39"/>
        <v>0.3765881522179767</v>
      </c>
      <c r="N121" s="13">
        <f t="shared" si="30"/>
        <v>0</v>
      </c>
      <c r="O121" s="13">
        <f t="shared" si="40"/>
        <v>-2208.4899916641298</v>
      </c>
      <c r="P121" s="15">
        <f t="shared" si="31"/>
        <v>-4.8714996532301354E-3</v>
      </c>
      <c r="Q121" s="7">
        <f t="shared" si="41"/>
        <v>453349.10168776277</v>
      </c>
      <c r="R121" s="7">
        <f t="shared" si="42"/>
        <v>455557.5916794269</v>
      </c>
      <c r="S121" s="13">
        <f>IF('BANCO DE DADOS'!$AD$32="Sim",R121,Q121)</f>
        <v>455557.5916794269</v>
      </c>
      <c r="T121" s="9">
        <f t="shared" si="43"/>
        <v>117</v>
      </c>
      <c r="U121" s="18">
        <f t="shared" ca="1" si="44"/>
        <v>47939</v>
      </c>
      <c r="V121" s="24"/>
      <c r="W121" s="24"/>
      <c r="X121" s="24"/>
    </row>
    <row r="122" spans="2:24" x14ac:dyDescent="0.2">
      <c r="B122" s="18">
        <f t="shared" ca="1" si="32"/>
        <v>47939</v>
      </c>
      <c r="C122" s="9">
        <f t="shared" si="45"/>
        <v>118</v>
      </c>
      <c r="D122" s="9"/>
      <c r="E122" s="13">
        <f t="shared" si="33"/>
        <v>2000</v>
      </c>
      <c r="F122" s="14">
        <f t="shared" si="34"/>
        <v>286000</v>
      </c>
      <c r="G122" s="15">
        <f t="shared" si="35"/>
        <v>0.62106199598967171</v>
      </c>
      <c r="H122" s="13">
        <f t="shared" si="36"/>
        <v>2916.8617706020727</v>
      </c>
      <c r="I122" s="13">
        <f t="shared" si="37"/>
        <v>172265.9634583646</v>
      </c>
      <c r="J122" s="15">
        <f t="shared" si="29"/>
        <v>0.37893800401032829</v>
      </c>
      <c r="K122" s="13">
        <f t="shared" si="38"/>
        <v>174501.531001353</v>
      </c>
      <c r="L122" s="13">
        <f t="shared" si="46"/>
        <v>7356154.3703381531</v>
      </c>
      <c r="M122" s="15">
        <f t="shared" si="39"/>
        <v>0.37893800401032823</v>
      </c>
      <c r="N122" s="13">
        <f t="shared" si="30"/>
        <v>0</v>
      </c>
      <c r="O122" s="13">
        <f t="shared" si="40"/>
        <v>-2235.5675429881667</v>
      </c>
      <c r="P122" s="15">
        <f t="shared" si="31"/>
        <v>-4.8783189703140066E-3</v>
      </c>
      <c r="Q122" s="7">
        <f t="shared" si="41"/>
        <v>458265.96345836483</v>
      </c>
      <c r="R122" s="7">
        <f t="shared" si="42"/>
        <v>460501.531001353</v>
      </c>
      <c r="S122" s="13">
        <f>IF('BANCO DE DADOS'!$AD$32="Sim",R122,Q122)</f>
        <v>460501.531001353</v>
      </c>
      <c r="T122" s="9">
        <f t="shared" si="43"/>
        <v>118</v>
      </c>
      <c r="U122" s="18">
        <f t="shared" ca="1" si="44"/>
        <v>47969</v>
      </c>
      <c r="V122" s="24"/>
      <c r="W122" s="24"/>
      <c r="X122" s="24"/>
    </row>
    <row r="123" spans="2:24" x14ac:dyDescent="0.2">
      <c r="B123" s="18">
        <f t="shared" ca="1" si="32"/>
        <v>47969</v>
      </c>
      <c r="C123" s="9">
        <f t="shared" si="45"/>
        <v>119</v>
      </c>
      <c r="D123" s="9"/>
      <c r="E123" s="13">
        <f t="shared" si="33"/>
        <v>2000</v>
      </c>
      <c r="F123" s="14">
        <f t="shared" si="34"/>
        <v>288000</v>
      </c>
      <c r="G123" s="15">
        <f t="shared" si="35"/>
        <v>0.61871977970120828</v>
      </c>
      <c r="H123" s="13">
        <f t="shared" si="36"/>
        <v>2948.497007280851</v>
      </c>
      <c r="I123" s="13">
        <f t="shared" si="37"/>
        <v>175214.46046564545</v>
      </c>
      <c r="J123" s="15">
        <f t="shared" si="29"/>
        <v>0.38128022029879172</v>
      </c>
      <c r="K123" s="13">
        <f t="shared" si="38"/>
        <v>177477.27977773838</v>
      </c>
      <c r="L123" s="13">
        <f t="shared" si="46"/>
        <v>7533631.6501158914</v>
      </c>
      <c r="M123" s="15">
        <f t="shared" si="39"/>
        <v>0.38128022029879166</v>
      </c>
      <c r="N123" s="13">
        <f t="shared" si="30"/>
        <v>0</v>
      </c>
      <c r="O123" s="13">
        <f t="shared" si="40"/>
        <v>-2262.8193120926735</v>
      </c>
      <c r="P123" s="15">
        <f t="shared" si="31"/>
        <v>-4.8850359935179426E-3</v>
      </c>
      <c r="Q123" s="7">
        <f t="shared" si="41"/>
        <v>463214.46046564571</v>
      </c>
      <c r="R123" s="7">
        <f t="shared" si="42"/>
        <v>465477.27977773838</v>
      </c>
      <c r="S123" s="13">
        <f>IF('BANCO DE DADOS'!$AD$32="Sim",R123,Q123)</f>
        <v>465477.27977773838</v>
      </c>
      <c r="T123" s="9">
        <f t="shared" si="43"/>
        <v>119</v>
      </c>
      <c r="U123" s="18">
        <f t="shared" ca="1" si="44"/>
        <v>48000</v>
      </c>
      <c r="V123" s="24"/>
      <c r="W123" s="24"/>
      <c r="X123" s="24"/>
    </row>
    <row r="124" spans="2:24" x14ac:dyDescent="0.2">
      <c r="B124" s="18">
        <f t="shared" ca="1" si="32"/>
        <v>48000</v>
      </c>
      <c r="C124" s="9">
        <f t="shared" si="45"/>
        <v>120</v>
      </c>
      <c r="D124" s="9">
        <v>10</v>
      </c>
      <c r="E124" s="13">
        <f t="shared" si="33"/>
        <v>2000</v>
      </c>
      <c r="F124" s="14">
        <f t="shared" si="34"/>
        <v>290000</v>
      </c>
      <c r="G124" s="15">
        <f t="shared" si="35"/>
        <v>0.61638516360325368</v>
      </c>
      <c r="H124" s="13">
        <f t="shared" si="36"/>
        <v>2980.335786024958</v>
      </c>
      <c r="I124" s="13">
        <f t="shared" si="37"/>
        <v>178194.7962516704</v>
      </c>
      <c r="J124" s="15">
        <f t="shared" si="29"/>
        <v>0.38361483639674632</v>
      </c>
      <c r="K124" s="13">
        <f t="shared" si="38"/>
        <v>180485.04267157085</v>
      </c>
      <c r="L124" s="13">
        <f t="shared" si="46"/>
        <v>7714116.6927874619</v>
      </c>
      <c r="M124" s="15">
        <f t="shared" si="39"/>
        <v>0.38361483639674626</v>
      </c>
      <c r="N124" s="13">
        <f t="shared" si="30"/>
        <v>0</v>
      </c>
      <c r="O124" s="13">
        <f t="shared" si="40"/>
        <v>-2290.2464199001552</v>
      </c>
      <c r="P124" s="15">
        <f t="shared" si="31"/>
        <v>-4.8916528723421983E-3</v>
      </c>
      <c r="Q124" s="7">
        <f t="shared" si="41"/>
        <v>468194.79625167069</v>
      </c>
      <c r="R124" s="7">
        <f t="shared" si="42"/>
        <v>470485.04267157085</v>
      </c>
      <c r="S124" s="13">
        <f>IF('BANCO DE DADOS'!$AD$32="Sim",R124,Q124)</f>
        <v>470485.04267157085</v>
      </c>
      <c r="T124" s="9">
        <f t="shared" si="43"/>
        <v>120</v>
      </c>
      <c r="U124" s="18">
        <f t="shared" ca="1" si="44"/>
        <v>48030</v>
      </c>
      <c r="V124" s="24"/>
      <c r="W124" s="24"/>
      <c r="X124" s="24"/>
    </row>
    <row r="125" spans="2:24" x14ac:dyDescent="0.2">
      <c r="B125" s="18">
        <f t="shared" ca="1" si="32"/>
        <v>48030</v>
      </c>
      <c r="C125" s="9">
        <f t="shared" si="45"/>
        <v>121</v>
      </c>
      <c r="D125" s="9"/>
      <c r="E125" s="13">
        <f t="shared" si="33"/>
        <v>2000</v>
      </c>
      <c r="F125" s="14">
        <f t="shared" si="34"/>
        <v>292000</v>
      </c>
      <c r="G125" s="15">
        <f t="shared" si="35"/>
        <v>0.61405811312053837</v>
      </c>
      <c r="H125" s="13">
        <f t="shared" si="36"/>
        <v>3012.3794164301703</v>
      </c>
      <c r="I125" s="13">
        <f t="shared" si="37"/>
        <v>181207.17566810056</v>
      </c>
      <c r="J125" s="15">
        <f t="shared" si="29"/>
        <v>0.38594188687946163</v>
      </c>
      <c r="K125" s="13">
        <f t="shared" si="38"/>
        <v>183525.02566264599</v>
      </c>
      <c r="L125" s="13">
        <f t="shared" si="46"/>
        <v>7897641.7184501076</v>
      </c>
      <c r="M125" s="15">
        <f t="shared" si="39"/>
        <v>0.38594188687946157</v>
      </c>
      <c r="N125" s="13">
        <f t="shared" si="30"/>
        <v>0</v>
      </c>
      <c r="O125" s="13">
        <f t="shared" si="40"/>
        <v>-2317.849994545104</v>
      </c>
      <c r="P125" s="15">
        <f t="shared" si="31"/>
        <v>-4.8981716967259241E-3</v>
      </c>
      <c r="Q125" s="7">
        <f t="shared" si="41"/>
        <v>473207.17566810088</v>
      </c>
      <c r="R125" s="7">
        <f t="shared" si="42"/>
        <v>475525.02566264599</v>
      </c>
      <c r="S125" s="13">
        <f>IF('BANCO DE DADOS'!$AD$32="Sim",R125,Q125)</f>
        <v>475525.02566264599</v>
      </c>
      <c r="T125" s="9">
        <f t="shared" si="43"/>
        <v>121</v>
      </c>
      <c r="U125" s="18">
        <f t="shared" ca="1" si="44"/>
        <v>48061</v>
      </c>
      <c r="V125" s="24"/>
      <c r="W125" s="24"/>
      <c r="X125" s="24"/>
    </row>
    <row r="126" spans="2:24" x14ac:dyDescent="0.2">
      <c r="B126" s="18">
        <f t="shared" ca="1" si="32"/>
        <v>48061</v>
      </c>
      <c r="C126" s="9">
        <f t="shared" si="45"/>
        <v>122</v>
      </c>
      <c r="D126" s="9"/>
      <c r="E126" s="13">
        <f t="shared" si="33"/>
        <v>2000</v>
      </c>
      <c r="F126" s="14">
        <f t="shared" si="34"/>
        <v>294000</v>
      </c>
      <c r="G126" s="15">
        <f t="shared" si="35"/>
        <v>0.61173859438925182</v>
      </c>
      <c r="H126" s="13">
        <f t="shared" si="36"/>
        <v>3044.6292165182435</v>
      </c>
      <c r="I126" s="13">
        <f t="shared" si="37"/>
        <v>184251.80488461882</v>
      </c>
      <c r="J126" s="15">
        <f t="shared" si="29"/>
        <v>0.38826140561074818</v>
      </c>
      <c r="K126" s="13">
        <f t="shared" si="38"/>
        <v>186597.43605603959</v>
      </c>
      <c r="L126" s="13">
        <f t="shared" si="46"/>
        <v>8084239.1545061469</v>
      </c>
      <c r="M126" s="15">
        <f t="shared" si="39"/>
        <v>0.38826140561074818</v>
      </c>
      <c r="N126" s="13">
        <f t="shared" si="30"/>
        <v>0</v>
      </c>
      <c r="O126" s="13">
        <f t="shared" si="40"/>
        <v>-2345.6311714204494</v>
      </c>
      <c r="P126" s="15">
        <f t="shared" si="31"/>
        <v>-4.9045944990972817E-3</v>
      </c>
      <c r="Q126" s="7">
        <f t="shared" si="41"/>
        <v>478251.80488461914</v>
      </c>
      <c r="R126" s="7">
        <f t="shared" si="42"/>
        <v>480597.43605603959</v>
      </c>
      <c r="S126" s="13">
        <f>IF('BANCO DE DADOS'!$AD$32="Sim",R126,Q126)</f>
        <v>480597.43605603959</v>
      </c>
      <c r="T126" s="9">
        <f t="shared" si="43"/>
        <v>122</v>
      </c>
      <c r="U126" s="18">
        <f t="shared" ca="1" si="44"/>
        <v>48092</v>
      </c>
      <c r="V126" s="24"/>
      <c r="W126" s="24"/>
      <c r="X126" s="24"/>
    </row>
    <row r="127" spans="2:24" x14ac:dyDescent="0.2">
      <c r="B127" s="18">
        <f t="shared" ca="1" si="32"/>
        <v>48092</v>
      </c>
      <c r="C127" s="9">
        <f t="shared" si="45"/>
        <v>123</v>
      </c>
      <c r="D127" s="9"/>
      <c r="E127" s="13">
        <f t="shared" si="33"/>
        <v>2000</v>
      </c>
      <c r="F127" s="14">
        <f t="shared" si="34"/>
        <v>296000</v>
      </c>
      <c r="G127" s="15">
        <f t="shared" si="35"/>
        <v>0.60942657423149471</v>
      </c>
      <c r="H127" s="13">
        <f t="shared" si="36"/>
        <v>3077.0865127911252</v>
      </c>
      <c r="I127" s="13">
        <f t="shared" si="37"/>
        <v>187328.89139740996</v>
      </c>
      <c r="J127" s="15">
        <f t="shared" si="29"/>
        <v>0.39057342576850529</v>
      </c>
      <c r="K127" s="13">
        <f t="shared" si="38"/>
        <v>189702.4824906346</v>
      </c>
      <c r="L127" s="13">
        <f t="shared" si="46"/>
        <v>8273941.6369967815</v>
      </c>
      <c r="M127" s="15">
        <f t="shared" si="39"/>
        <v>0.39057342576850529</v>
      </c>
      <c r="N127" s="13">
        <f t="shared" si="30"/>
        <v>0</v>
      </c>
      <c r="O127" s="13">
        <f t="shared" si="40"/>
        <v>-2373.5910932243569</v>
      </c>
      <c r="P127" s="15">
        <f t="shared" si="31"/>
        <v>-4.9109232563395548E-3</v>
      </c>
      <c r="Q127" s="7">
        <f t="shared" si="41"/>
        <v>483328.89139741025</v>
      </c>
      <c r="R127" s="7">
        <f t="shared" si="42"/>
        <v>485702.4824906346</v>
      </c>
      <c r="S127" s="13">
        <f>IF('BANCO DE DADOS'!$AD$32="Sim",R127,Q127)</f>
        <v>485702.4824906346</v>
      </c>
      <c r="T127" s="9">
        <f t="shared" si="43"/>
        <v>123</v>
      </c>
      <c r="U127" s="18">
        <f t="shared" ca="1" si="44"/>
        <v>48122</v>
      </c>
      <c r="V127" s="24"/>
      <c r="W127" s="24"/>
      <c r="X127" s="24"/>
    </row>
    <row r="128" spans="2:24" x14ac:dyDescent="0.2">
      <c r="B128" s="18">
        <f t="shared" ca="1" si="32"/>
        <v>48122</v>
      </c>
      <c r="C128" s="9">
        <f t="shared" si="45"/>
        <v>124</v>
      </c>
      <c r="D128" s="9"/>
      <c r="E128" s="13">
        <f t="shared" si="33"/>
        <v>2000</v>
      </c>
      <c r="F128" s="14">
        <f t="shared" si="34"/>
        <v>298000</v>
      </c>
      <c r="G128" s="15">
        <f t="shared" si="35"/>
        <v>0.60712202013078242</v>
      </c>
      <c r="H128" s="13">
        <f t="shared" si="36"/>
        <v>3109.7526402855156</v>
      </c>
      <c r="I128" s="13">
        <f t="shared" si="37"/>
        <v>190438.64403769549</v>
      </c>
      <c r="J128" s="15">
        <f t="shared" si="29"/>
        <v>0.39287797986921758</v>
      </c>
      <c r="K128" s="13">
        <f t="shared" si="38"/>
        <v>192840.37494770274</v>
      </c>
      <c r="L128" s="13">
        <f t="shared" si="46"/>
        <v>8466782.011944484</v>
      </c>
      <c r="M128" s="15">
        <f t="shared" si="39"/>
        <v>0.39287797986921752</v>
      </c>
      <c r="N128" s="13">
        <f t="shared" si="30"/>
        <v>0</v>
      </c>
      <c r="O128" s="13">
        <f t="shared" si="40"/>
        <v>-2401.7309100069688</v>
      </c>
      <c r="P128" s="15">
        <f t="shared" si="31"/>
        <v>-4.9171598916764097E-3</v>
      </c>
      <c r="Q128" s="7">
        <f t="shared" si="41"/>
        <v>488438.64403769578</v>
      </c>
      <c r="R128" s="7">
        <f t="shared" si="42"/>
        <v>490840.37494770274</v>
      </c>
      <c r="S128" s="13">
        <f>IF('BANCO DE DADOS'!$AD$32="Sim",R128,Q128)</f>
        <v>490840.37494770274</v>
      </c>
      <c r="T128" s="9">
        <f t="shared" si="43"/>
        <v>124</v>
      </c>
      <c r="U128" s="18">
        <f t="shared" ca="1" si="44"/>
        <v>48153</v>
      </c>
      <c r="V128" s="24"/>
      <c r="W128" s="24"/>
      <c r="X128" s="24"/>
    </row>
    <row r="129" spans="2:24" x14ac:dyDescent="0.2">
      <c r="B129" s="18">
        <f t="shared" ca="1" si="32"/>
        <v>48153</v>
      </c>
      <c r="C129" s="9">
        <f t="shared" si="45"/>
        <v>125</v>
      </c>
      <c r="D129" s="9"/>
      <c r="E129" s="13">
        <f t="shared" si="33"/>
        <v>2000</v>
      </c>
      <c r="F129" s="14">
        <f t="shared" si="34"/>
        <v>300000</v>
      </c>
      <c r="G129" s="15">
        <f t="shared" si="35"/>
        <v>0.60482490020854907</v>
      </c>
      <c r="H129" s="13">
        <f t="shared" si="36"/>
        <v>3142.6289426277822</v>
      </c>
      <c r="I129" s="13">
        <f t="shared" si="37"/>
        <v>193581.27298032327</v>
      </c>
      <c r="J129" s="15">
        <f t="shared" si="29"/>
        <v>0.39517509979145093</v>
      </c>
      <c r="K129" s="13">
        <f t="shared" si="38"/>
        <v>196011.32475954166</v>
      </c>
      <c r="L129" s="13">
        <f t="shared" si="46"/>
        <v>8662793.336704025</v>
      </c>
      <c r="M129" s="15">
        <f t="shared" si="39"/>
        <v>0.39517509979145093</v>
      </c>
      <c r="N129" s="13">
        <f t="shared" si="30"/>
        <v>0</v>
      </c>
      <c r="O129" s="13">
        <f t="shared" si="40"/>
        <v>-2430.0517792180763</v>
      </c>
      <c r="P129" s="15">
        <f t="shared" si="31"/>
        <v>-4.9233062764821494E-3</v>
      </c>
      <c r="Q129" s="7">
        <f t="shared" si="41"/>
        <v>493581.27298032359</v>
      </c>
      <c r="R129" s="7">
        <f t="shared" si="42"/>
        <v>496011.32475954166</v>
      </c>
      <c r="S129" s="13">
        <f>IF('BANCO DE DADOS'!$AD$32="Sim",R129,Q129)</f>
        <v>496011.32475954166</v>
      </c>
      <c r="T129" s="9">
        <f t="shared" si="43"/>
        <v>125</v>
      </c>
      <c r="U129" s="18">
        <f t="shared" ca="1" si="44"/>
        <v>48183</v>
      </c>
      <c r="V129" s="24"/>
      <c r="W129" s="24"/>
      <c r="X129" s="24"/>
    </row>
    <row r="130" spans="2:24" x14ac:dyDescent="0.2">
      <c r="B130" s="18">
        <f t="shared" ca="1" si="32"/>
        <v>48183</v>
      </c>
      <c r="C130" s="9">
        <f t="shared" si="45"/>
        <v>126</v>
      </c>
      <c r="D130" s="9"/>
      <c r="E130" s="13">
        <f t="shared" si="33"/>
        <v>2000</v>
      </c>
      <c r="F130" s="14">
        <f t="shared" si="34"/>
        <v>302000</v>
      </c>
      <c r="G130" s="15">
        <f t="shared" si="35"/>
        <v>0.60253518320160571</v>
      </c>
      <c r="H130" s="13">
        <f t="shared" si="36"/>
        <v>3175.7167720892244</v>
      </c>
      <c r="I130" s="13">
        <f t="shared" si="37"/>
        <v>196756.98975241248</v>
      </c>
      <c r="J130" s="15">
        <f t="shared" si="29"/>
        <v>0.39746481679839429</v>
      </c>
      <c r="K130" s="13">
        <f t="shared" si="38"/>
        <v>199215.54461816727</v>
      </c>
      <c r="L130" s="13">
        <f t="shared" si="46"/>
        <v>8862008.881322192</v>
      </c>
      <c r="M130" s="15">
        <f t="shared" si="39"/>
        <v>0.39746481679839429</v>
      </c>
      <c r="N130" s="13">
        <f t="shared" si="30"/>
        <v>0</v>
      </c>
      <c r="O130" s="13">
        <f t="shared" si="40"/>
        <v>-2458.5548657544423</v>
      </c>
      <c r="P130" s="15">
        <f t="shared" si="31"/>
        <v>-4.9293642320178601E-3</v>
      </c>
      <c r="Q130" s="7">
        <f t="shared" si="41"/>
        <v>498756.98975241283</v>
      </c>
      <c r="R130" s="7">
        <f t="shared" si="42"/>
        <v>501215.54461816727</v>
      </c>
      <c r="S130" s="13">
        <f>IF('BANCO DE DADOS'!$AD$32="Sim",R130,Q130)</f>
        <v>501215.54461816727</v>
      </c>
      <c r="T130" s="9">
        <f t="shared" si="43"/>
        <v>126</v>
      </c>
      <c r="U130" s="18">
        <f t="shared" ca="1" si="44"/>
        <v>48214</v>
      </c>
      <c r="V130" s="24"/>
      <c r="W130" s="24"/>
      <c r="X130" s="24"/>
    </row>
    <row r="131" spans="2:24" x14ac:dyDescent="0.2">
      <c r="B131" s="18">
        <f t="shared" ca="1" si="32"/>
        <v>48214</v>
      </c>
      <c r="C131" s="9">
        <f t="shared" si="45"/>
        <v>127</v>
      </c>
      <c r="D131" s="9"/>
      <c r="E131" s="13">
        <f t="shared" si="33"/>
        <v>2000</v>
      </c>
      <c r="F131" s="14">
        <f t="shared" si="34"/>
        <v>304000</v>
      </c>
      <c r="G131" s="15">
        <f t="shared" si="35"/>
        <v>0.60025283844050881</v>
      </c>
      <c r="H131" s="13">
        <f t="shared" si="36"/>
        <v>3209.0174896416966</v>
      </c>
      <c r="I131" s="13">
        <f t="shared" si="37"/>
        <v>199966.00724205418</v>
      </c>
      <c r="J131" s="15">
        <f t="shared" si="29"/>
        <v>0.39974716155949119</v>
      </c>
      <c r="K131" s="13">
        <f t="shared" si="38"/>
        <v>202453.24858406233</v>
      </c>
      <c r="L131" s="13">
        <f t="shared" si="46"/>
        <v>9064462.1299062539</v>
      </c>
      <c r="M131" s="15">
        <f t="shared" si="39"/>
        <v>0.39974716155949119</v>
      </c>
      <c r="N131" s="13">
        <f t="shared" si="30"/>
        <v>0</v>
      </c>
      <c r="O131" s="13">
        <f t="shared" si="40"/>
        <v>-2487.2413420078228</v>
      </c>
      <c r="P131" s="15">
        <f t="shared" si="31"/>
        <v>-4.9353355310990301E-3</v>
      </c>
      <c r="Q131" s="7">
        <f t="shared" si="41"/>
        <v>503966.0072420545</v>
      </c>
      <c r="R131" s="7">
        <f t="shared" si="42"/>
        <v>506453.24858406233</v>
      </c>
      <c r="S131" s="13">
        <f>IF('BANCO DE DADOS'!$AD$32="Sim",R131,Q131)</f>
        <v>506453.24858406233</v>
      </c>
      <c r="T131" s="9">
        <f t="shared" si="43"/>
        <v>127</v>
      </c>
      <c r="U131" s="18">
        <f t="shared" ca="1" si="44"/>
        <v>48245</v>
      </c>
      <c r="V131" s="24"/>
      <c r="W131" s="24"/>
      <c r="X131" s="24"/>
    </row>
    <row r="132" spans="2:24" x14ac:dyDescent="0.2">
      <c r="B132" s="18">
        <f t="shared" ca="1" si="32"/>
        <v>48245</v>
      </c>
      <c r="C132" s="9">
        <f t="shared" si="45"/>
        <v>128</v>
      </c>
      <c r="D132" s="9"/>
      <c r="E132" s="13">
        <f t="shared" si="33"/>
        <v>2000</v>
      </c>
      <c r="F132" s="14">
        <f t="shared" si="34"/>
        <v>306000</v>
      </c>
      <c r="G132" s="15">
        <f t="shared" si="35"/>
        <v>0.59797783582879516</v>
      </c>
      <c r="H132" s="13">
        <f t="shared" si="36"/>
        <v>3242.5324650135854</v>
      </c>
      <c r="I132" s="13">
        <f t="shared" si="37"/>
        <v>203208.53970706777</v>
      </c>
      <c r="J132" s="15">
        <f t="shared" si="29"/>
        <v>0.40202216417120484</v>
      </c>
      <c r="K132" s="13">
        <f t="shared" si="38"/>
        <v>205724.65209498123</v>
      </c>
      <c r="L132" s="13">
        <f t="shared" si="46"/>
        <v>9270186.7820012346</v>
      </c>
      <c r="M132" s="15">
        <f t="shared" si="39"/>
        <v>0.40202216417120484</v>
      </c>
      <c r="N132" s="13">
        <f t="shared" si="30"/>
        <v>0</v>
      </c>
      <c r="O132" s="13">
        <f t="shared" si="40"/>
        <v>-2516.1123879131628</v>
      </c>
      <c r="P132" s="15">
        <f t="shared" si="31"/>
        <v>-4.9412218996967424E-3</v>
      </c>
      <c r="Q132" s="7">
        <f t="shared" si="41"/>
        <v>509208.53970706806</v>
      </c>
      <c r="R132" s="7">
        <f t="shared" si="42"/>
        <v>511724.65209498123</v>
      </c>
      <c r="S132" s="13">
        <f>IF('BANCO DE DADOS'!$AD$32="Sim",R132,Q132)</f>
        <v>511724.65209498123</v>
      </c>
      <c r="T132" s="9">
        <f t="shared" si="43"/>
        <v>128</v>
      </c>
      <c r="U132" s="18">
        <f t="shared" ca="1" si="44"/>
        <v>48274</v>
      </c>
      <c r="V132" s="24"/>
      <c r="W132" s="24"/>
      <c r="X132" s="24"/>
    </row>
    <row r="133" spans="2:24" x14ac:dyDescent="0.2">
      <c r="B133" s="18">
        <f t="shared" ca="1" si="32"/>
        <v>48274</v>
      </c>
      <c r="C133" s="9">
        <f t="shared" si="45"/>
        <v>129</v>
      </c>
      <c r="D133" s="9"/>
      <c r="E133" s="13">
        <f t="shared" si="33"/>
        <v>2000</v>
      </c>
      <c r="F133" s="14">
        <f t="shared" si="34"/>
        <v>308000</v>
      </c>
      <c r="G133" s="15">
        <f t="shared" si="35"/>
        <v>0.59571014582304549</v>
      </c>
      <c r="H133" s="13">
        <f t="shared" si="36"/>
        <v>3276.2630767461533</v>
      </c>
      <c r="I133" s="13">
        <f t="shared" si="37"/>
        <v>206484.80278381394</v>
      </c>
      <c r="J133" s="15">
        <f t="shared" ref="J133:J196" si="47">1-G133</f>
        <v>0.40428985417695451</v>
      </c>
      <c r="K133" s="13">
        <f t="shared" si="38"/>
        <v>209029.9719748114</v>
      </c>
      <c r="L133" s="13">
        <f t="shared" si="46"/>
        <v>9479216.7539760452</v>
      </c>
      <c r="M133" s="15">
        <f t="shared" si="39"/>
        <v>0.40428985417695457</v>
      </c>
      <c r="N133" s="13">
        <f t="shared" ref="N133:N196" si="48">Q133*Inflação</f>
        <v>0</v>
      </c>
      <c r="O133" s="13">
        <f t="shared" si="40"/>
        <v>-2545.1691909971996</v>
      </c>
      <c r="P133" s="15">
        <f t="shared" ref="P133:P196" si="49">O133/Q133</f>
        <v>-4.9470250184759611E-3</v>
      </c>
      <c r="Q133" s="7">
        <f t="shared" si="41"/>
        <v>514484.8027838142</v>
      </c>
      <c r="R133" s="7">
        <f t="shared" si="42"/>
        <v>517029.9719748114</v>
      </c>
      <c r="S133" s="13">
        <f>IF('BANCO DE DADOS'!$AD$32="Sim",R133,Q133)</f>
        <v>517029.9719748114</v>
      </c>
      <c r="T133" s="9">
        <f t="shared" si="43"/>
        <v>129</v>
      </c>
      <c r="U133" s="18">
        <f t="shared" ca="1" si="44"/>
        <v>48305</v>
      </c>
      <c r="V133" s="24"/>
      <c r="W133" s="24"/>
      <c r="X133" s="24"/>
    </row>
    <row r="134" spans="2:24" x14ac:dyDescent="0.2">
      <c r="B134" s="18">
        <f t="shared" ref="B134:B197" ca="1" si="50">DATE(YEAR(B133),MONTH(B133)+1,1)</f>
        <v>48305</v>
      </c>
      <c r="C134" s="9">
        <f t="shared" si="45"/>
        <v>130</v>
      </c>
      <c r="D134" s="9"/>
      <c r="E134" s="13">
        <f t="shared" ref="E134:E197" si="51">IF($AE$33,IF($AE$34,$E133*(1+Inflação)*(1+Crescimento_Salário),$E133*(1+Inflação)),IF($AE$34,$E133*(1+Crescimento_Salário),$E133))</f>
        <v>2000</v>
      </c>
      <c r="F134" s="14">
        <f t="shared" ref="F134:F197" si="52">F133+E134</f>
        <v>310000</v>
      </c>
      <c r="G134" s="15">
        <f t="shared" ref="G134:G197" si="53">IF(F134&lt;=0,0,F134/S134)</f>
        <v>0.59344973941373724</v>
      </c>
      <c r="H134" s="13">
        <f t="shared" ref="H134:H197" si="54">Q133*Taxa</f>
        <v>3310.2107122502371</v>
      </c>
      <c r="I134" s="13">
        <f t="shared" ref="I134:I197" si="55">I133+H134</f>
        <v>209795.01349606417</v>
      </c>
      <c r="J134" s="15">
        <f t="shared" si="47"/>
        <v>0.40655026058626276</v>
      </c>
      <c r="K134" s="13">
        <f t="shared" ref="K134:K197" si="56">R134-F134</f>
        <v>212369.42644249159</v>
      </c>
      <c r="L134" s="13">
        <f t="shared" si="46"/>
        <v>9691586.1804185361</v>
      </c>
      <c r="M134" s="15">
        <f t="shared" ref="M134:M197" si="57">K134/R134</f>
        <v>0.40655026058626281</v>
      </c>
      <c r="N134" s="13">
        <f t="shared" si="48"/>
        <v>0</v>
      </c>
      <c r="O134" s="13">
        <f t="shared" ref="O134:O197" si="58">Q134-R134</f>
        <v>-2574.4129464271246</v>
      </c>
      <c r="P134" s="15">
        <f t="shared" si="49"/>
        <v>-4.9527465242731042E-3</v>
      </c>
      <c r="Q134" s="7">
        <f t="shared" ref="Q134:Q197" si="59">Q133+E134+H134</f>
        <v>519795.01349606446</v>
      </c>
      <c r="R134" s="7">
        <f t="shared" ref="R134:R197" si="60">(R133+E134)*(1+((1+Taxa)/(1+Inflação)-1))</f>
        <v>522369.42644249159</v>
      </c>
      <c r="S134" s="13">
        <f>IF('BANCO DE DADOS'!$AD$32="Sim",R134,Q134)</f>
        <v>522369.42644249159</v>
      </c>
      <c r="T134" s="9">
        <f t="shared" ref="T134:T197" si="61">C134</f>
        <v>130</v>
      </c>
      <c r="U134" s="18">
        <f t="shared" ref="U134:U197" ca="1" si="62">DATE(YEAR(U133),MONTH(U133)+1,1)</f>
        <v>48335</v>
      </c>
      <c r="V134" s="24"/>
      <c r="W134" s="24"/>
      <c r="X134" s="24"/>
    </row>
    <row r="135" spans="2:24" x14ac:dyDescent="0.2">
      <c r="B135" s="18">
        <f t="shared" ca="1" si="50"/>
        <v>48335</v>
      </c>
      <c r="C135" s="9">
        <f t="shared" ref="C135:C198" si="63">C134+1</f>
        <v>131</v>
      </c>
      <c r="D135" s="9"/>
      <c r="E135" s="13">
        <f t="shared" si="51"/>
        <v>2000</v>
      </c>
      <c r="F135" s="14">
        <f t="shared" si="52"/>
        <v>312000</v>
      </c>
      <c r="G135" s="15">
        <f t="shared" si="53"/>
        <v>0.59119658810685172</v>
      </c>
      <c r="H135" s="13">
        <f t="shared" si="54"/>
        <v>3344.376767863318</v>
      </c>
      <c r="I135" s="13">
        <f t="shared" si="55"/>
        <v>213139.39026392749</v>
      </c>
      <c r="J135" s="15">
        <f t="shared" si="47"/>
        <v>0.40880341189314828</v>
      </c>
      <c r="K135" s="13">
        <f t="shared" si="56"/>
        <v>215743.23512098775</v>
      </c>
      <c r="L135" s="13">
        <f t="shared" ref="L135:L198" si="64">L134+K135</f>
        <v>9907329.4155395236</v>
      </c>
      <c r="M135" s="15">
        <f t="shared" si="57"/>
        <v>0.40880341189314828</v>
      </c>
      <c r="N135" s="13">
        <f t="shared" si="48"/>
        <v>0</v>
      </c>
      <c r="O135" s="13">
        <f t="shared" si="58"/>
        <v>-2603.8448570600012</v>
      </c>
      <c r="P135" s="15">
        <f t="shared" si="49"/>
        <v>-4.9583880115169898E-3</v>
      </c>
      <c r="Q135" s="7">
        <f t="shared" si="59"/>
        <v>525139.39026392775</v>
      </c>
      <c r="R135" s="7">
        <f t="shared" si="60"/>
        <v>527743.23512098775</v>
      </c>
      <c r="S135" s="13">
        <f>IF('BANCO DE DADOS'!$AD$32="Sim",R135,Q135)</f>
        <v>527743.23512098775</v>
      </c>
      <c r="T135" s="9">
        <f t="shared" si="61"/>
        <v>131</v>
      </c>
      <c r="U135" s="18">
        <f t="shared" ca="1" si="62"/>
        <v>48366</v>
      </c>
      <c r="V135" s="24"/>
      <c r="W135" s="24"/>
      <c r="X135" s="24"/>
    </row>
    <row r="136" spans="2:24" x14ac:dyDescent="0.2">
      <c r="B136" s="18">
        <f t="shared" ca="1" si="50"/>
        <v>48366</v>
      </c>
      <c r="C136" s="9">
        <f t="shared" si="63"/>
        <v>132</v>
      </c>
      <c r="D136" s="9">
        <v>11</v>
      </c>
      <c r="E136" s="13">
        <f t="shared" si="51"/>
        <v>2000</v>
      </c>
      <c r="F136" s="14">
        <f t="shared" si="52"/>
        <v>314000</v>
      </c>
      <c r="G136" s="15">
        <f t="shared" si="53"/>
        <v>0.58895066390620077</v>
      </c>
      <c r="H136" s="13">
        <f t="shared" si="54"/>
        <v>3378.7626489069535</v>
      </c>
      <c r="I136" s="13">
        <f t="shared" si="55"/>
        <v>216518.15291283446</v>
      </c>
      <c r="J136" s="15">
        <f t="shared" si="47"/>
        <v>0.41104933609379923</v>
      </c>
      <c r="K136" s="13">
        <f t="shared" si="56"/>
        <v>219151.61904632684</v>
      </c>
      <c r="L136" s="13">
        <f t="shared" si="64"/>
        <v>10126481.03458585</v>
      </c>
      <c r="M136" s="15">
        <f t="shared" si="57"/>
        <v>0.41104933609379929</v>
      </c>
      <c r="N136" s="13">
        <f t="shared" si="48"/>
        <v>0</v>
      </c>
      <c r="O136" s="13">
        <f t="shared" si="58"/>
        <v>-2633.4661334921839</v>
      </c>
      <c r="P136" s="15">
        <f t="shared" si="49"/>
        <v>-4.9639510335942614E-3</v>
      </c>
      <c r="Q136" s="7">
        <f t="shared" si="59"/>
        <v>530518.15291283466</v>
      </c>
      <c r="R136" s="7">
        <f t="shared" si="60"/>
        <v>533151.61904632684</v>
      </c>
      <c r="S136" s="13">
        <f>IF('BANCO DE DADOS'!$AD$32="Sim",R136,Q136)</f>
        <v>533151.61904632684</v>
      </c>
      <c r="T136" s="9">
        <f t="shared" si="61"/>
        <v>132</v>
      </c>
      <c r="U136" s="18">
        <f t="shared" ca="1" si="62"/>
        <v>48396</v>
      </c>
      <c r="V136" s="24"/>
      <c r="W136" s="24"/>
      <c r="X136" s="24"/>
    </row>
    <row r="137" spans="2:24" x14ac:dyDescent="0.2">
      <c r="B137" s="18">
        <f t="shared" ca="1" si="50"/>
        <v>48396</v>
      </c>
      <c r="C137" s="9">
        <f t="shared" si="63"/>
        <v>133</v>
      </c>
      <c r="D137" s="9"/>
      <c r="E137" s="13">
        <f t="shared" si="51"/>
        <v>2000</v>
      </c>
      <c r="F137" s="14">
        <f t="shared" si="52"/>
        <v>316000</v>
      </c>
      <c r="G137" s="15">
        <f t="shared" si="53"/>
        <v>0.58671193929644161</v>
      </c>
      <c r="H137" s="13">
        <f t="shared" si="54"/>
        <v>3413.3697697445823</v>
      </c>
      <c r="I137" s="13">
        <f t="shared" si="55"/>
        <v>219931.52268257903</v>
      </c>
      <c r="J137" s="15">
        <f t="shared" si="47"/>
        <v>0.41328806070355839</v>
      </c>
      <c r="K137" s="13">
        <f t="shared" si="56"/>
        <v>222594.80067668797</v>
      </c>
      <c r="L137" s="13">
        <f t="shared" si="64"/>
        <v>10349075.835262539</v>
      </c>
      <c r="M137" s="15">
        <f t="shared" si="57"/>
        <v>0.41328806070355845</v>
      </c>
      <c r="N137" s="13">
        <f t="shared" si="48"/>
        <v>0</v>
      </c>
      <c r="O137" s="13">
        <f t="shared" si="58"/>
        <v>-2663.2779941087356</v>
      </c>
      <c r="P137" s="15">
        <f t="shared" si="49"/>
        <v>-4.9694371041617905E-3</v>
      </c>
      <c r="Q137" s="7">
        <f t="shared" si="59"/>
        <v>535931.52268257923</v>
      </c>
      <c r="R137" s="7">
        <f t="shared" si="60"/>
        <v>538594.80067668797</v>
      </c>
      <c r="S137" s="13">
        <f>IF('BANCO DE DADOS'!$AD$32="Sim",R137,Q137)</f>
        <v>538594.80067668797</v>
      </c>
      <c r="T137" s="9">
        <f t="shared" si="61"/>
        <v>133</v>
      </c>
      <c r="U137" s="18">
        <f t="shared" ca="1" si="62"/>
        <v>48427</v>
      </c>
      <c r="V137" s="24"/>
      <c r="W137" s="24"/>
      <c r="X137" s="24"/>
    </row>
    <row r="138" spans="2:24" x14ac:dyDescent="0.2">
      <c r="B138" s="18">
        <f t="shared" ca="1" si="50"/>
        <v>48427</v>
      </c>
      <c r="C138" s="9">
        <f t="shared" si="63"/>
        <v>134</v>
      </c>
      <c r="D138" s="9"/>
      <c r="E138" s="13">
        <f t="shared" si="51"/>
        <v>2000</v>
      </c>
      <c r="F138" s="14">
        <f t="shared" si="52"/>
        <v>318000</v>
      </c>
      <c r="G138" s="15">
        <f t="shared" si="53"/>
        <v>0.58448038722674844</v>
      </c>
      <c r="H138" s="13">
        <f t="shared" si="54"/>
        <v>3448.1995538397014</v>
      </c>
      <c r="I138" s="13">
        <f t="shared" si="55"/>
        <v>223379.72223641872</v>
      </c>
      <c r="J138" s="15">
        <f t="shared" si="47"/>
        <v>0.41551961277325156</v>
      </c>
      <c r="K138" s="13">
        <f t="shared" si="56"/>
        <v>226073.00390155311</v>
      </c>
      <c r="L138" s="13">
        <f t="shared" si="64"/>
        <v>10575148.839164091</v>
      </c>
      <c r="M138" s="15">
        <f t="shared" si="57"/>
        <v>0.4155196127732515</v>
      </c>
      <c r="N138" s="13">
        <f t="shared" si="48"/>
        <v>0</v>
      </c>
      <c r="O138" s="13">
        <f t="shared" si="58"/>
        <v>-2693.2816651341273</v>
      </c>
      <c r="P138" s="15">
        <f t="shared" si="49"/>
        <v>-4.9748476984107998E-3</v>
      </c>
      <c r="Q138" s="7">
        <f t="shared" si="59"/>
        <v>541379.72223641898</v>
      </c>
      <c r="R138" s="7">
        <f t="shared" si="60"/>
        <v>544073.00390155311</v>
      </c>
      <c r="S138" s="13">
        <f>IF('BANCO DE DADOS'!$AD$32="Sim",R138,Q138)</f>
        <v>544073.00390155311</v>
      </c>
      <c r="T138" s="9">
        <f t="shared" si="61"/>
        <v>134</v>
      </c>
      <c r="U138" s="18">
        <f t="shared" ca="1" si="62"/>
        <v>48458</v>
      </c>
      <c r="V138" s="24"/>
      <c r="W138" s="24"/>
      <c r="X138" s="24"/>
    </row>
    <row r="139" spans="2:24" x14ac:dyDescent="0.2">
      <c r="B139" s="18">
        <f t="shared" ca="1" si="50"/>
        <v>48458</v>
      </c>
      <c r="C139" s="9">
        <f t="shared" si="63"/>
        <v>135</v>
      </c>
      <c r="D139" s="9"/>
      <c r="E139" s="13">
        <f t="shared" si="51"/>
        <v>2000</v>
      </c>
      <c r="F139" s="14">
        <f t="shared" si="52"/>
        <v>320000</v>
      </c>
      <c r="G139" s="15">
        <f t="shared" si="53"/>
        <v>0.58225598109511278</v>
      </c>
      <c r="H139" s="13">
        <f t="shared" si="54"/>
        <v>3483.2534338144133</v>
      </c>
      <c r="I139" s="13">
        <f t="shared" si="55"/>
        <v>226862.97567023314</v>
      </c>
      <c r="J139" s="15">
        <f t="shared" si="47"/>
        <v>0.41774401890488722</v>
      </c>
      <c r="K139" s="13">
        <f t="shared" si="56"/>
        <v>229586.45405091566</v>
      </c>
      <c r="L139" s="13">
        <f t="shared" si="64"/>
        <v>10804735.293215007</v>
      </c>
      <c r="M139" s="15">
        <f t="shared" si="57"/>
        <v>0.41774401890488727</v>
      </c>
      <c r="N139" s="13">
        <f t="shared" si="48"/>
        <v>0</v>
      </c>
      <c r="O139" s="13">
        <f t="shared" si="58"/>
        <v>-2723.4783806822961</v>
      </c>
      <c r="P139" s="15">
        <f t="shared" si="49"/>
        <v>-4.9801842542812674E-3</v>
      </c>
      <c r="Q139" s="7">
        <f t="shared" si="59"/>
        <v>546862.97567023337</v>
      </c>
      <c r="R139" s="7">
        <f t="shared" si="60"/>
        <v>549586.45405091566</v>
      </c>
      <c r="S139" s="13">
        <f>IF('BANCO DE DADOS'!$AD$32="Sim",R139,Q139)</f>
        <v>549586.45405091566</v>
      </c>
      <c r="T139" s="9">
        <f t="shared" si="61"/>
        <v>135</v>
      </c>
      <c r="U139" s="18">
        <f t="shared" ca="1" si="62"/>
        <v>48488</v>
      </c>
      <c r="V139" s="24"/>
      <c r="W139" s="24"/>
      <c r="X139" s="24"/>
    </row>
    <row r="140" spans="2:24" x14ac:dyDescent="0.2">
      <c r="B140" s="18">
        <f t="shared" ca="1" si="50"/>
        <v>48488</v>
      </c>
      <c r="C140" s="9">
        <f t="shared" si="63"/>
        <v>136</v>
      </c>
      <c r="D140" s="9"/>
      <c r="E140" s="13">
        <f t="shared" si="51"/>
        <v>2000</v>
      </c>
      <c r="F140" s="14">
        <f t="shared" si="52"/>
        <v>322000</v>
      </c>
      <c r="G140" s="15">
        <f t="shared" si="53"/>
        <v>0.58003869473324243</v>
      </c>
      <c r="H140" s="13">
        <f t="shared" si="54"/>
        <v>3518.5328515083547</v>
      </c>
      <c r="I140" s="13">
        <f t="shared" si="55"/>
        <v>230381.50852174149</v>
      </c>
      <c r="J140" s="15">
        <f t="shared" si="47"/>
        <v>0.41996130526675757</v>
      </c>
      <c r="K140" s="13">
        <f t="shared" si="56"/>
        <v>233135.37790454924</v>
      </c>
      <c r="L140" s="13">
        <f t="shared" si="64"/>
        <v>11037870.671119556</v>
      </c>
      <c r="M140" s="15">
        <f t="shared" si="57"/>
        <v>0.41996130526675757</v>
      </c>
      <c r="N140" s="13">
        <f t="shared" si="48"/>
        <v>0</v>
      </c>
      <c r="O140" s="13">
        <f t="shared" si="58"/>
        <v>-2753.8693828075193</v>
      </c>
      <c r="P140" s="15">
        <f t="shared" si="49"/>
        <v>-4.9854481736314807E-3</v>
      </c>
      <c r="Q140" s="7">
        <f t="shared" si="59"/>
        <v>552381.50852174172</v>
      </c>
      <c r="R140" s="7">
        <f t="shared" si="60"/>
        <v>555135.37790454924</v>
      </c>
      <c r="S140" s="13">
        <f>IF('BANCO DE DADOS'!$AD$32="Sim",R140,Q140)</f>
        <v>555135.37790454924</v>
      </c>
      <c r="T140" s="9">
        <f t="shared" si="61"/>
        <v>136</v>
      </c>
      <c r="U140" s="18">
        <f t="shared" ca="1" si="62"/>
        <v>48519</v>
      </c>
      <c r="V140" s="24"/>
      <c r="W140" s="24"/>
      <c r="X140" s="24"/>
    </row>
    <row r="141" spans="2:24" x14ac:dyDescent="0.2">
      <c r="B141" s="18">
        <f t="shared" ca="1" si="50"/>
        <v>48519</v>
      </c>
      <c r="C141" s="9">
        <f t="shared" si="63"/>
        <v>137</v>
      </c>
      <c r="D141" s="9"/>
      <c r="E141" s="13">
        <f t="shared" si="51"/>
        <v>2000</v>
      </c>
      <c r="F141" s="14">
        <f t="shared" si="52"/>
        <v>324000</v>
      </c>
      <c r="G141" s="15">
        <f t="shared" si="53"/>
        <v>0.57782850239203698</v>
      </c>
      <c r="H141" s="13">
        <f t="shared" si="54"/>
        <v>3554.0392580380026</v>
      </c>
      <c r="I141" s="13">
        <f t="shared" si="55"/>
        <v>233935.5477797795</v>
      </c>
      <c r="J141" s="15">
        <f t="shared" si="47"/>
        <v>0.42217149760796302</v>
      </c>
      <c r="K141" s="13">
        <f t="shared" si="56"/>
        <v>236720.00370133528</v>
      </c>
      <c r="L141" s="13">
        <f t="shared" si="64"/>
        <v>11274590.674820891</v>
      </c>
      <c r="M141" s="15">
        <f t="shared" si="57"/>
        <v>0.42217149760796302</v>
      </c>
      <c r="N141" s="13">
        <f t="shared" si="48"/>
        <v>0</v>
      </c>
      <c r="O141" s="13">
        <f t="shared" si="58"/>
        <v>-2784.45592155552</v>
      </c>
      <c r="P141" s="15">
        <f t="shared" si="49"/>
        <v>-4.9906408233636335E-3</v>
      </c>
      <c r="Q141" s="7">
        <f t="shared" si="59"/>
        <v>557935.54777977976</v>
      </c>
      <c r="R141" s="7">
        <f t="shared" si="60"/>
        <v>560720.00370133528</v>
      </c>
      <c r="S141" s="13">
        <f>IF('BANCO DE DADOS'!$AD$32="Sim",R141,Q141)</f>
        <v>560720.00370133528</v>
      </c>
      <c r="T141" s="9">
        <f t="shared" si="61"/>
        <v>137</v>
      </c>
      <c r="U141" s="18">
        <f t="shared" ca="1" si="62"/>
        <v>48549</v>
      </c>
      <c r="V141" s="24"/>
      <c r="W141" s="24"/>
      <c r="X141" s="24"/>
    </row>
    <row r="142" spans="2:24" x14ac:dyDescent="0.2">
      <c r="B142" s="18">
        <f t="shared" ca="1" si="50"/>
        <v>48549</v>
      </c>
      <c r="C142" s="9">
        <f t="shared" si="63"/>
        <v>138</v>
      </c>
      <c r="D142" s="9"/>
      <c r="E142" s="13">
        <f t="shared" si="51"/>
        <v>2000</v>
      </c>
      <c r="F142" s="14">
        <f t="shared" si="52"/>
        <v>326000</v>
      </c>
      <c r="G142" s="15">
        <f t="shared" si="53"/>
        <v>0.5756253787276111</v>
      </c>
      <c r="H142" s="13">
        <f t="shared" si="54"/>
        <v>3589.7741138563606</v>
      </c>
      <c r="I142" s="13">
        <f t="shared" si="55"/>
        <v>237525.32189363588</v>
      </c>
      <c r="J142" s="15">
        <f t="shared" si="47"/>
        <v>0.4243746212723889</v>
      </c>
      <c r="K142" s="13">
        <f t="shared" si="56"/>
        <v>240340.56114865094</v>
      </c>
      <c r="L142" s="13">
        <f t="shared" si="64"/>
        <v>11514931.235969542</v>
      </c>
      <c r="M142" s="15">
        <f t="shared" si="57"/>
        <v>0.4243746212723889</v>
      </c>
      <c r="N142" s="13">
        <f t="shared" si="48"/>
        <v>0</v>
      </c>
      <c r="O142" s="13">
        <f t="shared" si="58"/>
        <v>-2815.239255014807</v>
      </c>
      <c r="P142" s="15">
        <f t="shared" si="49"/>
        <v>-4.9957635365073718E-3</v>
      </c>
      <c r="Q142" s="7">
        <f t="shared" si="59"/>
        <v>563525.32189363614</v>
      </c>
      <c r="R142" s="7">
        <f t="shared" si="60"/>
        <v>566340.56114865094</v>
      </c>
      <c r="S142" s="13">
        <f>IF('BANCO DE DADOS'!$AD$32="Sim",R142,Q142)</f>
        <v>566340.56114865094</v>
      </c>
      <c r="T142" s="9">
        <f t="shared" si="61"/>
        <v>138</v>
      </c>
      <c r="U142" s="18">
        <f t="shared" ca="1" si="62"/>
        <v>48580</v>
      </c>
      <c r="V142" s="24"/>
      <c r="W142" s="24"/>
      <c r="X142" s="24"/>
    </row>
    <row r="143" spans="2:24" x14ac:dyDescent="0.2">
      <c r="B143" s="18">
        <f t="shared" ca="1" si="50"/>
        <v>48580</v>
      </c>
      <c r="C143" s="9">
        <f t="shared" si="63"/>
        <v>139</v>
      </c>
      <c r="D143" s="9"/>
      <c r="E143" s="13">
        <f t="shared" si="51"/>
        <v>2000</v>
      </c>
      <c r="F143" s="14">
        <f t="shared" si="52"/>
        <v>328000</v>
      </c>
      <c r="G143" s="15">
        <f t="shared" si="53"/>
        <v>0.57342929878784366</v>
      </c>
      <c r="H143" s="13">
        <f t="shared" si="54"/>
        <v>3625.7388888130304</v>
      </c>
      <c r="I143" s="13">
        <f t="shared" si="55"/>
        <v>241151.06078244891</v>
      </c>
      <c r="J143" s="15">
        <f t="shared" si="47"/>
        <v>0.42657070121215634</v>
      </c>
      <c r="K143" s="13">
        <f t="shared" si="56"/>
        <v>243997.28143181757</v>
      </c>
      <c r="L143" s="13">
        <f t="shared" si="64"/>
        <v>11758928.51740136</v>
      </c>
      <c r="M143" s="15">
        <f t="shared" si="57"/>
        <v>0.42657070121215634</v>
      </c>
      <c r="N143" s="13">
        <f t="shared" si="48"/>
        <v>0</v>
      </c>
      <c r="O143" s="13">
        <f t="shared" si="58"/>
        <v>-2846.2206493683625</v>
      </c>
      <c r="P143" s="15">
        <f t="shared" si="49"/>
        <v>-5.0008176132632989E-3</v>
      </c>
      <c r="Q143" s="7">
        <f t="shared" si="59"/>
        <v>569151.0607824492</v>
      </c>
      <c r="R143" s="7">
        <f t="shared" si="60"/>
        <v>571997.28143181757</v>
      </c>
      <c r="S143" s="13">
        <f>IF('BANCO DE DADOS'!$AD$32="Sim",R143,Q143)</f>
        <v>571997.28143181757</v>
      </c>
      <c r="T143" s="9">
        <f t="shared" si="61"/>
        <v>139</v>
      </c>
      <c r="U143" s="18">
        <f t="shared" ca="1" si="62"/>
        <v>48611</v>
      </c>
      <c r="V143" s="24"/>
      <c r="W143" s="24"/>
      <c r="X143" s="24"/>
    </row>
    <row r="144" spans="2:24" x14ac:dyDescent="0.2">
      <c r="B144" s="18">
        <f t="shared" ca="1" si="50"/>
        <v>48611</v>
      </c>
      <c r="C144" s="9">
        <f t="shared" si="63"/>
        <v>140</v>
      </c>
      <c r="D144" s="9"/>
      <c r="E144" s="13">
        <f t="shared" si="51"/>
        <v>2000</v>
      </c>
      <c r="F144" s="14">
        <f t="shared" si="52"/>
        <v>330000</v>
      </c>
      <c r="G144" s="15">
        <f t="shared" si="53"/>
        <v>0.57124023799942958</v>
      </c>
      <c r="H144" s="13">
        <f t="shared" si="54"/>
        <v>3661.9350622146708</v>
      </c>
      <c r="I144" s="13">
        <f t="shared" si="55"/>
        <v>244812.99584466359</v>
      </c>
      <c r="J144" s="15">
        <f t="shared" si="47"/>
        <v>0.42875976200057042</v>
      </c>
      <c r="K144" s="13">
        <f t="shared" si="56"/>
        <v>247690.39722360997</v>
      </c>
      <c r="L144" s="13">
        <f t="shared" si="64"/>
        <v>12006618.91462497</v>
      </c>
      <c r="M144" s="15">
        <f t="shared" si="57"/>
        <v>0.42875976200057037</v>
      </c>
      <c r="N144" s="13">
        <f t="shared" si="48"/>
        <v>0</v>
      </c>
      <c r="O144" s="13">
        <f t="shared" si="58"/>
        <v>-2877.401378946146</v>
      </c>
      <c r="P144" s="15">
        <f t="shared" si="49"/>
        <v>-5.0058043220089768E-3</v>
      </c>
      <c r="Q144" s="7">
        <f t="shared" si="59"/>
        <v>574812.99584466382</v>
      </c>
      <c r="R144" s="7">
        <f t="shared" si="60"/>
        <v>577690.39722360997</v>
      </c>
      <c r="S144" s="13">
        <f>IF('BANCO DE DADOS'!$AD$32="Sim",R144,Q144)</f>
        <v>577690.39722360997</v>
      </c>
      <c r="T144" s="9">
        <f t="shared" si="61"/>
        <v>140</v>
      </c>
      <c r="U144" s="18">
        <f t="shared" ca="1" si="62"/>
        <v>48639</v>
      </c>
      <c r="V144" s="24"/>
      <c r="W144" s="24"/>
      <c r="X144" s="24"/>
    </row>
    <row r="145" spans="2:24" x14ac:dyDescent="0.2">
      <c r="B145" s="18">
        <f t="shared" ca="1" si="50"/>
        <v>48639</v>
      </c>
      <c r="C145" s="9">
        <f t="shared" si="63"/>
        <v>141</v>
      </c>
      <c r="D145" s="9"/>
      <c r="E145" s="13">
        <f t="shared" si="51"/>
        <v>2000</v>
      </c>
      <c r="F145" s="14">
        <f t="shared" si="52"/>
        <v>332000</v>
      </c>
      <c r="G145" s="15">
        <f t="shared" si="53"/>
        <v>0.56905817215541454</v>
      </c>
      <c r="H145" s="13">
        <f t="shared" si="54"/>
        <v>3698.3641228858437</v>
      </c>
      <c r="I145" s="13">
        <f t="shared" si="55"/>
        <v>248511.35996754942</v>
      </c>
      <c r="J145" s="15">
        <f t="shared" si="47"/>
        <v>0.43094182784458546</v>
      </c>
      <c r="K145" s="13">
        <f t="shared" si="56"/>
        <v>251420.14269382646</v>
      </c>
      <c r="L145" s="13">
        <f t="shared" si="64"/>
        <v>12258039.057318797</v>
      </c>
      <c r="M145" s="15">
        <f t="shared" si="57"/>
        <v>0.43094182784458551</v>
      </c>
      <c r="N145" s="13">
        <f t="shared" si="48"/>
        <v>0</v>
      </c>
      <c r="O145" s="13">
        <f t="shared" si="58"/>
        <v>-2908.7827262767823</v>
      </c>
      <c r="P145" s="15">
        <f t="shared" si="49"/>
        <v>-5.0107249002661752E-3</v>
      </c>
      <c r="Q145" s="7">
        <f t="shared" si="59"/>
        <v>580511.35996754968</v>
      </c>
      <c r="R145" s="7">
        <f t="shared" si="60"/>
        <v>583420.14269382646</v>
      </c>
      <c r="S145" s="13">
        <f>IF('BANCO DE DADOS'!$AD$32="Sim",R145,Q145)</f>
        <v>583420.14269382646</v>
      </c>
      <c r="T145" s="9">
        <f t="shared" si="61"/>
        <v>141</v>
      </c>
      <c r="U145" s="18">
        <f t="shared" ca="1" si="62"/>
        <v>48670</v>
      </c>
      <c r="V145" s="24"/>
      <c r="W145" s="24"/>
      <c r="X145" s="24"/>
    </row>
    <row r="146" spans="2:24" x14ac:dyDescent="0.2">
      <c r="B146" s="18">
        <f t="shared" ca="1" si="50"/>
        <v>48670</v>
      </c>
      <c r="C146" s="9">
        <f t="shared" si="63"/>
        <v>142</v>
      </c>
      <c r="D146" s="9"/>
      <c r="E146" s="13">
        <f t="shared" si="51"/>
        <v>2000</v>
      </c>
      <c r="F146" s="14">
        <f t="shared" si="52"/>
        <v>334000</v>
      </c>
      <c r="G146" s="15">
        <f t="shared" si="53"/>
        <v>0.56688307740318866</v>
      </c>
      <c r="H146" s="13">
        <f t="shared" si="54"/>
        <v>3735.0275692302548</v>
      </c>
      <c r="I146" s="13">
        <f t="shared" si="55"/>
        <v>252246.38753677969</v>
      </c>
      <c r="J146" s="15">
        <f t="shared" si="47"/>
        <v>0.43311692259681134</v>
      </c>
      <c r="K146" s="13">
        <f t="shared" si="56"/>
        <v>255186.75351892109</v>
      </c>
      <c r="L146" s="13">
        <f t="shared" si="64"/>
        <v>12513225.810837718</v>
      </c>
      <c r="M146" s="15">
        <f t="shared" si="57"/>
        <v>0.43311692259681134</v>
      </c>
      <c r="N146" s="13">
        <f t="shared" si="48"/>
        <v>0</v>
      </c>
      <c r="O146" s="13">
        <f t="shared" si="58"/>
        <v>-2940.3659821411129</v>
      </c>
      <c r="P146" s="15">
        <f t="shared" si="49"/>
        <v>-5.0155805556356455E-3</v>
      </c>
      <c r="Q146" s="7">
        <f t="shared" si="59"/>
        <v>586246.38753677998</v>
      </c>
      <c r="R146" s="7">
        <f t="shared" si="60"/>
        <v>589186.75351892109</v>
      </c>
      <c r="S146" s="13">
        <f>IF('BANCO DE DADOS'!$AD$32="Sim",R146,Q146)</f>
        <v>589186.75351892109</v>
      </c>
      <c r="T146" s="9">
        <f t="shared" si="61"/>
        <v>142</v>
      </c>
      <c r="U146" s="18">
        <f t="shared" ca="1" si="62"/>
        <v>48700</v>
      </c>
      <c r="V146" s="24"/>
      <c r="W146" s="24"/>
      <c r="X146" s="24"/>
    </row>
    <row r="147" spans="2:24" x14ac:dyDescent="0.2">
      <c r="B147" s="18">
        <f t="shared" ca="1" si="50"/>
        <v>48700</v>
      </c>
      <c r="C147" s="9">
        <f t="shared" si="63"/>
        <v>143</v>
      </c>
      <c r="D147" s="9"/>
      <c r="E147" s="13">
        <f t="shared" si="51"/>
        <v>2000</v>
      </c>
      <c r="F147" s="14">
        <f t="shared" si="52"/>
        <v>336000</v>
      </c>
      <c r="G147" s="15">
        <f t="shared" si="53"/>
        <v>0.56471493023292474</v>
      </c>
      <c r="H147" s="13">
        <f t="shared" si="54"/>
        <v>3771.9269092923819</v>
      </c>
      <c r="I147" s="13">
        <f t="shared" si="55"/>
        <v>256018.31444607207</v>
      </c>
      <c r="J147" s="15">
        <f t="shared" si="47"/>
        <v>0.43528506976707526</v>
      </c>
      <c r="K147" s="13">
        <f t="shared" si="56"/>
        <v>258990.46689169703</v>
      </c>
      <c r="L147" s="13">
        <f t="shared" si="64"/>
        <v>12772216.277729414</v>
      </c>
      <c r="M147" s="15">
        <f t="shared" si="57"/>
        <v>0.43528506976707526</v>
      </c>
      <c r="N147" s="13">
        <f t="shared" si="48"/>
        <v>0</v>
      </c>
      <c r="O147" s="13">
        <f t="shared" si="58"/>
        <v>-2972.1524456246989</v>
      </c>
      <c r="P147" s="15">
        <f t="shared" si="49"/>
        <v>-5.0203724666957675E-3</v>
      </c>
      <c r="Q147" s="7">
        <f t="shared" si="59"/>
        <v>592018.31444607233</v>
      </c>
      <c r="R147" s="7">
        <f t="shared" si="60"/>
        <v>594990.46689169703</v>
      </c>
      <c r="S147" s="13">
        <f>IF('BANCO DE DADOS'!$AD$32="Sim",R147,Q147)</f>
        <v>594990.46689169703</v>
      </c>
      <c r="T147" s="9">
        <f t="shared" si="61"/>
        <v>143</v>
      </c>
      <c r="U147" s="18">
        <f t="shared" ca="1" si="62"/>
        <v>48731</v>
      </c>
      <c r="V147" s="24"/>
      <c r="W147" s="24"/>
      <c r="X147" s="24"/>
    </row>
    <row r="148" spans="2:24" x14ac:dyDescent="0.2">
      <c r="B148" s="18">
        <f t="shared" ca="1" si="50"/>
        <v>48731</v>
      </c>
      <c r="C148" s="9">
        <f t="shared" si="63"/>
        <v>144</v>
      </c>
      <c r="D148" s="9">
        <v>12</v>
      </c>
      <c r="E148" s="13">
        <f t="shared" si="51"/>
        <v>2000</v>
      </c>
      <c r="F148" s="14">
        <f t="shared" si="52"/>
        <v>338000</v>
      </c>
      <c r="G148" s="15">
        <f t="shared" si="53"/>
        <v>0.56255370746643696</v>
      </c>
      <c r="H148" s="13">
        <f t="shared" si="54"/>
        <v>3809.0636608195082</v>
      </c>
      <c r="I148" s="13">
        <f t="shared" si="55"/>
        <v>259827.37810689159</v>
      </c>
      <c r="J148" s="15">
        <f t="shared" si="47"/>
        <v>0.43744629253356304</v>
      </c>
      <c r="K148" s="13">
        <f t="shared" si="56"/>
        <v>262831.52153106325</v>
      </c>
      <c r="L148" s="13">
        <f t="shared" si="64"/>
        <v>13035047.799260478</v>
      </c>
      <c r="M148" s="15">
        <f t="shared" si="57"/>
        <v>0.43744629253356299</v>
      </c>
      <c r="N148" s="13">
        <f t="shared" si="48"/>
        <v>0</v>
      </c>
      <c r="O148" s="13">
        <f t="shared" si="58"/>
        <v>-3004.1434241713723</v>
      </c>
      <c r="P148" s="15">
        <f t="shared" si="49"/>
        <v>-5.0251017838701759E-3</v>
      </c>
      <c r="Q148" s="7">
        <f t="shared" si="59"/>
        <v>597827.37810689188</v>
      </c>
      <c r="R148" s="7">
        <f t="shared" si="60"/>
        <v>600831.52153106325</v>
      </c>
      <c r="S148" s="13">
        <f>IF('BANCO DE DADOS'!$AD$32="Sim",R148,Q148)</f>
        <v>600831.52153106325</v>
      </c>
      <c r="T148" s="9">
        <f t="shared" si="61"/>
        <v>144</v>
      </c>
      <c r="U148" s="18">
        <f t="shared" ca="1" si="62"/>
        <v>48761</v>
      </c>
      <c r="V148" s="24"/>
      <c r="W148" s="24"/>
      <c r="X148" s="24"/>
    </row>
    <row r="149" spans="2:24" x14ac:dyDescent="0.2">
      <c r="B149" s="18">
        <f t="shared" ca="1" si="50"/>
        <v>48761</v>
      </c>
      <c r="C149" s="9">
        <f t="shared" si="63"/>
        <v>145</v>
      </c>
      <c r="D149" s="9"/>
      <c r="E149" s="13">
        <f t="shared" si="51"/>
        <v>2000</v>
      </c>
      <c r="F149" s="14">
        <f t="shared" si="52"/>
        <v>340000</v>
      </c>
      <c r="G149" s="15">
        <f t="shared" si="53"/>
        <v>0.56039938624644758</v>
      </c>
      <c r="H149" s="13">
        <f t="shared" si="54"/>
        <v>3846.439351324148</v>
      </c>
      <c r="I149" s="13">
        <f t="shared" si="55"/>
        <v>263673.81745821575</v>
      </c>
      <c r="J149" s="15">
        <f t="shared" si="47"/>
        <v>0.43960061375355242</v>
      </c>
      <c r="K149" s="13">
        <f t="shared" si="56"/>
        <v>266710.15769185324</v>
      </c>
      <c r="L149" s="13">
        <f t="shared" si="64"/>
        <v>13301757.956952332</v>
      </c>
      <c r="M149" s="15">
        <f t="shared" si="57"/>
        <v>0.43960061375355242</v>
      </c>
      <c r="N149" s="13">
        <f t="shared" si="48"/>
        <v>0</v>
      </c>
      <c r="O149" s="13">
        <f t="shared" si="58"/>
        <v>-3036.3402336372528</v>
      </c>
      <c r="P149" s="15">
        <f t="shared" si="49"/>
        <v>-5.0297696302646364E-3</v>
      </c>
      <c r="Q149" s="7">
        <f t="shared" si="59"/>
        <v>603673.81745821598</v>
      </c>
      <c r="R149" s="7">
        <f t="shared" si="60"/>
        <v>606710.15769185324</v>
      </c>
      <c r="S149" s="13">
        <f>IF('BANCO DE DADOS'!$AD$32="Sim",R149,Q149)</f>
        <v>606710.15769185324</v>
      </c>
      <c r="T149" s="9">
        <f t="shared" si="61"/>
        <v>145</v>
      </c>
      <c r="U149" s="18">
        <f t="shared" ca="1" si="62"/>
        <v>48792</v>
      </c>
      <c r="V149" s="24"/>
      <c r="W149" s="24"/>
      <c r="X149" s="24"/>
    </row>
    <row r="150" spans="2:24" x14ac:dyDescent="0.2">
      <c r="B150" s="18">
        <f t="shared" ca="1" si="50"/>
        <v>48792</v>
      </c>
      <c r="C150" s="9">
        <f t="shared" si="63"/>
        <v>146</v>
      </c>
      <c r="D150" s="9"/>
      <c r="E150" s="13">
        <f t="shared" si="51"/>
        <v>2000</v>
      </c>
      <c r="F150" s="14">
        <f t="shared" si="52"/>
        <v>342000</v>
      </c>
      <c r="G150" s="15">
        <f t="shared" si="53"/>
        <v>0.55825194402624057</v>
      </c>
      <c r="H150" s="13">
        <f t="shared" si="54"/>
        <v>3884.0555181468762</v>
      </c>
      <c r="I150" s="13">
        <f t="shared" si="55"/>
        <v>267557.87297636265</v>
      </c>
      <c r="J150" s="15">
        <f t="shared" si="47"/>
        <v>0.44174805597375943</v>
      </c>
      <c r="K150" s="13">
        <f t="shared" si="56"/>
        <v>270626.61717470759</v>
      </c>
      <c r="L150" s="13">
        <f t="shared" si="64"/>
        <v>13572384.574127039</v>
      </c>
      <c r="M150" s="15">
        <f t="shared" si="57"/>
        <v>0.44174805597375938</v>
      </c>
      <c r="N150" s="13">
        <f t="shared" si="48"/>
        <v>0</v>
      </c>
      <c r="O150" s="13">
        <f t="shared" si="58"/>
        <v>-3068.7441983447643</v>
      </c>
      <c r="P150" s="15">
        <f t="shared" si="49"/>
        <v>-5.0343771024736854E-3</v>
      </c>
      <c r="Q150" s="7">
        <f t="shared" si="59"/>
        <v>609557.87297636282</v>
      </c>
      <c r="R150" s="7">
        <f t="shared" si="60"/>
        <v>612626.61717470759</v>
      </c>
      <c r="S150" s="13">
        <f>IF('BANCO DE DADOS'!$AD$32="Sim",R150,Q150)</f>
        <v>612626.61717470759</v>
      </c>
      <c r="T150" s="9">
        <f t="shared" si="61"/>
        <v>146</v>
      </c>
      <c r="U150" s="18">
        <f t="shared" ca="1" si="62"/>
        <v>48823</v>
      </c>
      <c r="V150" s="24"/>
      <c r="W150" s="24"/>
      <c r="X150" s="24"/>
    </row>
    <row r="151" spans="2:24" x14ac:dyDescent="0.2">
      <c r="B151" s="18">
        <f t="shared" ca="1" si="50"/>
        <v>48823</v>
      </c>
      <c r="C151" s="9">
        <f t="shared" si="63"/>
        <v>147</v>
      </c>
      <c r="D151" s="9"/>
      <c r="E151" s="13">
        <f t="shared" si="51"/>
        <v>2000</v>
      </c>
      <c r="F151" s="14">
        <f t="shared" si="52"/>
        <v>344000</v>
      </c>
      <c r="G151" s="15">
        <f t="shared" si="53"/>
        <v>0.55611135855968996</v>
      </c>
      <c r="H151" s="13">
        <f t="shared" si="54"/>
        <v>3921.9137085195648</v>
      </c>
      <c r="I151" s="13">
        <f t="shared" si="55"/>
        <v>271479.78668488219</v>
      </c>
      <c r="J151" s="15">
        <f t="shared" si="47"/>
        <v>0.44388864144031004</v>
      </c>
      <c r="K151" s="13">
        <f t="shared" si="56"/>
        <v>274581.14333601925</v>
      </c>
      <c r="L151" s="13">
        <f t="shared" si="64"/>
        <v>13846965.717463057</v>
      </c>
      <c r="M151" s="15">
        <f t="shared" si="57"/>
        <v>0.44388864144030998</v>
      </c>
      <c r="N151" s="13">
        <f t="shared" si="48"/>
        <v>0</v>
      </c>
      <c r="O151" s="13">
        <f t="shared" si="58"/>
        <v>-3101.3566511368845</v>
      </c>
      <c r="P151" s="15">
        <f t="shared" si="49"/>
        <v>-5.0389252713586496E-3</v>
      </c>
      <c r="Q151" s="7">
        <f t="shared" si="59"/>
        <v>615479.78668488236</v>
      </c>
      <c r="R151" s="7">
        <f t="shared" si="60"/>
        <v>618581.14333601925</v>
      </c>
      <c r="S151" s="13">
        <f>IF('BANCO DE DADOS'!$AD$32="Sim",R151,Q151)</f>
        <v>618581.14333601925</v>
      </c>
      <c r="T151" s="9">
        <f t="shared" si="61"/>
        <v>147</v>
      </c>
      <c r="U151" s="18">
        <f t="shared" ca="1" si="62"/>
        <v>48853</v>
      </c>
      <c r="V151" s="24"/>
      <c r="W151" s="24"/>
      <c r="X151" s="24"/>
    </row>
    <row r="152" spans="2:24" x14ac:dyDescent="0.2">
      <c r="B152" s="18">
        <f t="shared" ca="1" si="50"/>
        <v>48853</v>
      </c>
      <c r="C152" s="9">
        <f t="shared" si="63"/>
        <v>148</v>
      </c>
      <c r="D152" s="9"/>
      <c r="E152" s="13">
        <f t="shared" si="51"/>
        <v>2000</v>
      </c>
      <c r="F152" s="14">
        <f t="shared" si="52"/>
        <v>346000</v>
      </c>
      <c r="G152" s="15">
        <f t="shared" si="53"/>
        <v>0.55397760789164463</v>
      </c>
      <c r="H152" s="13">
        <f t="shared" si="54"/>
        <v>3960.0154796290217</v>
      </c>
      <c r="I152" s="13">
        <f t="shared" si="55"/>
        <v>275439.80216451123</v>
      </c>
      <c r="J152" s="15">
        <f t="shared" si="47"/>
        <v>0.44602239210835537</v>
      </c>
      <c r="K152" s="13">
        <f t="shared" si="56"/>
        <v>278573.9810979435</v>
      </c>
      <c r="L152" s="13">
        <f t="shared" si="64"/>
        <v>14125539.698561002</v>
      </c>
      <c r="M152" s="15">
        <f t="shared" si="57"/>
        <v>0.44602239210835537</v>
      </c>
      <c r="N152" s="13">
        <f t="shared" si="48"/>
        <v>0</v>
      </c>
      <c r="O152" s="13">
        <f t="shared" si="58"/>
        <v>-3134.1789334320929</v>
      </c>
      <c r="P152" s="15">
        <f t="shared" si="49"/>
        <v>-5.0434151827989824E-3</v>
      </c>
      <c r="Q152" s="7">
        <f t="shared" si="59"/>
        <v>621439.80216451141</v>
      </c>
      <c r="R152" s="7">
        <f t="shared" si="60"/>
        <v>624573.9810979435</v>
      </c>
      <c r="S152" s="13">
        <f>IF('BANCO DE DADOS'!$AD$32="Sim",R152,Q152)</f>
        <v>624573.9810979435</v>
      </c>
      <c r="T152" s="9">
        <f t="shared" si="61"/>
        <v>148</v>
      </c>
      <c r="U152" s="18">
        <f t="shared" ca="1" si="62"/>
        <v>48884</v>
      </c>
      <c r="V152" s="24"/>
      <c r="W152" s="24"/>
      <c r="X152" s="24"/>
    </row>
    <row r="153" spans="2:24" x14ac:dyDescent="0.2">
      <c r="B153" s="18">
        <f t="shared" ca="1" si="50"/>
        <v>48884</v>
      </c>
      <c r="C153" s="9">
        <f t="shared" si="63"/>
        <v>149</v>
      </c>
      <c r="D153" s="9"/>
      <c r="E153" s="13">
        <f t="shared" si="51"/>
        <v>2000</v>
      </c>
      <c r="F153" s="14">
        <f t="shared" si="52"/>
        <v>348000</v>
      </c>
      <c r="G153" s="15">
        <f t="shared" si="53"/>
        <v>0.55185067034865609</v>
      </c>
      <c r="H153" s="13">
        <f t="shared" si="54"/>
        <v>3998.3623986810412</v>
      </c>
      <c r="I153" s="13">
        <f t="shared" si="55"/>
        <v>279438.16456319229</v>
      </c>
      <c r="J153" s="15">
        <f t="shared" si="47"/>
        <v>0.44814932965134391</v>
      </c>
      <c r="K153" s="13">
        <f t="shared" si="56"/>
        <v>282605.37695847242</v>
      </c>
      <c r="L153" s="13">
        <f t="shared" si="64"/>
        <v>14408145.075519474</v>
      </c>
      <c r="M153" s="15">
        <f t="shared" si="57"/>
        <v>0.44814932965134385</v>
      </c>
      <c r="N153" s="13">
        <f t="shared" si="48"/>
        <v>0</v>
      </c>
      <c r="O153" s="13">
        <f t="shared" si="58"/>
        <v>-3167.2123952800175</v>
      </c>
      <c r="P153" s="15">
        <f t="shared" si="49"/>
        <v>-5.0478478584179776E-3</v>
      </c>
      <c r="Q153" s="7">
        <f t="shared" si="59"/>
        <v>627438.1645631924</v>
      </c>
      <c r="R153" s="7">
        <f t="shared" si="60"/>
        <v>630605.37695847242</v>
      </c>
      <c r="S153" s="13">
        <f>IF('BANCO DE DADOS'!$AD$32="Sim",R153,Q153)</f>
        <v>630605.37695847242</v>
      </c>
      <c r="T153" s="9">
        <f t="shared" si="61"/>
        <v>149</v>
      </c>
      <c r="U153" s="18">
        <f t="shared" ca="1" si="62"/>
        <v>48914</v>
      </c>
      <c r="V153" s="24"/>
      <c r="W153" s="24"/>
      <c r="X153" s="24"/>
    </row>
    <row r="154" spans="2:24" x14ac:dyDescent="0.2">
      <c r="B154" s="18">
        <f t="shared" ca="1" si="50"/>
        <v>48914</v>
      </c>
      <c r="C154" s="9">
        <f t="shared" si="63"/>
        <v>150</v>
      </c>
      <c r="D154" s="9"/>
      <c r="E154" s="13">
        <f t="shared" si="51"/>
        <v>2000</v>
      </c>
      <c r="F154" s="14">
        <f t="shared" si="52"/>
        <v>350000</v>
      </c>
      <c r="G154" s="15">
        <f t="shared" si="53"/>
        <v>0.54973052453003723</v>
      </c>
      <c r="H154" s="13">
        <f t="shared" si="54"/>
        <v>4036.9560429648673</v>
      </c>
      <c r="I154" s="13">
        <f t="shared" si="55"/>
        <v>283475.12060615717</v>
      </c>
      <c r="J154" s="15">
        <f t="shared" si="47"/>
        <v>0.45026947546996277</v>
      </c>
      <c r="K154" s="13">
        <f t="shared" si="56"/>
        <v>286675.57900157326</v>
      </c>
      <c r="L154" s="13">
        <f t="shared" si="64"/>
        <v>14694820.654521048</v>
      </c>
      <c r="M154" s="15">
        <f t="shared" si="57"/>
        <v>0.45026947546996282</v>
      </c>
      <c r="N154" s="13">
        <f t="shared" si="48"/>
        <v>0</v>
      </c>
      <c r="O154" s="13">
        <f t="shared" si="58"/>
        <v>-3200.4583954160335</v>
      </c>
      <c r="P154" s="15">
        <f t="shared" si="49"/>
        <v>-5.0522242962811091E-3</v>
      </c>
      <c r="Q154" s="7">
        <f t="shared" si="59"/>
        <v>633475.12060615723</v>
      </c>
      <c r="R154" s="7">
        <f t="shared" si="60"/>
        <v>636675.57900157326</v>
      </c>
      <c r="S154" s="13">
        <f>IF('BANCO DE DADOS'!$AD$32="Sim",R154,Q154)</f>
        <v>636675.57900157326</v>
      </c>
      <c r="T154" s="9">
        <f t="shared" si="61"/>
        <v>150</v>
      </c>
      <c r="U154" s="18">
        <f t="shared" ca="1" si="62"/>
        <v>48945</v>
      </c>
      <c r="V154" s="24"/>
      <c r="W154" s="24"/>
      <c r="X154" s="24"/>
    </row>
    <row r="155" spans="2:24" x14ac:dyDescent="0.2">
      <c r="B155" s="18">
        <f t="shared" ca="1" si="50"/>
        <v>48945</v>
      </c>
      <c r="C155" s="9">
        <f t="shared" si="63"/>
        <v>151</v>
      </c>
      <c r="D155" s="9"/>
      <c r="E155" s="13">
        <f t="shared" si="51"/>
        <v>2000</v>
      </c>
      <c r="F155" s="14">
        <f t="shared" si="52"/>
        <v>352000</v>
      </c>
      <c r="G155" s="15">
        <f t="shared" si="53"/>
        <v>0.54761714929923433</v>
      </c>
      <c r="H155" s="13">
        <f t="shared" si="54"/>
        <v>4075.7979999180702</v>
      </c>
      <c r="I155" s="13">
        <f t="shared" si="55"/>
        <v>287550.91860607523</v>
      </c>
      <c r="J155" s="15">
        <f t="shared" si="47"/>
        <v>0.45238285070076567</v>
      </c>
      <c r="K155" s="13">
        <f t="shared" si="56"/>
        <v>290784.8369073933</v>
      </c>
      <c r="L155" s="13">
        <f t="shared" si="64"/>
        <v>14985605.491428442</v>
      </c>
      <c r="M155" s="15">
        <f t="shared" si="57"/>
        <v>0.45238285070076567</v>
      </c>
      <c r="N155" s="13">
        <f t="shared" si="48"/>
        <v>0</v>
      </c>
      <c r="O155" s="13">
        <f t="shared" si="58"/>
        <v>-3233.9183013179572</v>
      </c>
      <c r="P155" s="15">
        <f t="shared" si="49"/>
        <v>-5.0565454715730852E-3</v>
      </c>
      <c r="Q155" s="7">
        <f t="shared" si="59"/>
        <v>639550.91860607534</v>
      </c>
      <c r="R155" s="7">
        <f t="shared" si="60"/>
        <v>642784.8369073933</v>
      </c>
      <c r="S155" s="13">
        <f>IF('BANCO DE DADOS'!$AD$32="Sim",R155,Q155)</f>
        <v>642784.8369073933</v>
      </c>
      <c r="T155" s="9">
        <f t="shared" si="61"/>
        <v>151</v>
      </c>
      <c r="U155" s="18">
        <f t="shared" ca="1" si="62"/>
        <v>48976</v>
      </c>
      <c r="V155" s="24"/>
      <c r="W155" s="24"/>
      <c r="X155" s="24"/>
    </row>
    <row r="156" spans="2:24" x14ac:dyDescent="0.2">
      <c r="B156" s="18">
        <f t="shared" ca="1" si="50"/>
        <v>48976</v>
      </c>
      <c r="C156" s="9">
        <f t="shared" si="63"/>
        <v>152</v>
      </c>
      <c r="D156" s="9"/>
      <c r="E156" s="13">
        <f t="shared" si="51"/>
        <v>2000</v>
      </c>
      <c r="F156" s="14">
        <f t="shared" si="52"/>
        <v>354000</v>
      </c>
      <c r="G156" s="15">
        <f t="shared" si="53"/>
        <v>0.54551052377550557</v>
      </c>
      <c r="H156" s="13">
        <f t="shared" si="54"/>
        <v>4114.8898671918414</v>
      </c>
      <c r="I156" s="13">
        <f t="shared" si="55"/>
        <v>291665.80847326707</v>
      </c>
      <c r="J156" s="15">
        <f t="shared" si="47"/>
        <v>0.45448947622449443</v>
      </c>
      <c r="K156" s="13">
        <f t="shared" si="56"/>
        <v>294933.40196252917</v>
      </c>
      <c r="L156" s="13">
        <f t="shared" si="64"/>
        <v>15280538.893390972</v>
      </c>
      <c r="M156" s="15">
        <f t="shared" si="57"/>
        <v>0.45448947622449443</v>
      </c>
      <c r="N156" s="13">
        <f t="shared" si="48"/>
        <v>0</v>
      </c>
      <c r="O156" s="13">
        <f t="shared" si="58"/>
        <v>-3267.5934892620426</v>
      </c>
      <c r="P156" s="15">
        <f t="shared" si="49"/>
        <v>-5.0608123372500565E-3</v>
      </c>
      <c r="Q156" s="7">
        <f t="shared" si="59"/>
        <v>645665.80847326713</v>
      </c>
      <c r="R156" s="7">
        <f t="shared" si="60"/>
        <v>648933.40196252917</v>
      </c>
      <c r="S156" s="13">
        <f>IF('BANCO DE DADOS'!$AD$32="Sim",R156,Q156)</f>
        <v>648933.40196252917</v>
      </c>
      <c r="T156" s="9">
        <f t="shared" si="61"/>
        <v>152</v>
      </c>
      <c r="U156" s="18">
        <f t="shared" ca="1" si="62"/>
        <v>49004</v>
      </c>
      <c r="V156" s="24"/>
      <c r="W156" s="24"/>
      <c r="X156" s="24"/>
    </row>
    <row r="157" spans="2:24" x14ac:dyDescent="0.2">
      <c r="B157" s="18">
        <f t="shared" ca="1" si="50"/>
        <v>49004</v>
      </c>
      <c r="C157" s="9">
        <f t="shared" si="63"/>
        <v>153</v>
      </c>
      <c r="D157" s="9"/>
      <c r="E157" s="13">
        <f t="shared" si="51"/>
        <v>2000</v>
      </c>
      <c r="F157" s="14">
        <f t="shared" si="52"/>
        <v>356000</v>
      </c>
      <c r="G157" s="15">
        <f t="shared" si="53"/>
        <v>0.54341062732588841</v>
      </c>
      <c r="H157" s="13">
        <f t="shared" si="54"/>
        <v>4154.2332527167082</v>
      </c>
      <c r="I157" s="13">
        <f t="shared" si="55"/>
        <v>295820.04172598378</v>
      </c>
      <c r="J157" s="15">
        <f t="shared" si="47"/>
        <v>0.45658937267411159</v>
      </c>
      <c r="K157" s="13">
        <f t="shared" si="56"/>
        <v>299121.52707036305</v>
      </c>
      <c r="L157" s="13">
        <f t="shared" si="64"/>
        <v>15579660.420461334</v>
      </c>
      <c r="M157" s="15">
        <f t="shared" si="57"/>
        <v>0.45658937267411154</v>
      </c>
      <c r="N157" s="13">
        <f t="shared" si="48"/>
        <v>0</v>
      </c>
      <c r="O157" s="13">
        <f t="shared" si="58"/>
        <v>-3301.485344379209</v>
      </c>
      <c r="P157" s="15">
        <f t="shared" si="49"/>
        <v>-5.0650258246694229E-3</v>
      </c>
      <c r="Q157" s="7">
        <f t="shared" si="59"/>
        <v>651820.04172598384</v>
      </c>
      <c r="R157" s="7">
        <f t="shared" si="60"/>
        <v>655121.52707036305</v>
      </c>
      <c r="S157" s="13">
        <f>IF('BANCO DE DADOS'!$AD$32="Sim",R157,Q157)</f>
        <v>655121.52707036305</v>
      </c>
      <c r="T157" s="9">
        <f t="shared" si="61"/>
        <v>153</v>
      </c>
      <c r="U157" s="18">
        <f t="shared" ca="1" si="62"/>
        <v>49035</v>
      </c>
      <c r="V157" s="24"/>
      <c r="W157" s="24"/>
      <c r="X157" s="24"/>
    </row>
    <row r="158" spans="2:24" x14ac:dyDescent="0.2">
      <c r="B158" s="18">
        <f t="shared" ca="1" si="50"/>
        <v>49035</v>
      </c>
      <c r="C158" s="9">
        <f t="shared" si="63"/>
        <v>154</v>
      </c>
      <c r="D158" s="9"/>
      <c r="E158" s="13">
        <f t="shared" si="51"/>
        <v>2000</v>
      </c>
      <c r="F158" s="14">
        <f t="shared" si="52"/>
        <v>358000</v>
      </c>
      <c r="G158" s="15">
        <f t="shared" si="53"/>
        <v>0.54131743955744815</v>
      </c>
      <c r="H158" s="13">
        <f t="shared" si="54"/>
        <v>4193.829774768672</v>
      </c>
      <c r="I158" s="13">
        <f t="shared" si="55"/>
        <v>300013.87150075246</v>
      </c>
      <c r="J158" s="15">
        <f t="shared" si="47"/>
        <v>0.45868256044255185</v>
      </c>
      <c r="K158" s="13">
        <f t="shared" si="56"/>
        <v>303349.46676146518</v>
      </c>
      <c r="L158" s="13">
        <f t="shared" si="64"/>
        <v>15883009.8872228</v>
      </c>
      <c r="M158" s="15">
        <f t="shared" si="57"/>
        <v>0.45868256044255185</v>
      </c>
      <c r="N158" s="13">
        <f t="shared" si="48"/>
        <v>0</v>
      </c>
      <c r="O158" s="13">
        <f t="shared" si="58"/>
        <v>-3335.5952607126674</v>
      </c>
      <c r="P158" s="15">
        <f t="shared" si="49"/>
        <v>-5.0691868441999138E-3</v>
      </c>
      <c r="Q158" s="7">
        <f t="shared" si="59"/>
        <v>658013.87150075252</v>
      </c>
      <c r="R158" s="7">
        <f t="shared" si="60"/>
        <v>661349.46676146518</v>
      </c>
      <c r="S158" s="13">
        <f>IF('BANCO DE DADOS'!$AD$32="Sim",R158,Q158)</f>
        <v>661349.46676146518</v>
      </c>
      <c r="T158" s="9">
        <f t="shared" si="61"/>
        <v>154</v>
      </c>
      <c r="U158" s="18">
        <f t="shared" ca="1" si="62"/>
        <v>49065</v>
      </c>
      <c r="V158" s="24"/>
      <c r="W158" s="24"/>
      <c r="X158" s="24"/>
    </row>
    <row r="159" spans="2:24" x14ac:dyDescent="0.2">
      <c r="B159" s="18">
        <f t="shared" ca="1" si="50"/>
        <v>49065</v>
      </c>
      <c r="C159" s="9">
        <f t="shared" si="63"/>
        <v>155</v>
      </c>
      <c r="D159" s="9"/>
      <c r="E159" s="13">
        <f t="shared" si="51"/>
        <v>2000</v>
      </c>
      <c r="F159" s="14">
        <f t="shared" si="52"/>
        <v>360000</v>
      </c>
      <c r="G159" s="15">
        <f t="shared" si="53"/>
        <v>0.53923094030979479</v>
      </c>
      <c r="H159" s="13">
        <f t="shared" si="54"/>
        <v>4233.6810620357701</v>
      </c>
      <c r="I159" s="13">
        <f t="shared" si="55"/>
        <v>304247.55256278825</v>
      </c>
      <c r="J159" s="15">
        <f t="shared" si="47"/>
        <v>0.46076905969020521</v>
      </c>
      <c r="K159" s="13">
        <f t="shared" si="56"/>
        <v>307617.47720406321</v>
      </c>
      <c r="L159" s="13">
        <f t="shared" si="64"/>
        <v>16190627.364426864</v>
      </c>
      <c r="M159" s="15">
        <f t="shared" si="57"/>
        <v>0.46076905969020521</v>
      </c>
      <c r="N159" s="13">
        <f t="shared" si="48"/>
        <v>0</v>
      </c>
      <c r="O159" s="13">
        <f t="shared" si="58"/>
        <v>-3369.9246412749635</v>
      </c>
      <c r="P159" s="15">
        <f t="shared" si="49"/>
        <v>-5.0732962858096795E-3</v>
      </c>
      <c r="Q159" s="7">
        <f t="shared" si="59"/>
        <v>664247.55256278825</v>
      </c>
      <c r="R159" s="7">
        <f t="shared" si="60"/>
        <v>667617.47720406321</v>
      </c>
      <c r="S159" s="13">
        <f>IF('BANCO DE DADOS'!$AD$32="Sim",R159,Q159)</f>
        <v>667617.47720406321</v>
      </c>
      <c r="T159" s="9">
        <f t="shared" si="61"/>
        <v>155</v>
      </c>
      <c r="U159" s="18">
        <f t="shared" ca="1" si="62"/>
        <v>49096</v>
      </c>
      <c r="V159" s="24"/>
      <c r="W159" s="24"/>
      <c r="X159" s="24"/>
    </row>
    <row r="160" spans="2:24" x14ac:dyDescent="0.2">
      <c r="B160" s="18">
        <f t="shared" ca="1" si="50"/>
        <v>49096</v>
      </c>
      <c r="C160" s="9">
        <f t="shared" si="63"/>
        <v>156</v>
      </c>
      <c r="D160" s="9">
        <v>13</v>
      </c>
      <c r="E160" s="13">
        <f t="shared" si="51"/>
        <v>2000</v>
      </c>
      <c r="F160" s="14">
        <f t="shared" si="52"/>
        <v>362000</v>
      </c>
      <c r="G160" s="15">
        <f t="shared" si="53"/>
        <v>0.53715110964785895</v>
      </c>
      <c r="H160" s="13">
        <f t="shared" si="54"/>
        <v>4273.7887536850658</v>
      </c>
      <c r="I160" s="13">
        <f t="shared" si="55"/>
        <v>308521.34131647332</v>
      </c>
      <c r="J160" s="15">
        <f t="shared" si="47"/>
        <v>0.46284889035214105</v>
      </c>
      <c r="K160" s="13">
        <f t="shared" si="56"/>
        <v>311925.81621457869</v>
      </c>
      <c r="L160" s="13">
        <f t="shared" si="64"/>
        <v>16502553.180641443</v>
      </c>
      <c r="M160" s="15">
        <f t="shared" si="57"/>
        <v>0.46284889035214105</v>
      </c>
      <c r="N160" s="13">
        <f t="shared" si="48"/>
        <v>0</v>
      </c>
      <c r="O160" s="13">
        <f t="shared" si="58"/>
        <v>-3404.4748981053708</v>
      </c>
      <c r="P160" s="15">
        <f t="shared" si="49"/>
        <v>-5.0773550196346745E-3</v>
      </c>
      <c r="Q160" s="7">
        <f t="shared" si="59"/>
        <v>670521.34131647332</v>
      </c>
      <c r="R160" s="7">
        <f t="shared" si="60"/>
        <v>673925.81621457869</v>
      </c>
      <c r="S160" s="13">
        <f>IF('BANCO DE DADOS'!$AD$32="Sim",R160,Q160)</f>
        <v>673925.81621457869</v>
      </c>
      <c r="T160" s="9">
        <f t="shared" si="61"/>
        <v>156</v>
      </c>
      <c r="U160" s="18">
        <f t="shared" ca="1" si="62"/>
        <v>49126</v>
      </c>
      <c r="V160" s="24"/>
      <c r="W160" s="24"/>
      <c r="X160" s="24"/>
    </row>
    <row r="161" spans="2:24" x14ac:dyDescent="0.2">
      <c r="B161" s="18">
        <f t="shared" ca="1" si="50"/>
        <v>49126</v>
      </c>
      <c r="C161" s="9">
        <f t="shared" si="63"/>
        <v>157</v>
      </c>
      <c r="D161" s="9"/>
      <c r="E161" s="13">
        <f t="shared" si="51"/>
        <v>2000</v>
      </c>
      <c r="F161" s="14">
        <f t="shared" si="52"/>
        <v>364000</v>
      </c>
      <c r="G161" s="15">
        <f t="shared" si="53"/>
        <v>0.53507792785491526</v>
      </c>
      <c r="H161" s="13">
        <f t="shared" si="54"/>
        <v>4314.1544994300766</v>
      </c>
      <c r="I161" s="13">
        <f t="shared" si="55"/>
        <v>312835.49581590341</v>
      </c>
      <c r="J161" s="15">
        <f t="shared" si="47"/>
        <v>0.46492207214508474</v>
      </c>
      <c r="K161" s="13">
        <f t="shared" si="56"/>
        <v>316274.74326823198</v>
      </c>
      <c r="L161" s="13">
        <f t="shared" si="64"/>
        <v>16818827.923909675</v>
      </c>
      <c r="M161" s="15">
        <f t="shared" si="57"/>
        <v>0.4649220721450848</v>
      </c>
      <c r="N161" s="13">
        <f t="shared" si="48"/>
        <v>0</v>
      </c>
      <c r="O161" s="13">
        <f t="shared" si="58"/>
        <v>-3439.2474523285637</v>
      </c>
      <c r="P161" s="15">
        <f t="shared" si="49"/>
        <v>-5.0813638965294828E-3</v>
      </c>
      <c r="Q161" s="7">
        <f t="shared" si="59"/>
        <v>676835.49581590341</v>
      </c>
      <c r="R161" s="7">
        <f t="shared" si="60"/>
        <v>680274.74326823198</v>
      </c>
      <c r="S161" s="13">
        <f>IF('BANCO DE DADOS'!$AD$32="Sim",R161,Q161)</f>
        <v>680274.74326823198</v>
      </c>
      <c r="T161" s="9">
        <f t="shared" si="61"/>
        <v>157</v>
      </c>
      <c r="U161" s="18">
        <f t="shared" ca="1" si="62"/>
        <v>49157</v>
      </c>
      <c r="V161" s="24"/>
      <c r="W161" s="24"/>
      <c r="X161" s="24"/>
    </row>
    <row r="162" spans="2:24" x14ac:dyDescent="0.2">
      <c r="B162" s="18">
        <f t="shared" ca="1" si="50"/>
        <v>49157</v>
      </c>
      <c r="C162" s="9">
        <f t="shared" si="63"/>
        <v>158</v>
      </c>
      <c r="D162" s="9"/>
      <c r="E162" s="13">
        <f t="shared" si="51"/>
        <v>2000</v>
      </c>
      <c r="F162" s="14">
        <f t="shared" si="52"/>
        <v>366000</v>
      </c>
      <c r="G162" s="15">
        <f t="shared" si="53"/>
        <v>0.53301137542584498</v>
      </c>
      <c r="H162" s="13">
        <f t="shared" si="54"/>
        <v>4354.7799595986235</v>
      </c>
      <c r="I162" s="13">
        <f t="shared" si="55"/>
        <v>317190.27577550203</v>
      </c>
      <c r="J162" s="15">
        <f t="shared" si="47"/>
        <v>0.46698862457415502</v>
      </c>
      <c r="K162" s="13">
        <f t="shared" si="56"/>
        <v>320664.51950971468</v>
      </c>
      <c r="L162" s="13">
        <f t="shared" si="64"/>
        <v>17139492.443419389</v>
      </c>
      <c r="M162" s="15">
        <f t="shared" si="57"/>
        <v>0.46698862457415502</v>
      </c>
      <c r="N162" s="13">
        <f t="shared" si="48"/>
        <v>0</v>
      </c>
      <c r="O162" s="13">
        <f t="shared" si="58"/>
        <v>-3474.2437342125922</v>
      </c>
      <c r="P162" s="15">
        <f t="shared" si="49"/>
        <v>-5.0853237485983145E-3</v>
      </c>
      <c r="Q162" s="7">
        <f t="shared" si="59"/>
        <v>683190.27577550209</v>
      </c>
      <c r="R162" s="7">
        <f t="shared" si="60"/>
        <v>686664.51950971468</v>
      </c>
      <c r="S162" s="13">
        <f>IF('BANCO DE DADOS'!$AD$32="Sim",R162,Q162)</f>
        <v>686664.51950971468</v>
      </c>
      <c r="T162" s="9">
        <f t="shared" si="61"/>
        <v>158</v>
      </c>
      <c r="U162" s="18">
        <f t="shared" ca="1" si="62"/>
        <v>49188</v>
      </c>
      <c r="V162" s="24"/>
      <c r="W162" s="24"/>
      <c r="X162" s="24"/>
    </row>
    <row r="163" spans="2:24" x14ac:dyDescent="0.2">
      <c r="B163" s="18">
        <f t="shared" ca="1" si="50"/>
        <v>49188</v>
      </c>
      <c r="C163" s="9">
        <f t="shared" si="63"/>
        <v>159</v>
      </c>
      <c r="D163" s="9"/>
      <c r="E163" s="13">
        <f t="shared" si="51"/>
        <v>2000</v>
      </c>
      <c r="F163" s="14">
        <f t="shared" si="52"/>
        <v>368000</v>
      </c>
      <c r="G163" s="15">
        <f t="shared" si="53"/>
        <v>0.53095143306062864</v>
      </c>
      <c r="H163" s="13">
        <f t="shared" si="54"/>
        <v>4395.6668052011273</v>
      </c>
      <c r="I163" s="13">
        <f t="shared" si="55"/>
        <v>321585.94258070318</v>
      </c>
      <c r="J163" s="15">
        <f t="shared" si="47"/>
        <v>0.46904856693937136</v>
      </c>
      <c r="K163" s="13">
        <f t="shared" si="56"/>
        <v>325095.4077639312</v>
      </c>
      <c r="L163" s="13">
        <f t="shared" si="64"/>
        <v>17464587.851183321</v>
      </c>
      <c r="M163" s="15">
        <f t="shared" si="57"/>
        <v>0.46904856693937141</v>
      </c>
      <c r="N163" s="13">
        <f t="shared" si="48"/>
        <v>0</v>
      </c>
      <c r="O163" s="13">
        <f t="shared" si="58"/>
        <v>-3509.4651832280215</v>
      </c>
      <c r="P163" s="15">
        <f t="shared" si="49"/>
        <v>-5.0892353897096796E-3</v>
      </c>
      <c r="Q163" s="7">
        <f t="shared" si="59"/>
        <v>689585.94258070318</v>
      </c>
      <c r="R163" s="7">
        <f t="shared" si="60"/>
        <v>693095.4077639312</v>
      </c>
      <c r="S163" s="13">
        <f>IF('BANCO DE DADOS'!$AD$32="Sim",R163,Q163)</f>
        <v>693095.4077639312</v>
      </c>
      <c r="T163" s="9">
        <f t="shared" si="61"/>
        <v>159</v>
      </c>
      <c r="U163" s="18">
        <f t="shared" ca="1" si="62"/>
        <v>49218</v>
      </c>
      <c r="V163" s="24"/>
      <c r="W163" s="24"/>
      <c r="X163" s="24"/>
    </row>
    <row r="164" spans="2:24" x14ac:dyDescent="0.2">
      <c r="B164" s="18">
        <f t="shared" ca="1" si="50"/>
        <v>49218</v>
      </c>
      <c r="C164" s="9">
        <f t="shared" si="63"/>
        <v>160</v>
      </c>
      <c r="D164" s="9"/>
      <c r="E164" s="13">
        <f t="shared" si="51"/>
        <v>2000</v>
      </c>
      <c r="F164" s="14">
        <f t="shared" si="52"/>
        <v>370000</v>
      </c>
      <c r="G164" s="15">
        <f t="shared" si="53"/>
        <v>0.52889808165805796</v>
      </c>
      <c r="H164" s="13">
        <f t="shared" si="54"/>
        <v>4436.8167179993407</v>
      </c>
      <c r="I164" s="13">
        <f t="shared" si="55"/>
        <v>326022.75929870253</v>
      </c>
      <c r="J164" s="15">
        <f t="shared" si="47"/>
        <v>0.47110191834194204</v>
      </c>
      <c r="K164" s="13">
        <f t="shared" si="56"/>
        <v>329567.67254680942</v>
      </c>
      <c r="L164" s="13">
        <f t="shared" si="64"/>
        <v>17794155.523730129</v>
      </c>
      <c r="M164" s="15">
        <f t="shared" si="57"/>
        <v>0.47110191834194198</v>
      </c>
      <c r="N164" s="13">
        <f t="shared" si="48"/>
        <v>0</v>
      </c>
      <c r="O164" s="13">
        <f t="shared" si="58"/>
        <v>-3544.9132481069537</v>
      </c>
      <c r="P164" s="15">
        <f t="shared" si="49"/>
        <v>-5.0930996159934943E-3</v>
      </c>
      <c r="Q164" s="7">
        <f t="shared" si="59"/>
        <v>696022.75929870247</v>
      </c>
      <c r="R164" s="7">
        <f t="shared" si="60"/>
        <v>699567.67254680942</v>
      </c>
      <c r="S164" s="13">
        <f>IF('BANCO DE DADOS'!$AD$32="Sim",R164,Q164)</f>
        <v>699567.67254680942</v>
      </c>
      <c r="T164" s="9">
        <f t="shared" si="61"/>
        <v>160</v>
      </c>
      <c r="U164" s="18">
        <f t="shared" ca="1" si="62"/>
        <v>49249</v>
      </c>
      <c r="V164" s="24"/>
      <c r="W164" s="24"/>
      <c r="X164" s="24"/>
    </row>
    <row r="165" spans="2:24" x14ac:dyDescent="0.2">
      <c r="B165" s="18">
        <f t="shared" ca="1" si="50"/>
        <v>49249</v>
      </c>
      <c r="C165" s="9">
        <f t="shared" si="63"/>
        <v>161</v>
      </c>
      <c r="D165" s="9"/>
      <c r="E165" s="13">
        <f t="shared" si="51"/>
        <v>2000</v>
      </c>
      <c r="F165" s="14">
        <f t="shared" si="52"/>
        <v>372000</v>
      </c>
      <c r="G165" s="15">
        <f t="shared" si="53"/>
        <v>0.52685130230966248</v>
      </c>
      <c r="H165" s="13">
        <f t="shared" si="54"/>
        <v>4478.2313905755218</v>
      </c>
      <c r="I165" s="13">
        <f t="shared" si="55"/>
        <v>330500.99068927806</v>
      </c>
      <c r="J165" s="15">
        <f t="shared" si="47"/>
        <v>0.47314869769033752</v>
      </c>
      <c r="K165" s="13">
        <f t="shared" si="56"/>
        <v>334081.58007618063</v>
      </c>
      <c r="L165" s="13">
        <f t="shared" si="64"/>
        <v>18128237.103806309</v>
      </c>
      <c r="M165" s="15">
        <f t="shared" si="57"/>
        <v>0.47314869769033752</v>
      </c>
      <c r="N165" s="13">
        <f t="shared" si="48"/>
        <v>0</v>
      </c>
      <c r="O165" s="13">
        <f t="shared" si="58"/>
        <v>-3580.5893869026331</v>
      </c>
      <c r="P165" s="15">
        <f t="shared" si="49"/>
        <v>-5.0969172063222859E-3</v>
      </c>
      <c r="Q165" s="7">
        <f t="shared" si="59"/>
        <v>702500.990689278</v>
      </c>
      <c r="R165" s="7">
        <f t="shared" si="60"/>
        <v>706081.58007618063</v>
      </c>
      <c r="S165" s="13">
        <f>IF('BANCO DE DADOS'!$AD$32="Sim",R165,Q165)</f>
        <v>706081.58007618063</v>
      </c>
      <c r="T165" s="9">
        <f t="shared" si="61"/>
        <v>161</v>
      </c>
      <c r="U165" s="18">
        <f t="shared" ca="1" si="62"/>
        <v>49279</v>
      </c>
      <c r="V165" s="24"/>
      <c r="W165" s="24"/>
      <c r="X165" s="24"/>
    </row>
    <row r="166" spans="2:24" x14ac:dyDescent="0.2">
      <c r="B166" s="18">
        <f t="shared" ca="1" si="50"/>
        <v>49279</v>
      </c>
      <c r="C166" s="9">
        <f t="shared" si="63"/>
        <v>162</v>
      </c>
      <c r="D166" s="9"/>
      <c r="E166" s="13">
        <f t="shared" si="51"/>
        <v>2000</v>
      </c>
      <c r="F166" s="14">
        <f t="shared" si="52"/>
        <v>374000</v>
      </c>
      <c r="G166" s="15">
        <f t="shared" si="53"/>
        <v>0.52481107629383827</v>
      </c>
      <c r="H166" s="13">
        <f t="shared" si="54"/>
        <v>4519.912526402054</v>
      </c>
      <c r="I166" s="13">
        <f t="shared" si="55"/>
        <v>335020.9032156801</v>
      </c>
      <c r="J166" s="15">
        <f t="shared" si="47"/>
        <v>0.47518892370616173</v>
      </c>
      <c r="K166" s="13">
        <f t="shared" si="56"/>
        <v>338637.39828272955</v>
      </c>
      <c r="L166" s="13">
        <f t="shared" si="64"/>
        <v>18466874.502089038</v>
      </c>
      <c r="M166" s="15">
        <f t="shared" si="57"/>
        <v>0.47518892370616173</v>
      </c>
      <c r="N166" s="13">
        <f t="shared" si="48"/>
        <v>0</v>
      </c>
      <c r="O166" s="13">
        <f t="shared" si="58"/>
        <v>-3616.4950670495164</v>
      </c>
      <c r="P166" s="15">
        <f t="shared" si="49"/>
        <v>-5.1006889227769346E-3</v>
      </c>
      <c r="Q166" s="7">
        <f t="shared" si="59"/>
        <v>709020.90321568004</v>
      </c>
      <c r="R166" s="7">
        <f t="shared" si="60"/>
        <v>712637.39828272955</v>
      </c>
      <c r="S166" s="13">
        <f>IF('BANCO DE DADOS'!$AD$32="Sim",R166,Q166)</f>
        <v>712637.39828272955</v>
      </c>
      <c r="T166" s="9">
        <f t="shared" si="61"/>
        <v>162</v>
      </c>
      <c r="U166" s="18">
        <f t="shared" ca="1" si="62"/>
        <v>49310</v>
      </c>
      <c r="V166" s="24"/>
      <c r="W166" s="24"/>
      <c r="X166" s="24"/>
    </row>
    <row r="167" spans="2:24" x14ac:dyDescent="0.2">
      <c r="B167" s="18">
        <f t="shared" ca="1" si="50"/>
        <v>49310</v>
      </c>
      <c r="C167" s="9">
        <f t="shared" si="63"/>
        <v>163</v>
      </c>
      <c r="D167" s="9"/>
      <c r="E167" s="13">
        <f t="shared" si="51"/>
        <v>2000</v>
      </c>
      <c r="F167" s="14">
        <f t="shared" si="52"/>
        <v>376000</v>
      </c>
      <c r="G167" s="15">
        <f t="shared" si="53"/>
        <v>0.52277738507017502</v>
      </c>
      <c r="H167" s="13">
        <f t="shared" si="54"/>
        <v>4561.861839911513</v>
      </c>
      <c r="I167" s="13">
        <f t="shared" si="55"/>
        <v>339582.76505559159</v>
      </c>
      <c r="J167" s="15">
        <f t="shared" si="47"/>
        <v>0.47722261492982498</v>
      </c>
      <c r="K167" s="13">
        <f t="shared" si="56"/>
        <v>343235.39682101517</v>
      </c>
      <c r="L167" s="13">
        <f t="shared" si="64"/>
        <v>18810109.898910053</v>
      </c>
      <c r="M167" s="15">
        <f t="shared" si="57"/>
        <v>0.47722261492982493</v>
      </c>
      <c r="N167" s="13">
        <f t="shared" si="48"/>
        <v>0</v>
      </c>
      <c r="O167" s="13">
        <f t="shared" si="58"/>
        <v>-3652.6317654235754</v>
      </c>
      <c r="P167" s="15">
        <f t="shared" si="49"/>
        <v>-5.1044155110971864E-3</v>
      </c>
      <c r="Q167" s="7">
        <f t="shared" si="59"/>
        <v>715582.76505559159</v>
      </c>
      <c r="R167" s="7">
        <f t="shared" si="60"/>
        <v>719235.39682101517</v>
      </c>
      <c r="S167" s="13">
        <f>IF('BANCO DE DADOS'!$AD$32="Sim",R167,Q167)</f>
        <v>719235.39682101517</v>
      </c>
      <c r="T167" s="9">
        <f t="shared" si="61"/>
        <v>163</v>
      </c>
      <c r="U167" s="18">
        <f t="shared" ca="1" si="62"/>
        <v>49341</v>
      </c>
      <c r="V167" s="24"/>
      <c r="W167" s="24"/>
      <c r="X167" s="24"/>
    </row>
    <row r="168" spans="2:24" x14ac:dyDescent="0.2">
      <c r="B168" s="18">
        <f t="shared" ca="1" si="50"/>
        <v>49341</v>
      </c>
      <c r="C168" s="9">
        <f t="shared" si="63"/>
        <v>164</v>
      </c>
      <c r="D168" s="9"/>
      <c r="E168" s="13">
        <f t="shared" si="51"/>
        <v>2000</v>
      </c>
      <c r="F168" s="14">
        <f t="shared" si="52"/>
        <v>378000</v>
      </c>
      <c r="G168" s="15">
        <f t="shared" si="53"/>
        <v>0.52075021027397184</v>
      </c>
      <c r="H168" s="13">
        <f t="shared" si="54"/>
        <v>4604.0810565671864</v>
      </c>
      <c r="I168" s="13">
        <f t="shared" si="55"/>
        <v>344186.84611215879</v>
      </c>
      <c r="J168" s="15">
        <f t="shared" si="47"/>
        <v>0.47924978972602816</v>
      </c>
      <c r="K168" s="13">
        <f t="shared" si="56"/>
        <v>347875.8470805618</v>
      </c>
      <c r="L168" s="13">
        <f t="shared" si="64"/>
        <v>19157985.745990615</v>
      </c>
      <c r="M168" s="15">
        <f t="shared" si="57"/>
        <v>0.47924978972602816</v>
      </c>
      <c r="N168" s="13">
        <f t="shared" si="48"/>
        <v>0</v>
      </c>
      <c r="O168" s="13">
        <f t="shared" si="58"/>
        <v>-3689.0009684030665</v>
      </c>
      <c r="P168" s="15">
        <f t="shared" si="49"/>
        <v>-5.1080977011178476E-3</v>
      </c>
      <c r="Q168" s="7">
        <f t="shared" si="59"/>
        <v>722186.84611215873</v>
      </c>
      <c r="R168" s="7">
        <f t="shared" si="60"/>
        <v>725875.8470805618</v>
      </c>
      <c r="S168" s="13">
        <f>IF('BANCO DE DADOS'!$AD$32="Sim",R168,Q168)</f>
        <v>725875.8470805618</v>
      </c>
      <c r="T168" s="9">
        <f t="shared" si="61"/>
        <v>164</v>
      </c>
      <c r="U168" s="18">
        <f t="shared" ca="1" si="62"/>
        <v>49369</v>
      </c>
      <c r="V168" s="24"/>
      <c r="W168" s="24"/>
      <c r="X168" s="24"/>
    </row>
    <row r="169" spans="2:24" x14ac:dyDescent="0.2">
      <c r="B169" s="18">
        <f t="shared" ca="1" si="50"/>
        <v>49369</v>
      </c>
      <c r="C169" s="9">
        <f t="shared" si="63"/>
        <v>165</v>
      </c>
      <c r="D169" s="9"/>
      <c r="E169" s="13">
        <f t="shared" si="51"/>
        <v>2000</v>
      </c>
      <c r="F169" s="14">
        <f t="shared" si="52"/>
        <v>380000</v>
      </c>
      <c r="G169" s="15">
        <f t="shared" si="53"/>
        <v>0.51872953371093522</v>
      </c>
      <c r="H169" s="13">
        <f t="shared" si="54"/>
        <v>4646.5719129340432</v>
      </c>
      <c r="I169" s="13">
        <f t="shared" si="55"/>
        <v>348833.4180250928</v>
      </c>
      <c r="J169" s="15">
        <f t="shared" si="47"/>
        <v>0.48127046628906478</v>
      </c>
      <c r="K169" s="13">
        <f t="shared" si="56"/>
        <v>352559.02219702234</v>
      </c>
      <c r="L169" s="13">
        <f t="shared" si="64"/>
        <v>19510544.768187638</v>
      </c>
      <c r="M169" s="15">
        <f t="shared" si="57"/>
        <v>0.48127046628906484</v>
      </c>
      <c r="N169" s="13">
        <f t="shared" si="48"/>
        <v>0</v>
      </c>
      <c r="O169" s="13">
        <f t="shared" si="58"/>
        <v>-3725.6041719295317</v>
      </c>
      <c r="P169" s="15">
        <f t="shared" si="49"/>
        <v>-5.1117362071908508E-3</v>
      </c>
      <c r="Q169" s="7">
        <f t="shared" si="59"/>
        <v>728833.4180250928</v>
      </c>
      <c r="R169" s="7">
        <f t="shared" si="60"/>
        <v>732559.02219702234</v>
      </c>
      <c r="S169" s="13">
        <f>IF('BANCO DE DADOS'!$AD$32="Sim",R169,Q169)</f>
        <v>732559.02219702234</v>
      </c>
      <c r="T169" s="9">
        <f t="shared" si="61"/>
        <v>165</v>
      </c>
      <c r="U169" s="18">
        <f t="shared" ca="1" si="62"/>
        <v>49400</v>
      </c>
      <c r="V169" s="24"/>
      <c r="W169" s="24"/>
      <c r="X169" s="24"/>
    </row>
    <row r="170" spans="2:24" x14ac:dyDescent="0.2">
      <c r="B170" s="18">
        <f t="shared" ca="1" si="50"/>
        <v>49400</v>
      </c>
      <c r="C170" s="9">
        <f t="shared" si="63"/>
        <v>166</v>
      </c>
      <c r="D170" s="9"/>
      <c r="E170" s="13">
        <f t="shared" si="51"/>
        <v>2000</v>
      </c>
      <c r="F170" s="14">
        <f t="shared" si="52"/>
        <v>382000</v>
      </c>
      <c r="G170" s="15">
        <f t="shared" si="53"/>
        <v>0.51671533735205266</v>
      </c>
      <c r="H170" s="13">
        <f t="shared" si="54"/>
        <v>4689.3361567501643</v>
      </c>
      <c r="I170" s="13">
        <f t="shared" si="55"/>
        <v>353522.75418184296</v>
      </c>
      <c r="J170" s="15">
        <f t="shared" si="47"/>
        <v>0.48328466264794734</v>
      </c>
      <c r="K170" s="13">
        <f t="shared" si="56"/>
        <v>357285.19706341263</v>
      </c>
      <c r="L170" s="13">
        <f t="shared" si="64"/>
        <v>19867829.965251051</v>
      </c>
      <c r="M170" s="15">
        <f t="shared" si="57"/>
        <v>0.48328466264794734</v>
      </c>
      <c r="N170" s="13">
        <f t="shared" si="48"/>
        <v>0</v>
      </c>
      <c r="O170" s="13">
        <f t="shared" si="58"/>
        <v>-3762.4428815696156</v>
      </c>
      <c r="P170" s="15">
        <f t="shared" si="49"/>
        <v>-5.1153317285945283E-3</v>
      </c>
      <c r="Q170" s="7">
        <f t="shared" si="59"/>
        <v>735522.75418184302</v>
      </c>
      <c r="R170" s="7">
        <f t="shared" si="60"/>
        <v>739285.19706341263</v>
      </c>
      <c r="S170" s="13">
        <f>IF('BANCO DE DADOS'!$AD$32="Sim",R170,Q170)</f>
        <v>739285.19706341263</v>
      </c>
      <c r="T170" s="9">
        <f t="shared" si="61"/>
        <v>166</v>
      </c>
      <c r="U170" s="18">
        <f t="shared" ca="1" si="62"/>
        <v>49430</v>
      </c>
      <c r="V170" s="24"/>
      <c r="W170" s="24"/>
      <c r="X170" s="24"/>
    </row>
    <row r="171" spans="2:24" x14ac:dyDescent="0.2">
      <c r="B171" s="18">
        <f t="shared" ca="1" si="50"/>
        <v>49430</v>
      </c>
      <c r="C171" s="9">
        <f t="shared" si="63"/>
        <v>167</v>
      </c>
      <c r="D171" s="9"/>
      <c r="E171" s="13">
        <f t="shared" si="51"/>
        <v>2000</v>
      </c>
      <c r="F171" s="14">
        <f t="shared" si="52"/>
        <v>384000</v>
      </c>
      <c r="G171" s="15">
        <f t="shared" si="53"/>
        <v>0.51470760332863619</v>
      </c>
      <c r="H171" s="13">
        <f t="shared" si="54"/>
        <v>4732.375546998629</v>
      </c>
      <c r="I171" s="13">
        <f t="shared" si="55"/>
        <v>358255.1297288416</v>
      </c>
      <c r="J171" s="15">
        <f t="shared" si="47"/>
        <v>0.48529239667136381</v>
      </c>
      <c r="K171" s="13">
        <f t="shared" si="56"/>
        <v>362054.64834141848</v>
      </c>
      <c r="L171" s="13">
        <f t="shared" si="64"/>
        <v>20229884.613592468</v>
      </c>
      <c r="M171" s="15">
        <f t="shared" si="57"/>
        <v>0.48529239667136381</v>
      </c>
      <c r="N171" s="13">
        <f t="shared" si="48"/>
        <v>0</v>
      </c>
      <c r="O171" s="13">
        <f t="shared" si="58"/>
        <v>-3799.5186125768814</v>
      </c>
      <c r="P171" s="15">
        <f t="shared" si="49"/>
        <v>-5.1188849499294265E-3</v>
      </c>
      <c r="Q171" s="7">
        <f t="shared" si="59"/>
        <v>742255.1297288416</v>
      </c>
      <c r="R171" s="7">
        <f t="shared" si="60"/>
        <v>746054.64834141848</v>
      </c>
      <c r="S171" s="13">
        <f>IF('BANCO DE DADOS'!$AD$32="Sim",R171,Q171)</f>
        <v>746054.64834141848</v>
      </c>
      <c r="T171" s="9">
        <f t="shared" si="61"/>
        <v>167</v>
      </c>
      <c r="U171" s="18">
        <f t="shared" ca="1" si="62"/>
        <v>49461</v>
      </c>
      <c r="V171" s="24"/>
      <c r="W171" s="24"/>
      <c r="X171" s="24"/>
    </row>
    <row r="172" spans="2:24" x14ac:dyDescent="0.2">
      <c r="B172" s="18">
        <f t="shared" ca="1" si="50"/>
        <v>49461</v>
      </c>
      <c r="C172" s="9">
        <f t="shared" si="63"/>
        <v>168</v>
      </c>
      <c r="D172" s="9">
        <v>14</v>
      </c>
      <c r="E172" s="13">
        <f t="shared" si="51"/>
        <v>2000</v>
      </c>
      <c r="F172" s="14">
        <f t="shared" si="52"/>
        <v>386000</v>
      </c>
      <c r="G172" s="15">
        <f t="shared" si="53"/>
        <v>0.51270631392752752</v>
      </c>
      <c r="H172" s="13">
        <f t="shared" si="54"/>
        <v>4775.6918539798689</v>
      </c>
      <c r="I172" s="13">
        <f t="shared" si="55"/>
        <v>363030.82158282149</v>
      </c>
      <c r="J172" s="15">
        <f t="shared" si="47"/>
        <v>0.48729368607247248</v>
      </c>
      <c r="K172" s="13">
        <f t="shared" si="56"/>
        <v>366867.65447277518</v>
      </c>
      <c r="L172" s="13">
        <f t="shared" si="64"/>
        <v>20596752.268065244</v>
      </c>
      <c r="M172" s="15">
        <f t="shared" si="57"/>
        <v>0.48729368607247248</v>
      </c>
      <c r="N172" s="13">
        <f t="shared" si="48"/>
        <v>0</v>
      </c>
      <c r="O172" s="13">
        <f t="shared" si="58"/>
        <v>-3836.8328899537446</v>
      </c>
      <c r="P172" s="15">
        <f t="shared" si="49"/>
        <v>-5.1223965415013303E-3</v>
      </c>
      <c r="Q172" s="7">
        <f t="shared" si="59"/>
        <v>749030.82158282143</v>
      </c>
      <c r="R172" s="7">
        <f t="shared" si="60"/>
        <v>752867.65447277518</v>
      </c>
      <c r="S172" s="13">
        <f>IF('BANCO DE DADOS'!$AD$32="Sim",R172,Q172)</f>
        <v>752867.65447277518</v>
      </c>
      <c r="T172" s="9">
        <f t="shared" si="61"/>
        <v>168</v>
      </c>
      <c r="U172" s="18">
        <f t="shared" ca="1" si="62"/>
        <v>49491</v>
      </c>
      <c r="V172" s="24"/>
      <c r="W172" s="24"/>
      <c r="X172" s="24"/>
    </row>
    <row r="173" spans="2:24" x14ac:dyDescent="0.2">
      <c r="B173" s="18">
        <f t="shared" ca="1" si="50"/>
        <v>49491</v>
      </c>
      <c r="C173" s="9">
        <f t="shared" si="63"/>
        <v>169</v>
      </c>
      <c r="D173" s="9"/>
      <c r="E173" s="13">
        <f t="shared" si="51"/>
        <v>2000</v>
      </c>
      <c r="F173" s="14">
        <f t="shared" si="52"/>
        <v>388000</v>
      </c>
      <c r="G173" s="15">
        <f t="shared" si="53"/>
        <v>0.51071145158646103</v>
      </c>
      <c r="H173" s="13">
        <f t="shared" si="54"/>
        <v>4819.2868593844805</v>
      </c>
      <c r="I173" s="13">
        <f t="shared" si="55"/>
        <v>367850.10844220599</v>
      </c>
      <c r="J173" s="15">
        <f t="shared" si="47"/>
        <v>0.48928854841353897</v>
      </c>
      <c r="K173" s="13">
        <f t="shared" si="56"/>
        <v>371724.49569072062</v>
      </c>
      <c r="L173" s="13">
        <f t="shared" si="64"/>
        <v>20968476.763755966</v>
      </c>
      <c r="M173" s="15">
        <f t="shared" si="57"/>
        <v>0.48928854841353897</v>
      </c>
      <c r="N173" s="13">
        <f t="shared" si="48"/>
        <v>0</v>
      </c>
      <c r="O173" s="13">
        <f t="shared" si="58"/>
        <v>-3874.3872485146858</v>
      </c>
      <c r="P173" s="15">
        <f t="shared" si="49"/>
        <v>-5.1258671596935155E-3</v>
      </c>
      <c r="Q173" s="7">
        <f t="shared" si="59"/>
        <v>755850.10844220594</v>
      </c>
      <c r="R173" s="7">
        <f t="shared" si="60"/>
        <v>759724.49569072062</v>
      </c>
      <c r="S173" s="13">
        <f>IF('BANCO DE DADOS'!$AD$32="Sim",R173,Q173)</f>
        <v>759724.49569072062</v>
      </c>
      <c r="T173" s="9">
        <f t="shared" si="61"/>
        <v>169</v>
      </c>
      <c r="U173" s="18">
        <f t="shared" ca="1" si="62"/>
        <v>49522</v>
      </c>
      <c r="V173" s="24"/>
      <c r="W173" s="24"/>
      <c r="X173" s="24"/>
    </row>
    <row r="174" spans="2:24" x14ac:dyDescent="0.2">
      <c r="B174" s="18">
        <f t="shared" ca="1" si="50"/>
        <v>49522</v>
      </c>
      <c r="C174" s="9">
        <f t="shared" si="63"/>
        <v>170</v>
      </c>
      <c r="D174" s="9"/>
      <c r="E174" s="13">
        <f t="shared" si="51"/>
        <v>2000</v>
      </c>
      <c r="F174" s="14">
        <f t="shared" si="52"/>
        <v>390000</v>
      </c>
      <c r="G174" s="15">
        <f t="shared" si="53"/>
        <v>0.50872299888957784</v>
      </c>
      <c r="H174" s="13">
        <f t="shared" si="54"/>
        <v>4863.1623563665107</v>
      </c>
      <c r="I174" s="13">
        <f t="shared" si="55"/>
        <v>372713.27079857251</v>
      </c>
      <c r="J174" s="15">
        <f t="shared" si="47"/>
        <v>0.49127700111042216</v>
      </c>
      <c r="K174" s="13">
        <f t="shared" si="56"/>
        <v>376625.45403152192</v>
      </c>
      <c r="L174" s="13">
        <f t="shared" si="64"/>
        <v>21345102.217787489</v>
      </c>
      <c r="M174" s="15">
        <f t="shared" si="57"/>
        <v>0.49127700111042222</v>
      </c>
      <c r="N174" s="13">
        <f t="shared" si="48"/>
        <v>0</v>
      </c>
      <c r="O174" s="13">
        <f t="shared" si="58"/>
        <v>-3912.1832329494646</v>
      </c>
      <c r="P174" s="15">
        <f t="shared" si="49"/>
        <v>-5.1292974473268948E-3</v>
      </c>
      <c r="Q174" s="7">
        <f t="shared" si="59"/>
        <v>762713.27079857246</v>
      </c>
      <c r="R174" s="7">
        <f t="shared" si="60"/>
        <v>766625.45403152192</v>
      </c>
      <c r="S174" s="13">
        <f>IF('BANCO DE DADOS'!$AD$32="Sim",R174,Q174)</f>
        <v>766625.45403152192</v>
      </c>
      <c r="T174" s="9">
        <f t="shared" si="61"/>
        <v>170</v>
      </c>
      <c r="U174" s="18">
        <f t="shared" ca="1" si="62"/>
        <v>49553</v>
      </c>
      <c r="V174" s="24"/>
      <c r="W174" s="24"/>
      <c r="X174" s="24"/>
    </row>
    <row r="175" spans="2:24" x14ac:dyDescent="0.2">
      <c r="B175" s="18">
        <f t="shared" ca="1" si="50"/>
        <v>49553</v>
      </c>
      <c r="C175" s="9">
        <f t="shared" si="63"/>
        <v>171</v>
      </c>
      <c r="D175" s="9"/>
      <c r="E175" s="13">
        <f t="shared" si="51"/>
        <v>2000</v>
      </c>
      <c r="F175" s="14">
        <f t="shared" si="52"/>
        <v>392000</v>
      </c>
      <c r="G175" s="15">
        <f t="shared" si="53"/>
        <v>0.50674093856308566</v>
      </c>
      <c r="H175" s="13">
        <f t="shared" si="54"/>
        <v>4907.3201496172151</v>
      </c>
      <c r="I175" s="13">
        <f t="shared" si="55"/>
        <v>377620.59094818973</v>
      </c>
      <c r="J175" s="15">
        <f t="shared" si="47"/>
        <v>0.49325906143691434</v>
      </c>
      <c r="K175" s="13">
        <f t="shared" si="56"/>
        <v>381570.81334607583</v>
      </c>
      <c r="L175" s="13">
        <f t="shared" si="64"/>
        <v>21726673.031133566</v>
      </c>
      <c r="M175" s="15">
        <f t="shared" si="57"/>
        <v>0.49325906143691434</v>
      </c>
      <c r="N175" s="13">
        <f t="shared" si="48"/>
        <v>0</v>
      </c>
      <c r="O175" s="13">
        <f t="shared" si="58"/>
        <v>-3950.2223978861002</v>
      </c>
      <c r="P175" s="15">
        <f t="shared" si="49"/>
        <v>-5.1326880340082093E-3</v>
      </c>
      <c r="Q175" s="7">
        <f t="shared" si="59"/>
        <v>769620.59094818973</v>
      </c>
      <c r="R175" s="7">
        <f t="shared" si="60"/>
        <v>773570.81334607583</v>
      </c>
      <c r="S175" s="13">
        <f>IF('BANCO DE DADOS'!$AD$32="Sim",R175,Q175)</f>
        <v>773570.81334607583</v>
      </c>
      <c r="T175" s="9">
        <f t="shared" si="61"/>
        <v>171</v>
      </c>
      <c r="U175" s="18">
        <f t="shared" ca="1" si="62"/>
        <v>49583</v>
      </c>
      <c r="V175" s="24"/>
      <c r="W175" s="24"/>
      <c r="X175" s="24"/>
    </row>
    <row r="176" spans="2:24" x14ac:dyDescent="0.2">
      <c r="B176" s="18">
        <f t="shared" ca="1" si="50"/>
        <v>49583</v>
      </c>
      <c r="C176" s="9">
        <f t="shared" si="63"/>
        <v>172</v>
      </c>
      <c r="D176" s="9"/>
      <c r="E176" s="13">
        <f t="shared" si="51"/>
        <v>2000</v>
      </c>
      <c r="F176" s="14">
        <f t="shared" si="52"/>
        <v>394000</v>
      </c>
      <c r="G176" s="15">
        <f t="shared" si="53"/>
        <v>0.50476525347105961</v>
      </c>
      <c r="H176" s="13">
        <f t="shared" si="54"/>
        <v>4951.7620554392861</v>
      </c>
      <c r="I176" s="13">
        <f t="shared" si="55"/>
        <v>382572.35300362902</v>
      </c>
      <c r="J176" s="15">
        <f t="shared" si="47"/>
        <v>0.49523474652894039</v>
      </c>
      <c r="K176" s="13">
        <f t="shared" si="56"/>
        <v>386560.85931158438</v>
      </c>
      <c r="L176" s="13">
        <f t="shared" si="64"/>
        <v>22113233.89044515</v>
      </c>
      <c r="M176" s="15">
        <f t="shared" si="57"/>
        <v>0.49523474652894039</v>
      </c>
      <c r="N176" s="13">
        <f t="shared" si="48"/>
        <v>0</v>
      </c>
      <c r="O176" s="13">
        <f t="shared" si="58"/>
        <v>-3988.5063079553656</v>
      </c>
      <c r="P176" s="15">
        <f t="shared" si="49"/>
        <v>-5.1360395364689563E-3</v>
      </c>
      <c r="Q176" s="7">
        <f t="shared" si="59"/>
        <v>776572.35300362902</v>
      </c>
      <c r="R176" s="7">
        <f t="shared" si="60"/>
        <v>780560.85931158438</v>
      </c>
      <c r="S176" s="13">
        <f>IF('BANCO DE DADOS'!$AD$32="Sim",R176,Q176)</f>
        <v>780560.85931158438</v>
      </c>
      <c r="T176" s="9">
        <f t="shared" si="61"/>
        <v>172</v>
      </c>
      <c r="U176" s="18">
        <f t="shared" ca="1" si="62"/>
        <v>49614</v>
      </c>
      <c r="V176" s="24"/>
      <c r="W176" s="24"/>
      <c r="X176" s="24"/>
    </row>
    <row r="177" spans="2:24" x14ac:dyDescent="0.2">
      <c r="B177" s="18">
        <f t="shared" ca="1" si="50"/>
        <v>49614</v>
      </c>
      <c r="C177" s="9">
        <f t="shared" si="63"/>
        <v>173</v>
      </c>
      <c r="D177" s="9"/>
      <c r="E177" s="13">
        <f t="shared" si="51"/>
        <v>2000</v>
      </c>
      <c r="F177" s="14">
        <f t="shared" si="52"/>
        <v>396000</v>
      </c>
      <c r="G177" s="15">
        <f t="shared" si="53"/>
        <v>0.50279592661137817</v>
      </c>
      <c r="H177" s="13">
        <f t="shared" si="54"/>
        <v>4996.4899018215619</v>
      </c>
      <c r="I177" s="13">
        <f t="shared" si="55"/>
        <v>387568.84290545055</v>
      </c>
      <c r="J177" s="15">
        <f t="shared" si="47"/>
        <v>0.49720407338862183</v>
      </c>
      <c r="K177" s="13">
        <f t="shared" si="56"/>
        <v>391595.87944330531</v>
      </c>
      <c r="L177" s="13">
        <f t="shared" si="64"/>
        <v>22504829.769888457</v>
      </c>
      <c r="M177" s="15">
        <f t="shared" si="57"/>
        <v>0.49720407338862183</v>
      </c>
      <c r="N177" s="13">
        <f t="shared" si="48"/>
        <v>0</v>
      </c>
      <c r="O177" s="13">
        <f t="shared" si="58"/>
        <v>-4027.0365378546994</v>
      </c>
      <c r="P177" s="15">
        <f t="shared" si="49"/>
        <v>-5.1393525588926741E-3</v>
      </c>
      <c r="Q177" s="7">
        <f t="shared" si="59"/>
        <v>783568.84290545061</v>
      </c>
      <c r="R177" s="7">
        <f t="shared" si="60"/>
        <v>787595.87944330531</v>
      </c>
      <c r="S177" s="13">
        <f>IF('BANCO DE DADOS'!$AD$32="Sim",R177,Q177)</f>
        <v>787595.87944330531</v>
      </c>
      <c r="T177" s="9">
        <f t="shared" si="61"/>
        <v>173</v>
      </c>
      <c r="U177" s="18">
        <f t="shared" ca="1" si="62"/>
        <v>49644</v>
      </c>
      <c r="V177" s="24"/>
      <c r="W177" s="24"/>
      <c r="X177" s="24"/>
    </row>
    <row r="178" spans="2:24" x14ac:dyDescent="0.2">
      <c r="B178" s="18">
        <f t="shared" ca="1" si="50"/>
        <v>49644</v>
      </c>
      <c r="C178" s="9">
        <f t="shared" si="63"/>
        <v>174</v>
      </c>
      <c r="D178" s="9"/>
      <c r="E178" s="13">
        <f t="shared" si="51"/>
        <v>2000</v>
      </c>
      <c r="F178" s="14">
        <f t="shared" si="52"/>
        <v>398000</v>
      </c>
      <c r="G178" s="15">
        <f t="shared" si="53"/>
        <v>0.50083294111179011</v>
      </c>
      <c r="H178" s="13">
        <f t="shared" si="54"/>
        <v>5041.5055285142171</v>
      </c>
      <c r="I178" s="13">
        <f t="shared" si="55"/>
        <v>392610.34843396477</v>
      </c>
      <c r="J178" s="15">
        <f t="shared" si="47"/>
        <v>0.49916705888820989</v>
      </c>
      <c r="K178" s="13">
        <f t="shared" si="56"/>
        <v>396676.16310637817</v>
      </c>
      <c r="L178" s="13">
        <f t="shared" si="64"/>
        <v>22901505.932994835</v>
      </c>
      <c r="M178" s="15">
        <f t="shared" si="57"/>
        <v>0.49916705888820989</v>
      </c>
      <c r="N178" s="13">
        <f t="shared" si="48"/>
        <v>0</v>
      </c>
      <c r="O178" s="13">
        <f t="shared" si="58"/>
        <v>-4065.8146724132821</v>
      </c>
      <c r="P178" s="15">
        <f t="shared" si="49"/>
        <v>-5.1426276932332315E-3</v>
      </c>
      <c r="Q178" s="7">
        <f t="shared" si="59"/>
        <v>790610.34843396489</v>
      </c>
      <c r="R178" s="7">
        <f t="shared" si="60"/>
        <v>794676.16310637817</v>
      </c>
      <c r="S178" s="13">
        <f>IF('BANCO DE DADOS'!$AD$32="Sim",R178,Q178)</f>
        <v>794676.16310637817</v>
      </c>
      <c r="T178" s="9">
        <f t="shared" si="61"/>
        <v>174</v>
      </c>
      <c r="U178" s="18">
        <f t="shared" ca="1" si="62"/>
        <v>49675</v>
      </c>
      <c r="V178" s="24"/>
      <c r="W178" s="24"/>
      <c r="X178" s="24"/>
    </row>
    <row r="179" spans="2:24" x14ac:dyDescent="0.2">
      <c r="B179" s="18">
        <f t="shared" ca="1" si="50"/>
        <v>49675</v>
      </c>
      <c r="C179" s="9">
        <f t="shared" si="63"/>
        <v>175</v>
      </c>
      <c r="D179" s="9"/>
      <c r="E179" s="13">
        <f t="shared" si="51"/>
        <v>2000</v>
      </c>
      <c r="F179" s="14">
        <f t="shared" si="52"/>
        <v>400000</v>
      </c>
      <c r="G179" s="15">
        <f t="shared" si="53"/>
        <v>0.49887628022610747</v>
      </c>
      <c r="H179" s="13">
        <f t="shared" si="54"/>
        <v>5086.8107871044331</v>
      </c>
      <c r="I179" s="13">
        <f t="shared" si="55"/>
        <v>397697.15922106919</v>
      </c>
      <c r="J179" s="15">
        <f t="shared" si="47"/>
        <v>0.50112371977389247</v>
      </c>
      <c r="K179" s="13">
        <f t="shared" si="56"/>
        <v>401802.00152772665</v>
      </c>
      <c r="L179" s="13">
        <f t="shared" si="64"/>
        <v>23303307.934522562</v>
      </c>
      <c r="M179" s="15">
        <f t="shared" si="57"/>
        <v>0.50112371977389258</v>
      </c>
      <c r="N179" s="13">
        <f t="shared" si="48"/>
        <v>0</v>
      </c>
      <c r="O179" s="13">
        <f t="shared" si="58"/>
        <v>-4104.842306657345</v>
      </c>
      <c r="P179" s="15">
        <f t="shared" si="49"/>
        <v>-5.1458655195232459E-3</v>
      </c>
      <c r="Q179" s="7">
        <f t="shared" si="59"/>
        <v>797697.15922106931</v>
      </c>
      <c r="R179" s="7">
        <f t="shared" si="60"/>
        <v>801802.00152772665</v>
      </c>
      <c r="S179" s="13">
        <f>IF('BANCO DE DADOS'!$AD$32="Sim",R179,Q179)</f>
        <v>801802.00152772665</v>
      </c>
      <c r="T179" s="9">
        <f t="shared" si="61"/>
        <v>175</v>
      </c>
      <c r="U179" s="18">
        <f t="shared" ca="1" si="62"/>
        <v>49706</v>
      </c>
      <c r="V179" s="24"/>
      <c r="W179" s="24"/>
      <c r="X179" s="24"/>
    </row>
    <row r="180" spans="2:24" x14ac:dyDescent="0.2">
      <c r="B180" s="18">
        <f t="shared" ca="1" si="50"/>
        <v>49706</v>
      </c>
      <c r="C180" s="9">
        <f t="shared" si="63"/>
        <v>176</v>
      </c>
      <c r="D180" s="9"/>
      <c r="E180" s="13">
        <f t="shared" si="51"/>
        <v>2000</v>
      </c>
      <c r="F180" s="14">
        <f t="shared" si="52"/>
        <v>402000</v>
      </c>
      <c r="G180" s="15">
        <f t="shared" si="53"/>
        <v>0.49692592733052077</v>
      </c>
      <c r="H180" s="13">
        <f t="shared" si="54"/>
        <v>5132.4075410925607</v>
      </c>
      <c r="I180" s="13">
        <f t="shared" si="55"/>
        <v>402829.56676216173</v>
      </c>
      <c r="J180" s="15">
        <f t="shared" si="47"/>
        <v>0.50307407266947923</v>
      </c>
      <c r="K180" s="13">
        <f t="shared" si="56"/>
        <v>406973.68780803704</v>
      </c>
      <c r="L180" s="13">
        <f t="shared" si="64"/>
        <v>23710281.622330599</v>
      </c>
      <c r="M180" s="15">
        <f t="shared" si="57"/>
        <v>0.50307407266947923</v>
      </c>
      <c r="N180" s="13">
        <f t="shared" si="48"/>
        <v>0</v>
      </c>
      <c r="O180" s="13">
        <f t="shared" si="58"/>
        <v>-4144.1210458751302</v>
      </c>
      <c r="P180" s="15">
        <f t="shared" si="49"/>
        <v>-5.1490666061722538E-3</v>
      </c>
      <c r="Q180" s="7">
        <f t="shared" si="59"/>
        <v>804829.56676216191</v>
      </c>
      <c r="R180" s="7">
        <f t="shared" si="60"/>
        <v>808973.68780803704</v>
      </c>
      <c r="S180" s="13">
        <f>IF('BANCO DE DADOS'!$AD$32="Sim",R180,Q180)</f>
        <v>808973.68780803704</v>
      </c>
      <c r="T180" s="9">
        <f t="shared" si="61"/>
        <v>176</v>
      </c>
      <c r="U180" s="18">
        <f t="shared" ca="1" si="62"/>
        <v>49735</v>
      </c>
      <c r="V180" s="24"/>
      <c r="W180" s="24"/>
      <c r="X180" s="24"/>
    </row>
    <row r="181" spans="2:24" x14ac:dyDescent="0.2">
      <c r="B181" s="18">
        <f t="shared" ca="1" si="50"/>
        <v>49735</v>
      </c>
      <c r="C181" s="9">
        <f t="shared" si="63"/>
        <v>177</v>
      </c>
      <c r="D181" s="9"/>
      <c r="E181" s="13">
        <f t="shared" si="51"/>
        <v>2000</v>
      </c>
      <c r="F181" s="14">
        <f t="shared" si="52"/>
        <v>404000</v>
      </c>
      <c r="G181" s="15">
        <f t="shared" si="53"/>
        <v>0.49498186592003091</v>
      </c>
      <c r="H181" s="13">
        <f t="shared" si="54"/>
        <v>5178.2976659687656</v>
      </c>
      <c r="I181" s="13">
        <f t="shared" si="55"/>
        <v>408007.8644281305</v>
      </c>
      <c r="J181" s="15">
        <f t="shared" si="47"/>
        <v>0.50501813407996909</v>
      </c>
      <c r="K181" s="13">
        <f t="shared" si="56"/>
        <v>412191.51693381451</v>
      </c>
      <c r="L181" s="13">
        <f t="shared" si="64"/>
        <v>24122473.139264412</v>
      </c>
      <c r="M181" s="15">
        <f t="shared" si="57"/>
        <v>0.50501813407996909</v>
      </c>
      <c r="N181" s="13">
        <f t="shared" si="48"/>
        <v>0</v>
      </c>
      <c r="O181" s="13">
        <f t="shared" si="58"/>
        <v>-4183.6525056838291</v>
      </c>
      <c r="P181" s="15">
        <f t="shared" si="49"/>
        <v>-5.1522315102578865E-3</v>
      </c>
      <c r="Q181" s="7">
        <f t="shared" si="59"/>
        <v>812007.86442813068</v>
      </c>
      <c r="R181" s="7">
        <f t="shared" si="60"/>
        <v>816191.51693381451</v>
      </c>
      <c r="S181" s="13">
        <f>IF('BANCO DE DADOS'!$AD$32="Sim",R181,Q181)</f>
        <v>816191.51693381451</v>
      </c>
      <c r="T181" s="9">
        <f t="shared" si="61"/>
        <v>177</v>
      </c>
      <c r="U181" s="18">
        <f t="shared" ca="1" si="62"/>
        <v>49766</v>
      </c>
      <c r="V181" s="24"/>
      <c r="W181" s="24"/>
      <c r="X181" s="24"/>
    </row>
    <row r="182" spans="2:24" x14ac:dyDescent="0.2">
      <c r="B182" s="18">
        <f t="shared" ca="1" si="50"/>
        <v>49766</v>
      </c>
      <c r="C182" s="9">
        <f t="shared" si="63"/>
        <v>178</v>
      </c>
      <c r="D182" s="9"/>
      <c r="E182" s="13">
        <f t="shared" si="51"/>
        <v>2000</v>
      </c>
      <c r="F182" s="14">
        <f t="shared" si="52"/>
        <v>406000</v>
      </c>
      <c r="G182" s="15">
        <f t="shared" si="53"/>
        <v>0.49304407960499519</v>
      </c>
      <c r="H182" s="13">
        <f t="shared" si="54"/>
        <v>5224.4830492901765</v>
      </c>
      <c r="I182" s="13">
        <f t="shared" si="55"/>
        <v>413232.3474774207</v>
      </c>
      <c r="J182" s="15">
        <f t="shared" si="47"/>
        <v>0.50695592039500481</v>
      </c>
      <c r="K182" s="13">
        <f t="shared" si="56"/>
        <v>417455.78578951606</v>
      </c>
      <c r="L182" s="13">
        <f t="shared" si="64"/>
        <v>24539928.925053928</v>
      </c>
      <c r="M182" s="15">
        <f t="shared" si="57"/>
        <v>0.50695592039500481</v>
      </c>
      <c r="N182" s="13">
        <f t="shared" si="48"/>
        <v>0</v>
      </c>
      <c r="O182" s="13">
        <f t="shared" si="58"/>
        <v>-4223.4383120952407</v>
      </c>
      <c r="P182" s="15">
        <f t="shared" si="49"/>
        <v>-5.1553607778062555E-3</v>
      </c>
      <c r="Q182" s="7">
        <f t="shared" si="59"/>
        <v>819232.34747742082</v>
      </c>
      <c r="R182" s="7">
        <f t="shared" si="60"/>
        <v>823455.78578951606</v>
      </c>
      <c r="S182" s="13">
        <f>IF('BANCO DE DADOS'!$AD$32="Sim",R182,Q182)</f>
        <v>823455.78578951606</v>
      </c>
      <c r="T182" s="9">
        <f t="shared" si="61"/>
        <v>178</v>
      </c>
      <c r="U182" s="18">
        <f t="shared" ca="1" si="62"/>
        <v>49796</v>
      </c>
      <c r="V182" s="24"/>
      <c r="W182" s="24"/>
      <c r="X182" s="24"/>
    </row>
    <row r="183" spans="2:24" x14ac:dyDescent="0.2">
      <c r="B183" s="18">
        <f t="shared" ca="1" si="50"/>
        <v>49796</v>
      </c>
      <c r="C183" s="9">
        <f t="shared" si="63"/>
        <v>179</v>
      </c>
      <c r="D183" s="9"/>
      <c r="E183" s="13">
        <f t="shared" si="51"/>
        <v>2000</v>
      </c>
      <c r="F183" s="14">
        <f t="shared" si="52"/>
        <v>408000</v>
      </c>
      <c r="G183" s="15">
        <f t="shared" si="53"/>
        <v>0.49111255210778215</v>
      </c>
      <c r="H183" s="13">
        <f t="shared" si="54"/>
        <v>5270.9655907585184</v>
      </c>
      <c r="I183" s="13">
        <f t="shared" si="55"/>
        <v>418503.31306817924</v>
      </c>
      <c r="J183" s="15">
        <f t="shared" si="47"/>
        <v>0.50888744789221785</v>
      </c>
      <c r="K183" s="13">
        <f t="shared" si="56"/>
        <v>422766.79316976236</v>
      </c>
      <c r="L183" s="13">
        <f t="shared" si="64"/>
        <v>24962695.718223691</v>
      </c>
      <c r="M183" s="15">
        <f t="shared" si="57"/>
        <v>0.50888744789221785</v>
      </c>
      <c r="N183" s="13">
        <f t="shared" si="48"/>
        <v>0</v>
      </c>
      <c r="O183" s="13">
        <f t="shared" si="58"/>
        <v>-4263.4801015830599</v>
      </c>
      <c r="P183" s="15">
        <f t="shared" si="49"/>
        <v>-5.1584549440654931E-3</v>
      </c>
      <c r="Q183" s="7">
        <f t="shared" si="59"/>
        <v>826503.3130681793</v>
      </c>
      <c r="R183" s="7">
        <f t="shared" si="60"/>
        <v>830766.79316976236</v>
      </c>
      <c r="S183" s="13">
        <f>IF('BANCO DE DADOS'!$AD$32="Sim",R183,Q183)</f>
        <v>830766.79316976236</v>
      </c>
      <c r="T183" s="9">
        <f t="shared" si="61"/>
        <v>179</v>
      </c>
      <c r="U183" s="18">
        <f t="shared" ca="1" si="62"/>
        <v>49827</v>
      </c>
      <c r="V183" s="24"/>
      <c r="W183" s="24"/>
      <c r="X183" s="24"/>
    </row>
    <row r="184" spans="2:24" x14ac:dyDescent="0.2">
      <c r="B184" s="18">
        <f t="shared" ca="1" si="50"/>
        <v>49827</v>
      </c>
      <c r="C184" s="9">
        <f t="shared" si="63"/>
        <v>180</v>
      </c>
      <c r="D184" s="9">
        <v>15</v>
      </c>
      <c r="E184" s="13">
        <f t="shared" si="51"/>
        <v>2000</v>
      </c>
      <c r="F184" s="14">
        <f t="shared" si="52"/>
        <v>410000</v>
      </c>
      <c r="G184" s="15">
        <f t="shared" si="53"/>
        <v>0.48918726725953277</v>
      </c>
      <c r="H184" s="13">
        <f t="shared" si="54"/>
        <v>5317.7472022982574</v>
      </c>
      <c r="I184" s="13">
        <f t="shared" si="55"/>
        <v>423821.06027047749</v>
      </c>
      <c r="J184" s="15">
        <f t="shared" si="47"/>
        <v>0.51081273274046723</v>
      </c>
      <c r="K184" s="13">
        <f t="shared" si="56"/>
        <v>428124.8397916276</v>
      </c>
      <c r="L184" s="13">
        <f t="shared" si="64"/>
        <v>25390820.558015317</v>
      </c>
      <c r="M184" s="15">
        <f t="shared" si="57"/>
        <v>0.51081273274046723</v>
      </c>
      <c r="N184" s="13">
        <f t="shared" si="48"/>
        <v>0</v>
      </c>
      <c r="O184" s="13">
        <f t="shared" si="58"/>
        <v>-4303.7795211500488</v>
      </c>
      <c r="P184" s="15">
        <f t="shared" si="49"/>
        <v>-5.1615145337705615E-3</v>
      </c>
      <c r="Q184" s="7">
        <f t="shared" si="59"/>
        <v>833821.06027047755</v>
      </c>
      <c r="R184" s="7">
        <f t="shared" si="60"/>
        <v>838124.8397916276</v>
      </c>
      <c r="S184" s="13">
        <f>IF('BANCO DE DADOS'!$AD$32="Sim",R184,Q184)</f>
        <v>838124.8397916276</v>
      </c>
      <c r="T184" s="9">
        <f t="shared" si="61"/>
        <v>180</v>
      </c>
      <c r="U184" s="18">
        <f t="shared" ca="1" si="62"/>
        <v>49857</v>
      </c>
      <c r="V184" s="24"/>
      <c r="W184" s="24"/>
      <c r="X184" s="24"/>
    </row>
    <row r="185" spans="2:24" x14ac:dyDescent="0.2">
      <c r="B185" s="18">
        <f t="shared" ca="1" si="50"/>
        <v>49857</v>
      </c>
      <c r="C185" s="9">
        <f t="shared" si="63"/>
        <v>181</v>
      </c>
      <c r="D185" s="9"/>
      <c r="E185" s="13">
        <f t="shared" si="51"/>
        <v>2000</v>
      </c>
      <c r="F185" s="14">
        <f t="shared" si="52"/>
        <v>412000</v>
      </c>
      <c r="G185" s="15">
        <f t="shared" si="53"/>
        <v>0.48726820899702289</v>
      </c>
      <c r="H185" s="13">
        <f t="shared" si="54"/>
        <v>5364.8298081352377</v>
      </c>
      <c r="I185" s="13">
        <f t="shared" si="55"/>
        <v>429185.89007861272</v>
      </c>
      <c r="J185" s="15">
        <f t="shared" si="47"/>
        <v>0.51273179100297717</v>
      </c>
      <c r="K185" s="13">
        <f t="shared" si="56"/>
        <v>433530.22830700874</v>
      </c>
      <c r="L185" s="13">
        <f t="shared" si="64"/>
        <v>25824350.786322325</v>
      </c>
      <c r="M185" s="15">
        <f t="shared" si="57"/>
        <v>0.51273179100297717</v>
      </c>
      <c r="N185" s="13">
        <f t="shared" si="48"/>
        <v>0</v>
      </c>
      <c r="O185" s="13">
        <f t="shared" si="58"/>
        <v>-4344.3382283959072</v>
      </c>
      <c r="P185" s="15">
        <f t="shared" si="49"/>
        <v>-5.1645400614005882E-3</v>
      </c>
      <c r="Q185" s="7">
        <f t="shared" si="59"/>
        <v>841185.89007861284</v>
      </c>
      <c r="R185" s="7">
        <f t="shared" si="60"/>
        <v>845530.22830700874</v>
      </c>
      <c r="S185" s="13">
        <f>IF('BANCO DE DADOS'!$AD$32="Sim",R185,Q185)</f>
        <v>845530.22830700874</v>
      </c>
      <c r="T185" s="9">
        <f t="shared" si="61"/>
        <v>181</v>
      </c>
      <c r="U185" s="18">
        <f t="shared" ca="1" si="62"/>
        <v>49888</v>
      </c>
      <c r="V185" s="24"/>
      <c r="W185" s="24"/>
      <c r="X185" s="24"/>
    </row>
    <row r="186" spans="2:24" x14ac:dyDescent="0.2">
      <c r="B186" s="18">
        <f t="shared" ca="1" si="50"/>
        <v>49888</v>
      </c>
      <c r="C186" s="9">
        <f t="shared" si="63"/>
        <v>182</v>
      </c>
      <c r="D186" s="9"/>
      <c r="E186" s="13">
        <f t="shared" si="51"/>
        <v>2000</v>
      </c>
      <c r="F186" s="14">
        <f t="shared" si="52"/>
        <v>414000</v>
      </c>
      <c r="G186" s="15">
        <f t="shared" si="53"/>
        <v>0.48535536135962504</v>
      </c>
      <c r="H186" s="13">
        <f t="shared" si="54"/>
        <v>5412.2153448758309</v>
      </c>
      <c r="I186" s="13">
        <f t="shared" si="55"/>
        <v>434598.10542348854</v>
      </c>
      <c r="J186" s="15">
        <f t="shared" si="47"/>
        <v>0.51464463864037491</v>
      </c>
      <c r="K186" s="13">
        <f t="shared" si="56"/>
        <v>438983.26331507415</v>
      </c>
      <c r="L186" s="13">
        <f t="shared" si="64"/>
        <v>26263334.0496374</v>
      </c>
      <c r="M186" s="15">
        <f t="shared" si="57"/>
        <v>0.51464463864037502</v>
      </c>
      <c r="N186" s="13">
        <f t="shared" si="48"/>
        <v>0</v>
      </c>
      <c r="O186" s="13">
        <f t="shared" si="58"/>
        <v>-4385.1578915854916</v>
      </c>
      <c r="P186" s="15">
        <f t="shared" si="49"/>
        <v>-5.1675320314285879E-3</v>
      </c>
      <c r="Q186" s="7">
        <f t="shared" si="59"/>
        <v>848598.10542348865</v>
      </c>
      <c r="R186" s="7">
        <f t="shared" si="60"/>
        <v>852983.26331507415</v>
      </c>
      <c r="S186" s="13">
        <f>IF('BANCO DE DADOS'!$AD$32="Sim",R186,Q186)</f>
        <v>852983.26331507415</v>
      </c>
      <c r="T186" s="9">
        <f t="shared" si="61"/>
        <v>182</v>
      </c>
      <c r="U186" s="18">
        <f t="shared" ca="1" si="62"/>
        <v>49919</v>
      </c>
      <c r="V186" s="24"/>
      <c r="W186" s="24"/>
      <c r="X186" s="24"/>
    </row>
    <row r="187" spans="2:24" x14ac:dyDescent="0.2">
      <c r="B187" s="18">
        <f t="shared" ca="1" si="50"/>
        <v>49919</v>
      </c>
      <c r="C187" s="9">
        <f t="shared" si="63"/>
        <v>183</v>
      </c>
      <c r="D187" s="9"/>
      <c r="E187" s="13">
        <f t="shared" si="51"/>
        <v>2000</v>
      </c>
      <c r="F187" s="14">
        <f t="shared" si="52"/>
        <v>416000</v>
      </c>
      <c r="G187" s="15">
        <f t="shared" si="53"/>
        <v>0.48344870848636501</v>
      </c>
      <c r="H187" s="13">
        <f t="shared" si="54"/>
        <v>5459.9057615865913</v>
      </c>
      <c r="I187" s="13">
        <f t="shared" si="55"/>
        <v>440058.01118507516</v>
      </c>
      <c r="J187" s="15">
        <f t="shared" si="47"/>
        <v>0.51655129151363499</v>
      </c>
      <c r="K187" s="13">
        <f t="shared" si="56"/>
        <v>444484.25137479231</v>
      </c>
      <c r="L187" s="13">
        <f t="shared" si="64"/>
        <v>26707818.301012192</v>
      </c>
      <c r="M187" s="15">
        <f t="shared" si="57"/>
        <v>0.51655129151363499</v>
      </c>
      <c r="N187" s="13">
        <f t="shared" si="48"/>
        <v>0</v>
      </c>
      <c r="O187" s="13">
        <f t="shared" si="58"/>
        <v>-4426.2401897170348</v>
      </c>
      <c r="P187" s="15">
        <f t="shared" si="49"/>
        <v>-5.1704909385633969E-3</v>
      </c>
      <c r="Q187" s="7">
        <f t="shared" si="59"/>
        <v>856058.01118507527</v>
      </c>
      <c r="R187" s="7">
        <f t="shared" si="60"/>
        <v>860484.25137479231</v>
      </c>
      <c r="S187" s="13">
        <f>IF('BANCO DE DADOS'!$AD$32="Sim",R187,Q187)</f>
        <v>860484.25137479231</v>
      </c>
      <c r="T187" s="9">
        <f t="shared" si="61"/>
        <v>183</v>
      </c>
      <c r="U187" s="18">
        <f t="shared" ca="1" si="62"/>
        <v>49949</v>
      </c>
      <c r="V187" s="24"/>
      <c r="W187" s="24"/>
      <c r="X187" s="24"/>
    </row>
    <row r="188" spans="2:24" x14ac:dyDescent="0.2">
      <c r="B188" s="18">
        <f t="shared" ca="1" si="50"/>
        <v>49949</v>
      </c>
      <c r="C188" s="9">
        <f t="shared" si="63"/>
        <v>184</v>
      </c>
      <c r="D188" s="9"/>
      <c r="E188" s="13">
        <f t="shared" si="51"/>
        <v>2000</v>
      </c>
      <c r="F188" s="14">
        <f t="shared" si="52"/>
        <v>418000</v>
      </c>
      <c r="G188" s="15">
        <f t="shared" si="53"/>
        <v>0.48154823461307045</v>
      </c>
      <c r="H188" s="13">
        <f t="shared" si="54"/>
        <v>5507.9030198744276</v>
      </c>
      <c r="I188" s="13">
        <f t="shared" si="55"/>
        <v>445565.91420494957</v>
      </c>
      <c r="J188" s="15">
        <f t="shared" si="47"/>
        <v>0.51845176538692961</v>
      </c>
      <c r="K188" s="13">
        <f t="shared" si="56"/>
        <v>450033.50101754151</v>
      </c>
      <c r="L188" s="13">
        <f t="shared" si="64"/>
        <v>27157851.802029733</v>
      </c>
      <c r="M188" s="15">
        <f t="shared" si="57"/>
        <v>0.51845176538692961</v>
      </c>
      <c r="N188" s="13">
        <f t="shared" si="48"/>
        <v>0</v>
      </c>
      <c r="O188" s="13">
        <f t="shared" si="58"/>
        <v>-4467.5868125917623</v>
      </c>
      <c r="P188" s="15">
        <f t="shared" si="49"/>
        <v>-5.1734172679857209E-3</v>
      </c>
      <c r="Q188" s="7">
        <f t="shared" si="59"/>
        <v>863565.91420494975</v>
      </c>
      <c r="R188" s="7">
        <f t="shared" si="60"/>
        <v>868033.50101754151</v>
      </c>
      <c r="S188" s="13">
        <f>IF('BANCO DE DADOS'!$AD$32="Sim",R188,Q188)</f>
        <v>868033.50101754151</v>
      </c>
      <c r="T188" s="9">
        <f t="shared" si="61"/>
        <v>184</v>
      </c>
      <c r="U188" s="18">
        <f t="shared" ca="1" si="62"/>
        <v>49980</v>
      </c>
      <c r="V188" s="24"/>
      <c r="W188" s="24"/>
      <c r="X188" s="24"/>
    </row>
    <row r="189" spans="2:24" x14ac:dyDescent="0.2">
      <c r="B189" s="18">
        <f t="shared" ca="1" si="50"/>
        <v>49980</v>
      </c>
      <c r="C189" s="9">
        <f t="shared" si="63"/>
        <v>185</v>
      </c>
      <c r="D189" s="9"/>
      <c r="E189" s="13">
        <f t="shared" si="51"/>
        <v>2000</v>
      </c>
      <c r="F189" s="14">
        <f t="shared" si="52"/>
        <v>420000</v>
      </c>
      <c r="G189" s="15">
        <f t="shared" si="53"/>
        <v>0.47965392406960849</v>
      </c>
      <c r="H189" s="13">
        <f t="shared" si="54"/>
        <v>5556.2090939672853</v>
      </c>
      <c r="I189" s="13">
        <f t="shared" si="55"/>
        <v>451122.12329891685</v>
      </c>
      <c r="J189" s="15">
        <f t="shared" si="47"/>
        <v>0.52034607593039151</v>
      </c>
      <c r="K189" s="13">
        <f t="shared" si="56"/>
        <v>455631.32275980012</v>
      </c>
      <c r="L189" s="13">
        <f t="shared" si="64"/>
        <v>27613483.124789532</v>
      </c>
      <c r="M189" s="15">
        <f t="shared" si="57"/>
        <v>0.52034607593039151</v>
      </c>
      <c r="N189" s="13">
        <f t="shared" si="48"/>
        <v>0</v>
      </c>
      <c r="O189" s="13">
        <f t="shared" si="58"/>
        <v>-4509.1994608830428</v>
      </c>
      <c r="P189" s="15">
        <f t="shared" si="49"/>
        <v>-5.1763114955763268E-3</v>
      </c>
      <c r="Q189" s="7">
        <f t="shared" si="59"/>
        <v>871122.12329891708</v>
      </c>
      <c r="R189" s="7">
        <f t="shared" si="60"/>
        <v>875631.32275980012</v>
      </c>
      <c r="S189" s="13">
        <f>IF('BANCO DE DADOS'!$AD$32="Sim",R189,Q189)</f>
        <v>875631.32275980012</v>
      </c>
      <c r="T189" s="9">
        <f t="shared" si="61"/>
        <v>185</v>
      </c>
      <c r="U189" s="18">
        <f t="shared" ca="1" si="62"/>
        <v>50010</v>
      </c>
      <c r="V189" s="24"/>
      <c r="W189" s="24"/>
      <c r="X189" s="24"/>
    </row>
    <row r="190" spans="2:24" x14ac:dyDescent="0.2">
      <c r="B190" s="18">
        <f t="shared" ca="1" si="50"/>
        <v>50010</v>
      </c>
      <c r="C190" s="9">
        <f t="shared" si="63"/>
        <v>186</v>
      </c>
      <c r="D190" s="9"/>
      <c r="E190" s="13">
        <f t="shared" si="51"/>
        <v>2000</v>
      </c>
      <c r="F190" s="14">
        <f t="shared" si="52"/>
        <v>422000</v>
      </c>
      <c r="G190" s="15">
        <f t="shared" si="53"/>
        <v>0.47776576127720932</v>
      </c>
      <c r="H190" s="13">
        <f t="shared" si="54"/>
        <v>5604.825970795353</v>
      </c>
      <c r="I190" s="13">
        <f t="shared" si="55"/>
        <v>456726.9492697122</v>
      </c>
      <c r="J190" s="15">
        <f t="shared" si="47"/>
        <v>0.52223423872279073</v>
      </c>
      <c r="K190" s="13">
        <f t="shared" si="56"/>
        <v>461278.02911591879</v>
      </c>
      <c r="L190" s="13">
        <f t="shared" si="64"/>
        <v>28074761.153905451</v>
      </c>
      <c r="M190" s="15">
        <f t="shared" si="57"/>
        <v>0.52223423872279073</v>
      </c>
      <c r="N190" s="13">
        <f t="shared" si="48"/>
        <v>0</v>
      </c>
      <c r="O190" s="13">
        <f t="shared" si="58"/>
        <v>-4551.079846206354</v>
      </c>
      <c r="P190" s="15">
        <f t="shared" si="49"/>
        <v>-5.1791740881381191E-3</v>
      </c>
      <c r="Q190" s="7">
        <f t="shared" si="59"/>
        <v>878726.94926971244</v>
      </c>
      <c r="R190" s="7">
        <f t="shared" si="60"/>
        <v>883278.02911591879</v>
      </c>
      <c r="S190" s="13">
        <f>IF('BANCO DE DADOS'!$AD$32="Sim",R190,Q190)</f>
        <v>883278.02911591879</v>
      </c>
      <c r="T190" s="9">
        <f t="shared" si="61"/>
        <v>186</v>
      </c>
      <c r="U190" s="18">
        <f t="shared" ca="1" si="62"/>
        <v>50041</v>
      </c>
      <c r="V190" s="24"/>
      <c r="W190" s="24"/>
      <c r="X190" s="24"/>
    </row>
    <row r="191" spans="2:24" x14ac:dyDescent="0.2">
      <c r="B191" s="18">
        <f t="shared" ca="1" si="50"/>
        <v>50041</v>
      </c>
      <c r="C191" s="9">
        <f t="shared" si="63"/>
        <v>187</v>
      </c>
      <c r="D191" s="9"/>
      <c r="E191" s="13">
        <f t="shared" si="51"/>
        <v>2000</v>
      </c>
      <c r="F191" s="14">
        <f t="shared" si="52"/>
        <v>424000</v>
      </c>
      <c r="G191" s="15">
        <f t="shared" si="53"/>
        <v>0.47588373074587265</v>
      </c>
      <c r="H191" s="13">
        <f t="shared" si="54"/>
        <v>5653.7556500727869</v>
      </c>
      <c r="I191" s="13">
        <f t="shared" si="55"/>
        <v>462380.70491978497</v>
      </c>
      <c r="J191" s="15">
        <f t="shared" si="47"/>
        <v>0.52411626925412735</v>
      </c>
      <c r="K191" s="13">
        <f t="shared" si="56"/>
        <v>466973.93461097509</v>
      </c>
      <c r="L191" s="13">
        <f t="shared" si="64"/>
        <v>28541735.088516425</v>
      </c>
      <c r="M191" s="15">
        <f t="shared" si="57"/>
        <v>0.52411626925412735</v>
      </c>
      <c r="N191" s="13">
        <f t="shared" si="48"/>
        <v>0</v>
      </c>
      <c r="O191" s="13">
        <f t="shared" si="58"/>
        <v>-4593.2296911898302</v>
      </c>
      <c r="P191" s="15">
        <f t="shared" si="49"/>
        <v>-5.182005503612021E-3</v>
      </c>
      <c r="Q191" s="7">
        <f t="shared" si="59"/>
        <v>886380.70491978526</v>
      </c>
      <c r="R191" s="7">
        <f t="shared" si="60"/>
        <v>890973.93461097509</v>
      </c>
      <c r="S191" s="13">
        <f>IF('BANCO DE DADOS'!$AD$32="Sim",R191,Q191)</f>
        <v>890973.93461097509</v>
      </c>
      <c r="T191" s="9">
        <f t="shared" si="61"/>
        <v>187</v>
      </c>
      <c r="U191" s="18">
        <f t="shared" ca="1" si="62"/>
        <v>50072</v>
      </c>
      <c r="V191" s="24"/>
      <c r="W191" s="24"/>
      <c r="X191" s="24"/>
    </row>
    <row r="192" spans="2:24" x14ac:dyDescent="0.2">
      <c r="B192" s="18">
        <f t="shared" ca="1" si="50"/>
        <v>50072</v>
      </c>
      <c r="C192" s="9">
        <f t="shared" si="63"/>
        <v>188</v>
      </c>
      <c r="D192" s="9"/>
      <c r="E192" s="13">
        <f t="shared" si="51"/>
        <v>2000</v>
      </c>
      <c r="F192" s="14">
        <f t="shared" si="52"/>
        <v>426000</v>
      </c>
      <c r="G192" s="15">
        <f t="shared" si="53"/>
        <v>0.47400781707185452</v>
      </c>
      <c r="H192" s="13">
        <f t="shared" si="54"/>
        <v>5703.0001443799638</v>
      </c>
      <c r="I192" s="13">
        <f t="shared" si="55"/>
        <v>468083.70506416494</v>
      </c>
      <c r="J192" s="15">
        <f t="shared" si="47"/>
        <v>0.52599218292814554</v>
      </c>
      <c r="K192" s="13">
        <f t="shared" si="56"/>
        <v>472719.35579371033</v>
      </c>
      <c r="L192" s="13">
        <f t="shared" si="64"/>
        <v>29014454.444310136</v>
      </c>
      <c r="M192" s="15">
        <f t="shared" si="57"/>
        <v>0.52599218292814542</v>
      </c>
      <c r="N192" s="13">
        <f t="shared" si="48"/>
        <v>0</v>
      </c>
      <c r="O192" s="13">
        <f t="shared" si="58"/>
        <v>-4635.6507295451593</v>
      </c>
      <c r="P192" s="15">
        <f t="shared" si="49"/>
        <v>-5.1848061912866152E-3</v>
      </c>
      <c r="Q192" s="7">
        <f t="shared" si="59"/>
        <v>894083.70506416517</v>
      </c>
      <c r="R192" s="7">
        <f t="shared" si="60"/>
        <v>898719.35579371033</v>
      </c>
      <c r="S192" s="13">
        <f>IF('BANCO DE DADOS'!$AD$32="Sim",R192,Q192)</f>
        <v>898719.35579371033</v>
      </c>
      <c r="T192" s="9">
        <f t="shared" si="61"/>
        <v>188</v>
      </c>
      <c r="U192" s="18">
        <f t="shared" ca="1" si="62"/>
        <v>50100</v>
      </c>
      <c r="V192" s="24"/>
      <c r="W192" s="24"/>
      <c r="X192" s="24"/>
    </row>
    <row r="193" spans="2:24" x14ac:dyDescent="0.2">
      <c r="B193" s="18">
        <f t="shared" ca="1" si="50"/>
        <v>50100</v>
      </c>
      <c r="C193" s="9">
        <f t="shared" si="63"/>
        <v>189</v>
      </c>
      <c r="D193" s="9"/>
      <c r="E193" s="13">
        <f t="shared" si="51"/>
        <v>2000</v>
      </c>
      <c r="F193" s="14">
        <f t="shared" si="52"/>
        <v>428000</v>
      </c>
      <c r="G193" s="15">
        <f t="shared" si="53"/>
        <v>0.47213800493523206</v>
      </c>
      <c r="H193" s="13">
        <f t="shared" si="54"/>
        <v>5752.5614792462648</v>
      </c>
      <c r="I193" s="13">
        <f t="shared" si="55"/>
        <v>473836.26654341118</v>
      </c>
      <c r="J193" s="15">
        <f t="shared" si="47"/>
        <v>0.52786199506476794</v>
      </c>
      <c r="K193" s="13">
        <f t="shared" si="56"/>
        <v>478514.61124955001</v>
      </c>
      <c r="L193" s="13">
        <f t="shared" si="64"/>
        <v>29492969.055559687</v>
      </c>
      <c r="M193" s="15">
        <f t="shared" si="57"/>
        <v>0.52786199506476794</v>
      </c>
      <c r="N193" s="13">
        <f t="shared" si="48"/>
        <v>0</v>
      </c>
      <c r="O193" s="13">
        <f t="shared" si="58"/>
        <v>-4678.3447061385959</v>
      </c>
      <c r="P193" s="15">
        <f t="shared" si="49"/>
        <v>-5.1875765920014662E-3</v>
      </c>
      <c r="Q193" s="7">
        <f t="shared" si="59"/>
        <v>901836.26654341142</v>
      </c>
      <c r="R193" s="7">
        <f t="shared" si="60"/>
        <v>906514.61124955001</v>
      </c>
      <c r="S193" s="13">
        <f>IF('BANCO DE DADOS'!$AD$32="Sim",R193,Q193)</f>
        <v>906514.61124955001</v>
      </c>
      <c r="T193" s="9">
        <f t="shared" si="61"/>
        <v>189</v>
      </c>
      <c r="U193" s="18">
        <f t="shared" ca="1" si="62"/>
        <v>50131</v>
      </c>
      <c r="V193" s="24"/>
      <c r="W193" s="24"/>
      <c r="X193" s="24"/>
    </row>
    <row r="194" spans="2:24" x14ac:dyDescent="0.2">
      <c r="B194" s="18">
        <f t="shared" ca="1" si="50"/>
        <v>50131</v>
      </c>
      <c r="C194" s="9">
        <f t="shared" si="63"/>
        <v>190</v>
      </c>
      <c r="D194" s="9"/>
      <c r="E194" s="13">
        <f t="shared" si="51"/>
        <v>2000</v>
      </c>
      <c r="F194" s="14">
        <f t="shared" si="52"/>
        <v>430000</v>
      </c>
      <c r="G194" s="15">
        <f t="shared" si="53"/>
        <v>0.47027427909754277</v>
      </c>
      <c r="H194" s="13">
        <f t="shared" si="54"/>
        <v>5802.4416932333879</v>
      </c>
      <c r="I194" s="13">
        <f t="shared" si="55"/>
        <v>479638.70823664457</v>
      </c>
      <c r="J194" s="15">
        <f t="shared" si="47"/>
        <v>0.52972572090245729</v>
      </c>
      <c r="K194" s="13">
        <f t="shared" si="56"/>
        <v>484360.02161370765</v>
      </c>
      <c r="L194" s="13">
        <f t="shared" si="64"/>
        <v>29977329.077173393</v>
      </c>
      <c r="M194" s="15">
        <f t="shared" si="57"/>
        <v>0.52972572090245718</v>
      </c>
      <c r="N194" s="13">
        <f t="shared" si="48"/>
        <v>0</v>
      </c>
      <c r="O194" s="13">
        <f t="shared" si="58"/>
        <v>-4721.3133770627901</v>
      </c>
      <c r="P194" s="15">
        <f t="shared" si="49"/>
        <v>-5.1903171383451373E-3</v>
      </c>
      <c r="Q194" s="7">
        <f t="shared" si="59"/>
        <v>909638.70823664486</v>
      </c>
      <c r="R194" s="7">
        <f t="shared" si="60"/>
        <v>914360.02161370765</v>
      </c>
      <c r="S194" s="13">
        <f>IF('BANCO DE DADOS'!$AD$32="Sim",R194,Q194)</f>
        <v>914360.02161370765</v>
      </c>
      <c r="T194" s="9">
        <f t="shared" si="61"/>
        <v>190</v>
      </c>
      <c r="U194" s="18">
        <f t="shared" ca="1" si="62"/>
        <v>50161</v>
      </c>
      <c r="V194" s="24"/>
      <c r="W194" s="24"/>
      <c r="X194" s="24"/>
    </row>
    <row r="195" spans="2:24" x14ac:dyDescent="0.2">
      <c r="B195" s="18">
        <f t="shared" ca="1" si="50"/>
        <v>50161</v>
      </c>
      <c r="C195" s="9">
        <f t="shared" si="63"/>
        <v>191</v>
      </c>
      <c r="D195" s="9"/>
      <c r="E195" s="13">
        <f t="shared" si="51"/>
        <v>2000</v>
      </c>
      <c r="F195" s="14">
        <f t="shared" si="52"/>
        <v>432000</v>
      </c>
      <c r="G195" s="15">
        <f t="shared" si="53"/>
        <v>0.46841662439949699</v>
      </c>
      <c r="H195" s="13">
        <f t="shared" si="54"/>
        <v>5852.6428380191983</v>
      </c>
      <c r="I195" s="13">
        <f t="shared" si="55"/>
        <v>485491.35107466375</v>
      </c>
      <c r="J195" s="15">
        <f t="shared" si="47"/>
        <v>0.53158337560050306</v>
      </c>
      <c r="K195" s="13">
        <f t="shared" si="56"/>
        <v>490255.90958437358</v>
      </c>
      <c r="L195" s="13">
        <f t="shared" si="64"/>
        <v>30467584.986757766</v>
      </c>
      <c r="M195" s="15">
        <f t="shared" si="57"/>
        <v>0.53158337560050295</v>
      </c>
      <c r="N195" s="13">
        <f t="shared" si="48"/>
        <v>0</v>
      </c>
      <c r="O195" s="13">
        <f t="shared" si="58"/>
        <v>-4764.5585097095463</v>
      </c>
      <c r="P195" s="15">
        <f t="shared" si="49"/>
        <v>-5.193028254848164E-3</v>
      </c>
      <c r="Q195" s="7">
        <f t="shared" si="59"/>
        <v>917491.35107466404</v>
      </c>
      <c r="R195" s="7">
        <f t="shared" si="60"/>
        <v>922255.90958437358</v>
      </c>
      <c r="S195" s="13">
        <f>IF('BANCO DE DADOS'!$AD$32="Sim",R195,Q195)</f>
        <v>922255.90958437358</v>
      </c>
      <c r="T195" s="9">
        <f t="shared" si="61"/>
        <v>191</v>
      </c>
      <c r="U195" s="18">
        <f t="shared" ca="1" si="62"/>
        <v>50192</v>
      </c>
      <c r="V195" s="24"/>
      <c r="W195" s="24"/>
      <c r="X195" s="24"/>
    </row>
    <row r="196" spans="2:24" x14ac:dyDescent="0.2">
      <c r="B196" s="18">
        <f t="shared" ca="1" si="50"/>
        <v>50192</v>
      </c>
      <c r="C196" s="9">
        <f t="shared" si="63"/>
        <v>192</v>
      </c>
      <c r="D196" s="9">
        <v>16</v>
      </c>
      <c r="E196" s="13">
        <f t="shared" si="51"/>
        <v>2000</v>
      </c>
      <c r="F196" s="14">
        <f t="shared" si="52"/>
        <v>434000</v>
      </c>
      <c r="G196" s="15">
        <f t="shared" si="53"/>
        <v>0.46656502575876019</v>
      </c>
      <c r="H196" s="13">
        <f t="shared" si="54"/>
        <v>5903.166978482117</v>
      </c>
      <c r="I196" s="13">
        <f t="shared" si="55"/>
        <v>491394.51805314585</v>
      </c>
      <c r="J196" s="15">
        <f t="shared" si="47"/>
        <v>0.53343497424123987</v>
      </c>
      <c r="K196" s="13">
        <f t="shared" si="56"/>
        <v>496202.59993598808</v>
      </c>
      <c r="L196" s="13">
        <f t="shared" si="64"/>
        <v>30963787.586693756</v>
      </c>
      <c r="M196" s="15">
        <f t="shared" si="57"/>
        <v>0.53343497424123976</v>
      </c>
      <c r="N196" s="13">
        <f t="shared" si="48"/>
        <v>0</v>
      </c>
      <c r="O196" s="13">
        <f t="shared" si="58"/>
        <v>-4808.0818828418851</v>
      </c>
      <c r="P196" s="15">
        <f t="shared" si="49"/>
        <v>-5.1957103581693719E-3</v>
      </c>
      <c r="Q196" s="7">
        <f t="shared" si="59"/>
        <v>925394.5180531462</v>
      </c>
      <c r="R196" s="7">
        <f t="shared" si="60"/>
        <v>930202.59993598808</v>
      </c>
      <c r="S196" s="13">
        <f>IF('BANCO DE DADOS'!$AD$32="Sim",R196,Q196)</f>
        <v>930202.59993598808</v>
      </c>
      <c r="T196" s="9">
        <f t="shared" si="61"/>
        <v>192</v>
      </c>
      <c r="U196" s="18">
        <f t="shared" ca="1" si="62"/>
        <v>50222</v>
      </c>
      <c r="V196" s="24"/>
      <c r="W196" s="24"/>
      <c r="X196" s="24"/>
    </row>
    <row r="197" spans="2:24" x14ac:dyDescent="0.2">
      <c r="B197" s="18">
        <f t="shared" ca="1" si="50"/>
        <v>50222</v>
      </c>
      <c r="C197" s="9">
        <f t="shared" si="63"/>
        <v>193</v>
      </c>
      <c r="D197" s="9"/>
      <c r="E197" s="13">
        <f t="shared" si="51"/>
        <v>2000</v>
      </c>
      <c r="F197" s="14">
        <f t="shared" si="52"/>
        <v>436000</v>
      </c>
      <c r="G197" s="15">
        <f t="shared" si="53"/>
        <v>0.46471946816780363</v>
      </c>
      <c r="H197" s="13">
        <f t="shared" si="54"/>
        <v>5954.0161927860554</v>
      </c>
      <c r="I197" s="13">
        <f t="shared" si="55"/>
        <v>497348.53424593189</v>
      </c>
      <c r="J197" s="15">
        <f t="shared" ref="J197:J260" si="65">1-G197</f>
        <v>0.53528053183219637</v>
      </c>
      <c r="K197" s="13">
        <f t="shared" si="56"/>
        <v>502200.41953259974</v>
      </c>
      <c r="L197" s="13">
        <f t="shared" si="64"/>
        <v>31465988.006226357</v>
      </c>
      <c r="M197" s="15">
        <f t="shared" si="57"/>
        <v>0.53528053183219637</v>
      </c>
      <c r="N197" s="13">
        <f t="shared" ref="N197:N260" si="66">Q197*Inflação</f>
        <v>0</v>
      </c>
      <c r="O197" s="13">
        <f t="shared" si="58"/>
        <v>-4851.8852866675006</v>
      </c>
      <c r="P197" s="15">
        <f t="shared" ref="P197:P260" si="67">O197/Q197</f>
        <v>-5.1983638572780525E-3</v>
      </c>
      <c r="Q197" s="7">
        <f t="shared" si="59"/>
        <v>933348.53424593224</v>
      </c>
      <c r="R197" s="7">
        <f t="shared" si="60"/>
        <v>938200.41953259974</v>
      </c>
      <c r="S197" s="13">
        <f>IF('BANCO DE DADOS'!$AD$32="Sim",R197,Q197)</f>
        <v>938200.41953259974</v>
      </c>
      <c r="T197" s="9">
        <f t="shared" si="61"/>
        <v>193</v>
      </c>
      <c r="U197" s="18">
        <f t="shared" ca="1" si="62"/>
        <v>50253</v>
      </c>
      <c r="V197" s="24"/>
      <c r="W197" s="24"/>
      <c r="X197" s="24"/>
    </row>
    <row r="198" spans="2:24" x14ac:dyDescent="0.2">
      <c r="B198" s="18">
        <f t="shared" ref="B198:B261" ca="1" si="68">DATE(YEAR(B197),MONTH(B197)+1,1)</f>
        <v>50253</v>
      </c>
      <c r="C198" s="9">
        <f t="shared" si="63"/>
        <v>194</v>
      </c>
      <c r="D198" s="9"/>
      <c r="E198" s="13">
        <f t="shared" ref="E198:E261" si="69">IF($AE$33,IF($AE$34,$E197*(1+Inflação)*(1+Crescimento_Salário),$E197*(1+Inflação)),IF($AE$34,$E197*(1+Crescimento_Salário),$E197))</f>
        <v>2000</v>
      </c>
      <c r="F198" s="14">
        <f t="shared" ref="F198:F261" si="70">F197+E198</f>
        <v>438000</v>
      </c>
      <c r="G198" s="15">
        <f t="shared" ref="G198:G261" si="71">IF(F198&lt;=0,0,F198/S198)</f>
        <v>0.46287993669182048</v>
      </c>
      <c r="H198" s="13">
        <f t="shared" ref="H198:H261" si="72">Q197*Taxa</f>
        <v>6005.1925724658959</v>
      </c>
      <c r="I198" s="13">
        <f t="shared" ref="I198:I261" si="73">I197+H198</f>
        <v>503353.72681839782</v>
      </c>
      <c r="J198" s="15">
        <f t="shared" si="65"/>
        <v>0.53712006330817952</v>
      </c>
      <c r="K198" s="13">
        <f t="shared" ref="K198:K261" si="74">R198-F198</f>
        <v>508249.69734131033</v>
      </c>
      <c r="L198" s="13">
        <f t="shared" si="64"/>
        <v>31974237.703567669</v>
      </c>
      <c r="M198" s="15">
        <f t="shared" ref="M198:M261" si="75">K198/R198</f>
        <v>0.53712006330817952</v>
      </c>
      <c r="N198" s="13">
        <f t="shared" si="66"/>
        <v>0</v>
      </c>
      <c r="O198" s="13">
        <f t="shared" ref="O198:O261" si="76">Q198-R198</f>
        <v>-4895.9705229122192</v>
      </c>
      <c r="P198" s="15">
        <f t="shared" si="67"/>
        <v>-5.200989153630587E-3</v>
      </c>
      <c r="Q198" s="7">
        <f t="shared" ref="Q198:Q261" si="77">Q197+E198+H198</f>
        <v>941353.72681839811</v>
      </c>
      <c r="R198" s="7">
        <f t="shared" ref="R198:R261" si="78">(R197+E198)*(1+((1+Taxa)/(1+Inflação)-1))</f>
        <v>946249.69734131033</v>
      </c>
      <c r="S198" s="13">
        <f>IF('BANCO DE DADOS'!$AD$32="Sim",R198,Q198)</f>
        <v>946249.69734131033</v>
      </c>
      <c r="T198" s="9">
        <f t="shared" ref="T198:T261" si="79">C198</f>
        <v>194</v>
      </c>
      <c r="U198" s="18">
        <f t="shared" ref="U198:U261" ca="1" si="80">DATE(YEAR(U197),MONTH(U197)+1,1)</f>
        <v>50284</v>
      </c>
      <c r="V198" s="24"/>
      <c r="W198" s="24"/>
      <c r="X198" s="24"/>
    </row>
    <row r="199" spans="2:24" x14ac:dyDescent="0.2">
      <c r="B199" s="18">
        <f t="shared" ca="1" si="68"/>
        <v>50284</v>
      </c>
      <c r="C199" s="9">
        <f t="shared" ref="C199:C262" si="81">C198+1</f>
        <v>195</v>
      </c>
      <c r="D199" s="9"/>
      <c r="E199" s="13">
        <f t="shared" si="69"/>
        <v>2000</v>
      </c>
      <c r="F199" s="14">
        <f t="shared" si="70"/>
        <v>440000</v>
      </c>
      <c r="G199" s="15">
        <f t="shared" si="71"/>
        <v>0.46104641646670569</v>
      </c>
      <c r="H199" s="13">
        <f t="shared" si="72"/>
        <v>6056.6982225135171</v>
      </c>
      <c r="I199" s="13">
        <f t="shared" si="73"/>
        <v>509410.42504091136</v>
      </c>
      <c r="J199" s="15">
        <f t="shared" si="65"/>
        <v>0.53895358353329437</v>
      </c>
      <c r="K199" s="13">
        <f t="shared" si="74"/>
        <v>514350.76444580592</v>
      </c>
      <c r="L199" s="13">
        <f t="shared" ref="L199:L262" si="82">L198+K199</f>
        <v>32488588.468013473</v>
      </c>
      <c r="M199" s="15">
        <f t="shared" si="75"/>
        <v>0.53895358353329426</v>
      </c>
      <c r="N199" s="13">
        <f t="shared" si="66"/>
        <v>0</v>
      </c>
      <c r="O199" s="13">
        <f t="shared" si="76"/>
        <v>-4940.3394048942719</v>
      </c>
      <c r="P199" s="15">
        <f t="shared" si="67"/>
        <v>-5.2035866413425828E-3</v>
      </c>
      <c r="Q199" s="7">
        <f t="shared" si="77"/>
        <v>949410.42504091165</v>
      </c>
      <c r="R199" s="7">
        <f t="shared" si="78"/>
        <v>954350.76444580592</v>
      </c>
      <c r="S199" s="13">
        <f>IF('BANCO DE DADOS'!$AD$32="Sim",R199,Q199)</f>
        <v>954350.76444580592</v>
      </c>
      <c r="T199" s="9">
        <f t="shared" si="79"/>
        <v>195</v>
      </c>
      <c r="U199" s="18">
        <f t="shared" ca="1" si="80"/>
        <v>50314</v>
      </c>
      <c r="V199" s="24"/>
      <c r="W199" s="24"/>
      <c r="X199" s="24"/>
    </row>
    <row r="200" spans="2:24" x14ac:dyDescent="0.2">
      <c r="B200" s="18">
        <f t="shared" ca="1" si="68"/>
        <v>50314</v>
      </c>
      <c r="C200" s="9">
        <f t="shared" si="81"/>
        <v>196</v>
      </c>
      <c r="D200" s="9"/>
      <c r="E200" s="13">
        <f t="shared" si="69"/>
        <v>2000</v>
      </c>
      <c r="F200" s="14">
        <f t="shared" si="70"/>
        <v>442000</v>
      </c>
      <c r="G200" s="15">
        <f t="shared" si="71"/>
        <v>0.45921889269709781</v>
      </c>
      <c r="H200" s="13">
        <f t="shared" si="72"/>
        <v>6108.5352614643807</v>
      </c>
      <c r="I200" s="13">
        <f t="shared" si="73"/>
        <v>515518.96030237572</v>
      </c>
      <c r="J200" s="15">
        <f t="shared" si="65"/>
        <v>0.54078110730290219</v>
      </c>
      <c r="K200" s="13">
        <f t="shared" si="74"/>
        <v>520503.95405997499</v>
      </c>
      <c r="L200" s="13">
        <f t="shared" si="82"/>
        <v>33009092.422073446</v>
      </c>
      <c r="M200" s="15">
        <f t="shared" si="75"/>
        <v>0.54078110730290219</v>
      </c>
      <c r="N200" s="13">
        <f t="shared" si="66"/>
        <v>0</v>
      </c>
      <c r="O200" s="13">
        <f t="shared" si="76"/>
        <v>-4984.993757598917</v>
      </c>
      <c r="P200" s="15">
        <f t="shared" si="67"/>
        <v>-5.2061567073561649E-3</v>
      </c>
      <c r="Q200" s="7">
        <f t="shared" si="77"/>
        <v>957518.96030237607</v>
      </c>
      <c r="R200" s="7">
        <f t="shared" si="78"/>
        <v>962503.95405997499</v>
      </c>
      <c r="S200" s="13">
        <f>IF('BANCO DE DADOS'!$AD$32="Sim",R200,Q200)</f>
        <v>962503.95405997499</v>
      </c>
      <c r="T200" s="9">
        <f t="shared" si="79"/>
        <v>196</v>
      </c>
      <c r="U200" s="18">
        <f t="shared" ca="1" si="80"/>
        <v>50345</v>
      </c>
      <c r="V200" s="24"/>
      <c r="W200" s="24"/>
      <c r="X200" s="24"/>
    </row>
    <row r="201" spans="2:24" x14ac:dyDescent="0.2">
      <c r="B201" s="18">
        <f t="shared" ca="1" si="68"/>
        <v>50345</v>
      </c>
      <c r="C201" s="9">
        <f t="shared" si="81"/>
        <v>197</v>
      </c>
      <c r="D201" s="9"/>
      <c r="E201" s="13">
        <f t="shared" si="69"/>
        <v>2000</v>
      </c>
      <c r="F201" s="14">
        <f t="shared" si="70"/>
        <v>444000</v>
      </c>
      <c r="G201" s="15">
        <f t="shared" si="71"/>
        <v>0.45739735065447967</v>
      </c>
      <c r="H201" s="13">
        <f t="shared" si="72"/>
        <v>6160.7058214846666</v>
      </c>
      <c r="I201" s="13">
        <f t="shared" si="73"/>
        <v>521679.6661238604</v>
      </c>
      <c r="J201" s="15">
        <f t="shared" si="65"/>
        <v>0.54260264934552027</v>
      </c>
      <c r="K201" s="13">
        <f t="shared" si="74"/>
        <v>526709.60154161428</v>
      </c>
      <c r="L201" s="13">
        <f t="shared" si="82"/>
        <v>33535802.023615062</v>
      </c>
      <c r="M201" s="15">
        <f t="shared" si="75"/>
        <v>0.54260264934552027</v>
      </c>
      <c r="N201" s="13">
        <f t="shared" si="66"/>
        <v>0</v>
      </c>
      <c r="O201" s="13">
        <f t="shared" si="76"/>
        <v>-5029.9354177535279</v>
      </c>
      <c r="P201" s="15">
        <f t="shared" si="67"/>
        <v>-5.2086997316026888E-3</v>
      </c>
      <c r="Q201" s="7">
        <f t="shared" si="77"/>
        <v>965679.66612386075</v>
      </c>
      <c r="R201" s="7">
        <f t="shared" si="78"/>
        <v>970709.60154161428</v>
      </c>
      <c r="S201" s="13">
        <f>IF('BANCO DE DADOS'!$AD$32="Sim",R201,Q201)</f>
        <v>970709.60154161428</v>
      </c>
      <c r="T201" s="9">
        <f t="shared" si="79"/>
        <v>197</v>
      </c>
      <c r="U201" s="18">
        <f t="shared" ca="1" si="80"/>
        <v>50375</v>
      </c>
      <c r="V201" s="24"/>
      <c r="W201" s="24"/>
      <c r="X201" s="24"/>
    </row>
    <row r="202" spans="2:24" x14ac:dyDescent="0.2">
      <c r="B202" s="18">
        <f t="shared" ca="1" si="68"/>
        <v>50375</v>
      </c>
      <c r="C202" s="9">
        <f t="shared" si="81"/>
        <v>198</v>
      </c>
      <c r="D202" s="9"/>
      <c r="E202" s="13">
        <f t="shared" si="69"/>
        <v>2000</v>
      </c>
      <c r="F202" s="14">
        <f t="shared" si="70"/>
        <v>446000</v>
      </c>
      <c r="G202" s="15">
        <f t="shared" si="71"/>
        <v>0.45558177567533803</v>
      </c>
      <c r="H202" s="13">
        <f t="shared" si="72"/>
        <v>6213.2120484589796</v>
      </c>
      <c r="I202" s="13">
        <f t="shared" si="73"/>
        <v>527892.87817231938</v>
      </c>
      <c r="J202" s="15">
        <f t="shared" si="65"/>
        <v>0.54441822432466203</v>
      </c>
      <c r="K202" s="13">
        <f t="shared" si="74"/>
        <v>532968.04440622241</v>
      </c>
      <c r="L202" s="13">
        <f t="shared" si="82"/>
        <v>34068770.068021283</v>
      </c>
      <c r="M202" s="15">
        <f t="shared" si="75"/>
        <v>0.54441822432466191</v>
      </c>
      <c r="N202" s="13">
        <f t="shared" si="66"/>
        <v>0</v>
      </c>
      <c r="O202" s="13">
        <f t="shared" si="76"/>
        <v>-5075.1662339026807</v>
      </c>
      <c r="P202" s="15">
        <f t="shared" si="67"/>
        <v>-5.2112160871605482E-3</v>
      </c>
      <c r="Q202" s="7">
        <f t="shared" si="77"/>
        <v>973892.87817231973</v>
      </c>
      <c r="R202" s="7">
        <f t="shared" si="78"/>
        <v>978968.04440622241</v>
      </c>
      <c r="S202" s="13">
        <f>IF('BANCO DE DADOS'!$AD$32="Sim",R202,Q202)</f>
        <v>978968.04440622241</v>
      </c>
      <c r="T202" s="9">
        <f t="shared" si="79"/>
        <v>198</v>
      </c>
      <c r="U202" s="18">
        <f t="shared" ca="1" si="80"/>
        <v>50406</v>
      </c>
      <c r="V202" s="24"/>
      <c r="W202" s="24"/>
      <c r="X202" s="24"/>
    </row>
    <row r="203" spans="2:24" x14ac:dyDescent="0.2">
      <c r="B203" s="18">
        <f t="shared" ca="1" si="68"/>
        <v>50406</v>
      </c>
      <c r="C203" s="9">
        <f t="shared" si="81"/>
        <v>199</v>
      </c>
      <c r="D203" s="9"/>
      <c r="E203" s="13">
        <f t="shared" si="69"/>
        <v>2000</v>
      </c>
      <c r="F203" s="14">
        <f t="shared" si="70"/>
        <v>448000</v>
      </c>
      <c r="G203" s="15">
        <f t="shared" si="71"/>
        <v>0.45377215315937786</v>
      </c>
      <c r="H203" s="13">
        <f t="shared" si="72"/>
        <v>6266.0561020786081</v>
      </c>
      <c r="I203" s="13">
        <f t="shared" si="73"/>
        <v>534158.93427439802</v>
      </c>
      <c r="J203" s="15">
        <f t="shared" si="65"/>
        <v>0.54622784684062209</v>
      </c>
      <c r="K203" s="13">
        <f t="shared" si="74"/>
        <v>539279.62234088324</v>
      </c>
      <c r="L203" s="13">
        <f t="shared" si="82"/>
        <v>34608049.690362163</v>
      </c>
      <c r="M203" s="15">
        <f t="shared" si="75"/>
        <v>0.54622784684062209</v>
      </c>
      <c r="N203" s="13">
        <f t="shared" si="66"/>
        <v>0</v>
      </c>
      <c r="O203" s="13">
        <f t="shared" si="76"/>
        <v>-5120.6880664848723</v>
      </c>
      <c r="P203" s="15">
        <f t="shared" si="67"/>
        <v>-5.2137061404098984E-3</v>
      </c>
      <c r="Q203" s="7">
        <f t="shared" si="77"/>
        <v>982158.93427439837</v>
      </c>
      <c r="R203" s="7">
        <f t="shared" si="78"/>
        <v>987279.62234088324</v>
      </c>
      <c r="S203" s="13">
        <f>IF('BANCO DE DADOS'!$AD$32="Sim",R203,Q203)</f>
        <v>987279.62234088324</v>
      </c>
      <c r="T203" s="9">
        <f t="shared" si="79"/>
        <v>199</v>
      </c>
      <c r="U203" s="18">
        <f t="shared" ca="1" si="80"/>
        <v>50437</v>
      </c>
      <c r="V203" s="24"/>
      <c r="W203" s="24"/>
      <c r="X203" s="24"/>
    </row>
    <row r="204" spans="2:24" x14ac:dyDescent="0.2">
      <c r="B204" s="18">
        <f t="shared" ca="1" si="68"/>
        <v>50437</v>
      </c>
      <c r="C204" s="9">
        <f t="shared" si="81"/>
        <v>200</v>
      </c>
      <c r="D204" s="9"/>
      <c r="E204" s="13">
        <f t="shared" si="69"/>
        <v>2000</v>
      </c>
      <c r="F204" s="14">
        <f t="shared" si="70"/>
        <v>450000</v>
      </c>
      <c r="G204" s="15">
        <f t="shared" si="71"/>
        <v>0.45196846856779171</v>
      </c>
      <c r="H204" s="13">
        <f t="shared" si="72"/>
        <v>6319.2401559303589</v>
      </c>
      <c r="I204" s="13">
        <f t="shared" si="73"/>
        <v>540478.17443032842</v>
      </c>
      <c r="J204" s="15">
        <f t="shared" si="65"/>
        <v>0.54803153143220829</v>
      </c>
      <c r="K204" s="13">
        <f t="shared" si="74"/>
        <v>545644.67721823731</v>
      </c>
      <c r="L204" s="13">
        <f t="shared" si="82"/>
        <v>35153694.367580399</v>
      </c>
      <c r="M204" s="15">
        <f t="shared" si="75"/>
        <v>0.54803153143220829</v>
      </c>
      <c r="N204" s="13">
        <f t="shared" si="66"/>
        <v>0</v>
      </c>
      <c r="O204" s="13">
        <f t="shared" si="76"/>
        <v>-5166.5027879085392</v>
      </c>
      <c r="P204" s="15">
        <f t="shared" si="67"/>
        <v>-5.2161702511820023E-3</v>
      </c>
      <c r="Q204" s="7">
        <f t="shared" si="77"/>
        <v>990478.17443032877</v>
      </c>
      <c r="R204" s="7">
        <f t="shared" si="78"/>
        <v>995644.67721823731</v>
      </c>
      <c r="S204" s="13">
        <f>IF('BANCO DE DADOS'!$AD$32="Sim",R204,Q204)</f>
        <v>995644.67721823731</v>
      </c>
      <c r="T204" s="9">
        <f t="shared" si="79"/>
        <v>200</v>
      </c>
      <c r="U204" s="18">
        <f t="shared" ca="1" si="80"/>
        <v>50465</v>
      </c>
      <c r="V204" s="24"/>
      <c r="W204" s="24"/>
      <c r="X204" s="24"/>
    </row>
    <row r="205" spans="2:24" x14ac:dyDescent="0.2">
      <c r="B205" s="18">
        <f t="shared" ca="1" si="68"/>
        <v>50465</v>
      </c>
      <c r="C205" s="9">
        <f t="shared" si="81"/>
        <v>201</v>
      </c>
      <c r="D205" s="9"/>
      <c r="E205" s="13">
        <f t="shared" si="69"/>
        <v>2000</v>
      </c>
      <c r="F205" s="14">
        <f t="shared" si="70"/>
        <v>452000</v>
      </c>
      <c r="G205" s="15">
        <f t="shared" si="71"/>
        <v>0.45017070742158122</v>
      </c>
      <c r="H205" s="13">
        <f t="shared" si="72"/>
        <v>6372.766397585965</v>
      </c>
      <c r="I205" s="13">
        <f t="shared" si="73"/>
        <v>546850.9408279144</v>
      </c>
      <c r="J205" s="15">
        <f t="shared" si="65"/>
        <v>0.54982929257841873</v>
      </c>
      <c r="K205" s="13">
        <f t="shared" si="74"/>
        <v>552063.5531105441</v>
      </c>
      <c r="L205" s="13">
        <f t="shared" si="82"/>
        <v>35705757.920690946</v>
      </c>
      <c r="M205" s="15">
        <f t="shared" si="75"/>
        <v>0.54982929257841884</v>
      </c>
      <c r="N205" s="13">
        <f t="shared" si="66"/>
        <v>0</v>
      </c>
      <c r="O205" s="13">
        <f t="shared" si="76"/>
        <v>-5212.6122826293577</v>
      </c>
      <c r="P205" s="15">
        <f t="shared" si="67"/>
        <v>-5.2186087729053894E-3</v>
      </c>
      <c r="Q205" s="7">
        <f t="shared" si="77"/>
        <v>998850.94082791475</v>
      </c>
      <c r="R205" s="7">
        <f t="shared" si="78"/>
        <v>1004063.5531105441</v>
      </c>
      <c r="S205" s="13">
        <f>IF('BANCO DE DADOS'!$AD$32="Sim",R205,Q205)</f>
        <v>1004063.5531105441</v>
      </c>
      <c r="T205" s="9">
        <f t="shared" si="79"/>
        <v>201</v>
      </c>
      <c r="U205" s="18">
        <f t="shared" ca="1" si="80"/>
        <v>50496</v>
      </c>
      <c r="V205" s="24"/>
      <c r="W205" s="24"/>
      <c r="X205" s="24"/>
    </row>
    <row r="206" spans="2:24" x14ac:dyDescent="0.2">
      <c r="B206" s="18">
        <f t="shared" ca="1" si="68"/>
        <v>50496</v>
      </c>
      <c r="C206" s="9">
        <f t="shared" si="81"/>
        <v>202</v>
      </c>
      <c r="D206" s="9"/>
      <c r="E206" s="13">
        <f t="shared" si="69"/>
        <v>2000</v>
      </c>
      <c r="F206" s="14">
        <f t="shared" si="70"/>
        <v>454000</v>
      </c>
      <c r="G206" s="15">
        <f t="shared" si="71"/>
        <v>0.44837885529992944</v>
      </c>
      <c r="H206" s="13">
        <f t="shared" si="72"/>
        <v>6426.6370286920583</v>
      </c>
      <c r="I206" s="13">
        <f t="shared" si="73"/>
        <v>553277.57785660645</v>
      </c>
      <c r="J206" s="15">
        <f t="shared" si="65"/>
        <v>0.55162114470007051</v>
      </c>
      <c r="K206" s="13">
        <f t="shared" si="74"/>
        <v>558536.59630383435</v>
      </c>
      <c r="L206" s="13">
        <f t="shared" si="82"/>
        <v>36264294.516994782</v>
      </c>
      <c r="M206" s="15">
        <f t="shared" si="75"/>
        <v>0.55162114470007062</v>
      </c>
      <c r="N206" s="13">
        <f t="shared" si="66"/>
        <v>0</v>
      </c>
      <c r="O206" s="13">
        <f t="shared" si="76"/>
        <v>-5259.0184472275432</v>
      </c>
      <c r="P206" s="15">
        <f t="shared" si="67"/>
        <v>-5.2210220527476115E-3</v>
      </c>
      <c r="Q206" s="7">
        <f t="shared" si="77"/>
        <v>1007277.5778566068</v>
      </c>
      <c r="R206" s="7">
        <f t="shared" si="78"/>
        <v>1012536.5963038343</v>
      </c>
      <c r="S206" s="13">
        <f>IF('BANCO DE DADOS'!$AD$32="Sim",R206,Q206)</f>
        <v>1012536.5963038343</v>
      </c>
      <c r="T206" s="9">
        <f t="shared" si="79"/>
        <v>202</v>
      </c>
      <c r="U206" s="18">
        <f t="shared" ca="1" si="80"/>
        <v>50526</v>
      </c>
      <c r="V206" s="24"/>
      <c r="W206" s="24"/>
      <c r="X206" s="24"/>
    </row>
    <row r="207" spans="2:24" x14ac:dyDescent="0.2">
      <c r="B207" s="18">
        <f t="shared" ca="1" si="68"/>
        <v>50526</v>
      </c>
      <c r="C207" s="9">
        <f t="shared" si="81"/>
        <v>203</v>
      </c>
      <c r="D207" s="9"/>
      <c r="E207" s="13">
        <f t="shared" si="69"/>
        <v>2000</v>
      </c>
      <c r="F207" s="14">
        <f t="shared" si="70"/>
        <v>456000</v>
      </c>
      <c r="G207" s="15">
        <f t="shared" si="71"/>
        <v>0.44659289783862249</v>
      </c>
      <c r="H207" s="13">
        <f t="shared" si="72"/>
        <v>6480.8542650607324</v>
      </c>
      <c r="I207" s="13">
        <f t="shared" si="73"/>
        <v>559758.4321216672</v>
      </c>
      <c r="J207" s="15">
        <f t="shared" si="65"/>
        <v>0.55340710216137756</v>
      </c>
      <c r="K207" s="13">
        <f t="shared" si="74"/>
        <v>565064.15531215363</v>
      </c>
      <c r="L207" s="13">
        <f t="shared" si="82"/>
        <v>36829358.672306933</v>
      </c>
      <c r="M207" s="15">
        <f t="shared" si="75"/>
        <v>0.55340710216137745</v>
      </c>
      <c r="N207" s="13">
        <f t="shared" si="66"/>
        <v>0</v>
      </c>
      <c r="O207" s="13">
        <f t="shared" si="76"/>
        <v>-5305.7231904860819</v>
      </c>
      <c r="P207" s="15">
        <f t="shared" si="67"/>
        <v>-5.2234104317536809E-3</v>
      </c>
      <c r="Q207" s="7">
        <f t="shared" si="77"/>
        <v>1015758.4321216675</v>
      </c>
      <c r="R207" s="7">
        <f t="shared" si="78"/>
        <v>1021064.1553121536</v>
      </c>
      <c r="S207" s="13">
        <f>IF('BANCO DE DADOS'!$AD$32="Sim",R207,Q207)</f>
        <v>1021064.1553121536</v>
      </c>
      <c r="T207" s="9">
        <f t="shared" si="79"/>
        <v>203</v>
      </c>
      <c r="U207" s="18">
        <f t="shared" ca="1" si="80"/>
        <v>50557</v>
      </c>
      <c r="V207" s="24"/>
      <c r="W207" s="24"/>
      <c r="X207" s="24"/>
    </row>
    <row r="208" spans="2:24" x14ac:dyDescent="0.2">
      <c r="B208" s="18">
        <f t="shared" ca="1" si="68"/>
        <v>50557</v>
      </c>
      <c r="C208" s="9">
        <f t="shared" si="81"/>
        <v>204</v>
      </c>
      <c r="D208" s="9">
        <v>17</v>
      </c>
      <c r="E208" s="13">
        <f t="shared" si="69"/>
        <v>2000</v>
      </c>
      <c r="F208" s="14">
        <f t="shared" si="70"/>
        <v>458000</v>
      </c>
      <c r="G208" s="15">
        <f t="shared" si="71"/>
        <v>0.44481282072851897</v>
      </c>
      <c r="H208" s="13">
        <f t="shared" si="72"/>
        <v>6535.4203367606842</v>
      </c>
      <c r="I208" s="13">
        <f t="shared" si="73"/>
        <v>566293.85245842789</v>
      </c>
      <c r="J208" s="15">
        <f t="shared" si="65"/>
        <v>0.55518717927148109</v>
      </c>
      <c r="K208" s="13">
        <f t="shared" si="74"/>
        <v>571646.5808918972</v>
      </c>
      <c r="L208" s="13">
        <f t="shared" si="82"/>
        <v>37401005.253198832</v>
      </c>
      <c r="M208" s="15">
        <f t="shared" si="75"/>
        <v>0.55518717927148098</v>
      </c>
      <c r="N208" s="13">
        <f t="shared" si="66"/>
        <v>0</v>
      </c>
      <c r="O208" s="13">
        <f t="shared" si="76"/>
        <v>-5352.7284334689612</v>
      </c>
      <c r="P208" s="15">
        <f t="shared" si="67"/>
        <v>-5.2257742449803544E-3</v>
      </c>
      <c r="Q208" s="7">
        <f t="shared" si="77"/>
        <v>1024293.8524584282</v>
      </c>
      <c r="R208" s="7">
        <f t="shared" si="78"/>
        <v>1029646.5808918972</v>
      </c>
      <c r="S208" s="13">
        <f>IF('BANCO DE DADOS'!$AD$32="Sim",R208,Q208)</f>
        <v>1029646.5808918972</v>
      </c>
      <c r="T208" s="9">
        <f t="shared" si="79"/>
        <v>204</v>
      </c>
      <c r="U208" s="18">
        <f t="shared" ca="1" si="80"/>
        <v>50587</v>
      </c>
      <c r="V208" s="24"/>
      <c r="W208" s="24"/>
      <c r="X208" s="24"/>
    </row>
    <row r="209" spans="2:24" x14ac:dyDescent="0.2">
      <c r="B209" s="18">
        <f t="shared" ca="1" si="68"/>
        <v>50587</v>
      </c>
      <c r="C209" s="9">
        <f t="shared" si="81"/>
        <v>205</v>
      </c>
      <c r="D209" s="9"/>
      <c r="E209" s="13">
        <f t="shared" si="69"/>
        <v>2000</v>
      </c>
      <c r="F209" s="14">
        <f t="shared" si="70"/>
        <v>460000</v>
      </c>
      <c r="G209" s="15">
        <f t="shared" si="71"/>
        <v>0.44303860971406545</v>
      </c>
      <c r="H209" s="13">
        <f t="shared" si="72"/>
        <v>6590.3374882089383</v>
      </c>
      <c r="I209" s="13">
        <f t="shared" si="73"/>
        <v>572884.18994663679</v>
      </c>
      <c r="J209" s="15">
        <f t="shared" si="65"/>
        <v>0.5569613902859345</v>
      </c>
      <c r="K209" s="13">
        <f t="shared" si="74"/>
        <v>578284.22605623771</v>
      </c>
      <c r="L209" s="13">
        <f t="shared" si="82"/>
        <v>37979289.479255073</v>
      </c>
      <c r="M209" s="15">
        <f t="shared" si="75"/>
        <v>0.5569613902859345</v>
      </c>
      <c r="N209" s="13">
        <f t="shared" si="66"/>
        <v>0</v>
      </c>
      <c r="O209" s="13">
        <f t="shared" si="76"/>
        <v>-5400.0361096005654</v>
      </c>
      <c r="P209" s="15">
        <f t="shared" si="67"/>
        <v>-5.2281138216275268E-3</v>
      </c>
      <c r="Q209" s="7">
        <f t="shared" si="77"/>
        <v>1032884.1899466371</v>
      </c>
      <c r="R209" s="7">
        <f t="shared" si="78"/>
        <v>1038284.2260562377</v>
      </c>
      <c r="S209" s="13">
        <f>IF('BANCO DE DADOS'!$AD$32="Sim",R209,Q209)</f>
        <v>1038284.2260562377</v>
      </c>
      <c r="T209" s="9">
        <f t="shared" si="79"/>
        <v>205</v>
      </c>
      <c r="U209" s="18">
        <f t="shared" ca="1" si="80"/>
        <v>50618</v>
      </c>
      <c r="V209" s="24"/>
      <c r="W209" s="24"/>
      <c r="X209" s="24"/>
    </row>
    <row r="210" spans="2:24" x14ac:dyDescent="0.2">
      <c r="B210" s="18">
        <f t="shared" ca="1" si="68"/>
        <v>50618</v>
      </c>
      <c r="C210" s="9">
        <f t="shared" si="81"/>
        <v>206</v>
      </c>
      <c r="D210" s="9"/>
      <c r="E210" s="13">
        <f t="shared" si="69"/>
        <v>2000</v>
      </c>
      <c r="F210" s="14">
        <f t="shared" si="70"/>
        <v>462000</v>
      </c>
      <c r="G210" s="15">
        <f t="shared" si="71"/>
        <v>0.44127025059185682</v>
      </c>
      <c r="H210" s="13">
        <f t="shared" si="72"/>
        <v>6645.6079782631659</v>
      </c>
      <c r="I210" s="13">
        <f t="shared" si="73"/>
        <v>579529.79792489996</v>
      </c>
      <c r="J210" s="15">
        <f t="shared" si="65"/>
        <v>0.55872974940814313</v>
      </c>
      <c r="K210" s="13">
        <f t="shared" si="74"/>
        <v>584977.44608964515</v>
      </c>
      <c r="L210" s="13">
        <f t="shared" si="82"/>
        <v>38564266.92534472</v>
      </c>
      <c r="M210" s="15">
        <f t="shared" si="75"/>
        <v>0.55872974940814313</v>
      </c>
      <c r="N210" s="13">
        <f t="shared" si="66"/>
        <v>0</v>
      </c>
      <c r="O210" s="13">
        <f t="shared" si="76"/>
        <v>-5447.6481647448381</v>
      </c>
      <c r="P210" s="15">
        <f t="shared" si="67"/>
        <v>-5.2304294851654755E-3</v>
      </c>
      <c r="Q210" s="7">
        <f t="shared" si="77"/>
        <v>1041529.7979249003</v>
      </c>
      <c r="R210" s="7">
        <f t="shared" si="78"/>
        <v>1046977.4460896451</v>
      </c>
      <c r="S210" s="13">
        <f>IF('BANCO DE DADOS'!$AD$32="Sim",R210,Q210)</f>
        <v>1046977.4460896451</v>
      </c>
      <c r="T210" s="9">
        <f t="shared" si="79"/>
        <v>206</v>
      </c>
      <c r="U210" s="18">
        <f t="shared" ca="1" si="80"/>
        <v>50649</v>
      </c>
      <c r="V210" s="24"/>
      <c r="W210" s="24"/>
      <c r="X210" s="24"/>
    </row>
    <row r="211" spans="2:24" x14ac:dyDescent="0.2">
      <c r="B211" s="18">
        <f t="shared" ca="1" si="68"/>
        <v>50649</v>
      </c>
      <c r="C211" s="9">
        <f t="shared" si="81"/>
        <v>207</v>
      </c>
      <c r="D211" s="9"/>
      <c r="E211" s="13">
        <f t="shared" si="69"/>
        <v>2000</v>
      </c>
      <c r="F211" s="14">
        <f t="shared" si="70"/>
        <v>464000</v>
      </c>
      <c r="G211" s="15">
        <f t="shared" si="71"/>
        <v>0.43950772920924053</v>
      </c>
      <c r="H211" s="13">
        <f t="shared" si="72"/>
        <v>6701.2340803145971</v>
      </c>
      <c r="I211" s="13">
        <f t="shared" si="73"/>
        <v>586231.0320052146</v>
      </c>
      <c r="J211" s="15">
        <f t="shared" si="65"/>
        <v>0.56049227079075947</v>
      </c>
      <c r="K211" s="13">
        <f t="shared" si="74"/>
        <v>591726.59856250044</v>
      </c>
      <c r="L211" s="13">
        <f t="shared" si="82"/>
        <v>39155993.523907222</v>
      </c>
      <c r="M211" s="15">
        <f t="shared" si="75"/>
        <v>0.56049227079075947</v>
      </c>
      <c r="N211" s="13">
        <f t="shared" si="66"/>
        <v>0</v>
      </c>
      <c r="O211" s="13">
        <f t="shared" si="76"/>
        <v>-5495.5665572856087</v>
      </c>
      <c r="P211" s="15">
        <f t="shared" si="67"/>
        <v>-5.2327215534594112E-3</v>
      </c>
      <c r="Q211" s="7">
        <f t="shared" si="77"/>
        <v>1050231.0320052148</v>
      </c>
      <c r="R211" s="7">
        <f t="shared" si="78"/>
        <v>1055726.5985625004</v>
      </c>
      <c r="S211" s="13">
        <f>IF('BANCO DE DADOS'!$AD$32="Sim",R211,Q211)</f>
        <v>1055726.5985625004</v>
      </c>
      <c r="T211" s="9">
        <f t="shared" si="79"/>
        <v>207</v>
      </c>
      <c r="U211" s="18">
        <f t="shared" ca="1" si="80"/>
        <v>50679</v>
      </c>
      <c r="V211" s="24"/>
      <c r="W211" s="24"/>
      <c r="X211" s="24"/>
    </row>
    <row r="212" spans="2:24" x14ac:dyDescent="0.2">
      <c r="B212" s="18">
        <f t="shared" ca="1" si="68"/>
        <v>50679</v>
      </c>
      <c r="C212" s="9">
        <f t="shared" si="81"/>
        <v>208</v>
      </c>
      <c r="D212" s="9"/>
      <c r="E212" s="13">
        <f t="shared" si="69"/>
        <v>2000</v>
      </c>
      <c r="F212" s="14">
        <f t="shared" si="70"/>
        <v>466000</v>
      </c>
      <c r="G212" s="15">
        <f t="shared" si="71"/>
        <v>0.43775103146296207</v>
      </c>
      <c r="H212" s="13">
        <f t="shared" si="72"/>
        <v>6757.2180823815288</v>
      </c>
      <c r="I212" s="13">
        <f t="shared" si="73"/>
        <v>592988.25008759613</v>
      </c>
      <c r="J212" s="15">
        <f t="shared" si="65"/>
        <v>0.56224896853703799</v>
      </c>
      <c r="K212" s="13">
        <f t="shared" si="74"/>
        <v>598532.04334580316</v>
      </c>
      <c r="L212" s="13">
        <f t="shared" si="82"/>
        <v>39754525.567253023</v>
      </c>
      <c r="M212" s="15">
        <f t="shared" si="75"/>
        <v>0.56224896853703787</v>
      </c>
      <c r="N212" s="13">
        <f t="shared" si="66"/>
        <v>0</v>
      </c>
      <c r="O212" s="13">
        <f t="shared" si="76"/>
        <v>-5543.793258206686</v>
      </c>
      <c r="P212" s="15">
        <f t="shared" si="67"/>
        <v>-5.2349903388900863E-3</v>
      </c>
      <c r="Q212" s="7">
        <f t="shared" si="77"/>
        <v>1058988.2500875965</v>
      </c>
      <c r="R212" s="7">
        <f t="shared" si="78"/>
        <v>1064532.0433458032</v>
      </c>
      <c r="S212" s="13">
        <f>IF('BANCO DE DADOS'!$AD$32="Sim",R212,Q212)</f>
        <v>1064532.0433458032</v>
      </c>
      <c r="T212" s="9">
        <f t="shared" si="79"/>
        <v>208</v>
      </c>
      <c r="U212" s="18">
        <f t="shared" ca="1" si="80"/>
        <v>50710</v>
      </c>
      <c r="V212" s="24"/>
      <c r="W212" s="24"/>
      <c r="X212" s="24"/>
    </row>
    <row r="213" spans="2:24" x14ac:dyDescent="0.2">
      <c r="B213" s="18">
        <f t="shared" ca="1" si="68"/>
        <v>50710</v>
      </c>
      <c r="C213" s="9">
        <f t="shared" si="81"/>
        <v>209</v>
      </c>
      <c r="D213" s="9"/>
      <c r="E213" s="13">
        <f t="shared" si="69"/>
        <v>2000</v>
      </c>
      <c r="F213" s="14">
        <f t="shared" si="70"/>
        <v>468000</v>
      </c>
      <c r="G213" s="15">
        <f t="shared" si="71"/>
        <v>0.43600014329785253</v>
      </c>
      <c r="H213" s="13">
        <f t="shared" si="72"/>
        <v>6813.5622872034382</v>
      </c>
      <c r="I213" s="13">
        <f t="shared" si="73"/>
        <v>599801.81237479951</v>
      </c>
      <c r="J213" s="15">
        <f t="shared" si="65"/>
        <v>0.56399985670214747</v>
      </c>
      <c r="K213" s="13">
        <f t="shared" si="74"/>
        <v>605394.14262597356</v>
      </c>
      <c r="L213" s="13">
        <f t="shared" si="82"/>
        <v>40359919.709878996</v>
      </c>
      <c r="M213" s="15">
        <f t="shared" si="75"/>
        <v>0.56399985670214747</v>
      </c>
      <c r="N213" s="13">
        <f t="shared" si="66"/>
        <v>0</v>
      </c>
      <c r="O213" s="13">
        <f t="shared" si="76"/>
        <v>-5592.3302511735819</v>
      </c>
      <c r="P213" s="15">
        <f t="shared" si="67"/>
        <v>-5.2372361484723405E-3</v>
      </c>
      <c r="Q213" s="7">
        <f t="shared" si="77"/>
        <v>1067801.8123748</v>
      </c>
      <c r="R213" s="7">
        <f t="shared" si="78"/>
        <v>1073394.1426259736</v>
      </c>
      <c r="S213" s="13">
        <f>IF('BANCO DE DADOS'!$AD$32="Sim",R213,Q213)</f>
        <v>1073394.1426259736</v>
      </c>
      <c r="T213" s="9">
        <f t="shared" si="79"/>
        <v>209</v>
      </c>
      <c r="U213" s="18">
        <f t="shared" ca="1" si="80"/>
        <v>50740</v>
      </c>
      <c r="V213" s="24"/>
      <c r="W213" s="24"/>
      <c r="X213" s="24"/>
    </row>
    <row r="214" spans="2:24" x14ac:dyDescent="0.2">
      <c r="B214" s="18">
        <f t="shared" ca="1" si="68"/>
        <v>50740</v>
      </c>
      <c r="C214" s="9">
        <f t="shared" si="81"/>
        <v>210</v>
      </c>
      <c r="D214" s="9"/>
      <c r="E214" s="13">
        <f t="shared" si="69"/>
        <v>2000</v>
      </c>
      <c r="F214" s="14">
        <f t="shared" si="70"/>
        <v>470000</v>
      </c>
      <c r="G214" s="15">
        <f t="shared" si="71"/>
        <v>0.43425505070555426</v>
      </c>
      <c r="H214" s="13">
        <f t="shared" si="72"/>
        <v>6870.269012335697</v>
      </c>
      <c r="I214" s="13">
        <f t="shared" si="73"/>
        <v>606672.0813871352</v>
      </c>
      <c r="J214" s="15">
        <f t="shared" si="65"/>
        <v>0.56574494929444574</v>
      </c>
      <c r="K214" s="13">
        <f t="shared" si="74"/>
        <v>612313.26091975044</v>
      </c>
      <c r="L214" s="13">
        <f t="shared" si="82"/>
        <v>40972232.970798746</v>
      </c>
      <c r="M214" s="15">
        <f t="shared" si="75"/>
        <v>0.56574494929444574</v>
      </c>
      <c r="N214" s="13">
        <f t="shared" si="66"/>
        <v>0</v>
      </c>
      <c r="O214" s="13">
        <f t="shared" si="76"/>
        <v>-5641.1795326147694</v>
      </c>
      <c r="P214" s="15">
        <f t="shared" si="67"/>
        <v>-5.2394592839696639E-3</v>
      </c>
      <c r="Q214" s="7">
        <f t="shared" si="77"/>
        <v>1076672.0813871357</v>
      </c>
      <c r="R214" s="7">
        <f t="shared" si="78"/>
        <v>1082313.2609197504</v>
      </c>
      <c r="S214" s="13">
        <f>IF('BANCO DE DADOS'!$AD$32="Sim",R214,Q214)</f>
        <v>1082313.2609197504</v>
      </c>
      <c r="T214" s="9">
        <f t="shared" si="79"/>
        <v>210</v>
      </c>
      <c r="U214" s="18">
        <f t="shared" ca="1" si="80"/>
        <v>50771</v>
      </c>
      <c r="V214" s="24"/>
      <c r="W214" s="24"/>
      <c r="X214" s="24"/>
    </row>
    <row r="215" spans="2:24" x14ac:dyDescent="0.2">
      <c r="B215" s="18">
        <f t="shared" ca="1" si="68"/>
        <v>50771</v>
      </c>
      <c r="C215" s="9">
        <f t="shared" si="81"/>
        <v>211</v>
      </c>
      <c r="D215" s="9"/>
      <c r="E215" s="13">
        <f t="shared" si="69"/>
        <v>2000</v>
      </c>
      <c r="F215" s="14">
        <f t="shared" si="70"/>
        <v>472000</v>
      </c>
      <c r="G215" s="15">
        <f t="shared" si="71"/>
        <v>0.4325157397232865</v>
      </c>
      <c r="H215" s="13">
        <f t="shared" si="72"/>
        <v>6927.3405902448949</v>
      </c>
      <c r="I215" s="13">
        <f t="shared" si="73"/>
        <v>613599.42197738006</v>
      </c>
      <c r="J215" s="15">
        <f t="shared" si="65"/>
        <v>0.5674842602767135</v>
      </c>
      <c r="K215" s="13">
        <f t="shared" si="74"/>
        <v>619289.76508918405</v>
      </c>
      <c r="L215" s="13">
        <f t="shared" si="82"/>
        <v>41591522.73588793</v>
      </c>
      <c r="M215" s="15">
        <f t="shared" si="75"/>
        <v>0.5674842602767135</v>
      </c>
      <c r="N215" s="13">
        <f t="shared" si="66"/>
        <v>0</v>
      </c>
      <c r="O215" s="13">
        <f t="shared" si="76"/>
        <v>-5690.3431118035223</v>
      </c>
      <c r="P215" s="15">
        <f t="shared" si="67"/>
        <v>-5.2416600420058862E-3</v>
      </c>
      <c r="Q215" s="7">
        <f t="shared" si="77"/>
        <v>1085599.4219773805</v>
      </c>
      <c r="R215" s="7">
        <f t="shared" si="78"/>
        <v>1091289.765089184</v>
      </c>
      <c r="S215" s="13">
        <f>IF('BANCO DE DADOS'!$AD$32="Sim",R215,Q215)</f>
        <v>1091289.765089184</v>
      </c>
      <c r="T215" s="9">
        <f t="shared" si="79"/>
        <v>211</v>
      </c>
      <c r="U215" s="18">
        <f t="shared" ca="1" si="80"/>
        <v>50802</v>
      </c>
      <c r="V215" s="24"/>
      <c r="W215" s="24"/>
      <c r="X215" s="24"/>
    </row>
    <row r="216" spans="2:24" x14ac:dyDescent="0.2">
      <c r="B216" s="18">
        <f t="shared" ca="1" si="68"/>
        <v>50802</v>
      </c>
      <c r="C216" s="9">
        <f t="shared" si="81"/>
        <v>212</v>
      </c>
      <c r="D216" s="9"/>
      <c r="E216" s="13">
        <f t="shared" si="69"/>
        <v>2000</v>
      </c>
      <c r="F216" s="14">
        <f t="shared" si="70"/>
        <v>474000</v>
      </c>
      <c r="G216" s="15">
        <f t="shared" si="71"/>
        <v>0.43078219643264704</v>
      </c>
      <c r="H216" s="13">
        <f t="shared" si="72"/>
        <v>6984.7793684047856</v>
      </c>
      <c r="I216" s="13">
        <f t="shared" si="73"/>
        <v>620584.20134578482</v>
      </c>
      <c r="J216" s="15">
        <f t="shared" si="65"/>
        <v>0.56921780356735296</v>
      </c>
      <c r="K216" s="13">
        <f t="shared" si="74"/>
        <v>626324.02435672632</v>
      </c>
      <c r="L216" s="13">
        <f t="shared" si="82"/>
        <v>42217846.760244653</v>
      </c>
      <c r="M216" s="15">
        <f t="shared" si="75"/>
        <v>0.56921780356735296</v>
      </c>
      <c r="N216" s="13">
        <f t="shared" si="66"/>
        <v>0</v>
      </c>
      <c r="O216" s="13">
        <f t="shared" si="76"/>
        <v>-5739.823010941036</v>
      </c>
      <c r="P216" s="15">
        <f t="shared" si="67"/>
        <v>-5.2438387141747114E-3</v>
      </c>
      <c r="Q216" s="7">
        <f t="shared" si="77"/>
        <v>1094584.2013457853</v>
      </c>
      <c r="R216" s="7">
        <f t="shared" si="78"/>
        <v>1100324.0243567263</v>
      </c>
      <c r="S216" s="13">
        <f>IF('BANCO DE DADOS'!$AD$32="Sim",R216,Q216)</f>
        <v>1100324.0243567263</v>
      </c>
      <c r="T216" s="9">
        <f t="shared" si="79"/>
        <v>212</v>
      </c>
      <c r="U216" s="18">
        <f t="shared" ca="1" si="80"/>
        <v>50830</v>
      </c>
      <c r="V216" s="24"/>
      <c r="W216" s="24"/>
      <c r="X216" s="24"/>
    </row>
    <row r="217" spans="2:24" x14ac:dyDescent="0.2">
      <c r="B217" s="18">
        <f t="shared" ca="1" si="68"/>
        <v>50830</v>
      </c>
      <c r="C217" s="9">
        <f t="shared" si="81"/>
        <v>213</v>
      </c>
      <c r="D217" s="9"/>
      <c r="E217" s="13">
        <f t="shared" si="69"/>
        <v>2000</v>
      </c>
      <c r="F217" s="14">
        <f t="shared" si="70"/>
        <v>476000</v>
      </c>
      <c r="G217" s="15">
        <f t="shared" si="71"/>
        <v>0.42905440695845065</v>
      </c>
      <c r="H217" s="13">
        <f t="shared" si="72"/>
        <v>7042.5877093928402</v>
      </c>
      <c r="I217" s="13">
        <f t="shared" si="73"/>
        <v>627626.78905517771</v>
      </c>
      <c r="J217" s="15">
        <f t="shared" si="65"/>
        <v>0.57094559304154935</v>
      </c>
      <c r="K217" s="13">
        <f t="shared" si="74"/>
        <v>633416.41032041772</v>
      </c>
      <c r="L217" s="13">
        <f t="shared" si="82"/>
        <v>42851263.170565069</v>
      </c>
      <c r="M217" s="15">
        <f t="shared" si="75"/>
        <v>0.57094559304154935</v>
      </c>
      <c r="N217" s="13">
        <f t="shared" si="66"/>
        <v>0</v>
      </c>
      <c r="O217" s="13">
        <f t="shared" si="76"/>
        <v>-5789.6212652395479</v>
      </c>
      <c r="P217" s="15">
        <f t="shared" si="67"/>
        <v>-5.2459955871459766E-3</v>
      </c>
      <c r="Q217" s="7">
        <f t="shared" si="77"/>
        <v>1103626.7890551782</v>
      </c>
      <c r="R217" s="7">
        <f t="shared" si="78"/>
        <v>1109416.4103204177</v>
      </c>
      <c r="S217" s="13">
        <f>IF('BANCO DE DADOS'!$AD$32="Sim",R217,Q217)</f>
        <v>1109416.4103204177</v>
      </c>
      <c r="T217" s="9">
        <f t="shared" si="79"/>
        <v>213</v>
      </c>
      <c r="U217" s="18">
        <f t="shared" ca="1" si="80"/>
        <v>50861</v>
      </c>
      <c r="V217" s="24"/>
      <c r="W217" s="24"/>
      <c r="X217" s="24"/>
    </row>
    <row r="218" spans="2:24" x14ac:dyDescent="0.2">
      <c r="B218" s="18">
        <f t="shared" ca="1" si="68"/>
        <v>50861</v>
      </c>
      <c r="C218" s="9">
        <f t="shared" si="81"/>
        <v>214</v>
      </c>
      <c r="D218" s="9"/>
      <c r="E218" s="13">
        <f t="shared" si="69"/>
        <v>2000</v>
      </c>
      <c r="F218" s="14">
        <f t="shared" si="70"/>
        <v>478000</v>
      </c>
      <c r="G218" s="15">
        <f t="shared" si="71"/>
        <v>0.42733235746760273</v>
      </c>
      <c r="H218" s="13">
        <f t="shared" si="72"/>
        <v>7100.7679909874205</v>
      </c>
      <c r="I218" s="13">
        <f t="shared" si="73"/>
        <v>634727.55704616511</v>
      </c>
      <c r="J218" s="15">
        <f t="shared" si="65"/>
        <v>0.57266764253239733</v>
      </c>
      <c r="K218" s="13">
        <f t="shared" si="74"/>
        <v>640567.29696917115</v>
      </c>
      <c r="L218" s="13">
        <f t="shared" si="82"/>
        <v>43491830.467534237</v>
      </c>
      <c r="M218" s="15">
        <f t="shared" si="75"/>
        <v>0.57266764253239721</v>
      </c>
      <c r="N218" s="13">
        <f t="shared" si="66"/>
        <v>0</v>
      </c>
      <c r="O218" s="13">
        <f t="shared" si="76"/>
        <v>-5839.739923005458</v>
      </c>
      <c r="P218" s="15">
        <f t="shared" si="67"/>
        <v>-5.2481309427687469E-3</v>
      </c>
      <c r="Q218" s="7">
        <f t="shared" si="77"/>
        <v>1112727.5570461657</v>
      </c>
      <c r="R218" s="7">
        <f t="shared" si="78"/>
        <v>1118567.2969691711</v>
      </c>
      <c r="S218" s="13">
        <f>IF('BANCO DE DADOS'!$AD$32="Sim",R218,Q218)</f>
        <v>1118567.2969691711</v>
      </c>
      <c r="T218" s="9">
        <f t="shared" si="79"/>
        <v>214</v>
      </c>
      <c r="U218" s="18">
        <f t="shared" ca="1" si="80"/>
        <v>50891</v>
      </c>
      <c r="V218" s="24"/>
      <c r="W218" s="24"/>
      <c r="X218" s="24"/>
    </row>
    <row r="219" spans="2:24" x14ac:dyDescent="0.2">
      <c r="B219" s="18">
        <f t="shared" ca="1" si="68"/>
        <v>50891</v>
      </c>
      <c r="C219" s="9">
        <f t="shared" si="81"/>
        <v>215</v>
      </c>
      <c r="D219" s="9"/>
      <c r="E219" s="13">
        <f t="shared" si="69"/>
        <v>2000</v>
      </c>
      <c r="F219" s="14">
        <f t="shared" si="70"/>
        <v>480000</v>
      </c>
      <c r="G219" s="15">
        <f t="shared" si="71"/>
        <v>0.42561603416800625</v>
      </c>
      <c r="H219" s="13">
        <f t="shared" si="72"/>
        <v>7159.3226062655895</v>
      </c>
      <c r="I219" s="13">
        <f t="shared" si="73"/>
        <v>641886.87965243065</v>
      </c>
      <c r="J219" s="15">
        <f t="shared" si="65"/>
        <v>0.5743839658319938</v>
      </c>
      <c r="K219" s="13">
        <f t="shared" si="74"/>
        <v>647777.06069815601</v>
      </c>
      <c r="L219" s="13">
        <f t="shared" si="82"/>
        <v>44139607.528232396</v>
      </c>
      <c r="M219" s="15">
        <f t="shared" si="75"/>
        <v>0.5743839658319938</v>
      </c>
      <c r="N219" s="13">
        <f t="shared" si="66"/>
        <v>0</v>
      </c>
      <c r="O219" s="13">
        <f t="shared" si="76"/>
        <v>-5890.1810457247775</v>
      </c>
      <c r="P219" s="15">
        <f t="shared" si="67"/>
        <v>-5.2502450581734215E-3</v>
      </c>
      <c r="Q219" s="7">
        <f t="shared" si="77"/>
        <v>1121886.8796524312</v>
      </c>
      <c r="R219" s="7">
        <f t="shared" si="78"/>
        <v>1127777.060698156</v>
      </c>
      <c r="S219" s="13">
        <f>IF('BANCO DE DADOS'!$AD$32="Sim",R219,Q219)</f>
        <v>1127777.060698156</v>
      </c>
      <c r="T219" s="9">
        <f t="shared" si="79"/>
        <v>215</v>
      </c>
      <c r="U219" s="18">
        <f t="shared" ca="1" si="80"/>
        <v>50922</v>
      </c>
      <c r="V219" s="24"/>
      <c r="W219" s="24"/>
      <c r="X219" s="24"/>
    </row>
    <row r="220" spans="2:24" x14ac:dyDescent="0.2">
      <c r="B220" s="18">
        <f t="shared" ca="1" si="68"/>
        <v>50922</v>
      </c>
      <c r="C220" s="9">
        <f t="shared" si="81"/>
        <v>216</v>
      </c>
      <c r="D220" s="9">
        <v>18</v>
      </c>
      <c r="E220" s="13">
        <f t="shared" si="69"/>
        <v>2000</v>
      </c>
      <c r="F220" s="14">
        <f t="shared" si="70"/>
        <v>482000</v>
      </c>
      <c r="G220" s="15">
        <f t="shared" si="71"/>
        <v>0.42390542330750247</v>
      </c>
      <c r="H220" s="13">
        <f t="shared" si="72"/>
        <v>7218.253963701537</v>
      </c>
      <c r="I220" s="13">
        <f t="shared" si="73"/>
        <v>649105.1336161322</v>
      </c>
      <c r="J220" s="15">
        <f t="shared" si="65"/>
        <v>0.57609457669249753</v>
      </c>
      <c r="K220" s="13">
        <f t="shared" si="74"/>
        <v>655046.08032427914</v>
      </c>
      <c r="L220" s="13">
        <f t="shared" si="82"/>
        <v>44794653.608556673</v>
      </c>
      <c r="M220" s="15">
        <f t="shared" si="75"/>
        <v>0.57609457669249753</v>
      </c>
      <c r="N220" s="13">
        <f t="shared" si="66"/>
        <v>0</v>
      </c>
      <c r="O220" s="13">
        <f t="shared" si="76"/>
        <v>-5940.9467081464827</v>
      </c>
      <c r="P220" s="15">
        <f t="shared" si="67"/>
        <v>-5.2523382058689196E-3</v>
      </c>
      <c r="Q220" s="7">
        <f t="shared" si="77"/>
        <v>1131105.1336161327</v>
      </c>
      <c r="R220" s="7">
        <f t="shared" si="78"/>
        <v>1137046.0803242791</v>
      </c>
      <c r="S220" s="13">
        <f>IF('BANCO DE DADOS'!$AD$32="Sim",R220,Q220)</f>
        <v>1137046.0803242791</v>
      </c>
      <c r="T220" s="9">
        <f t="shared" si="79"/>
        <v>216</v>
      </c>
      <c r="U220" s="18">
        <f t="shared" ca="1" si="80"/>
        <v>50952</v>
      </c>
      <c r="V220" s="24"/>
      <c r="W220" s="24"/>
      <c r="X220" s="24"/>
    </row>
    <row r="221" spans="2:24" x14ac:dyDescent="0.2">
      <c r="B221" s="18">
        <f t="shared" ca="1" si="68"/>
        <v>50952</v>
      </c>
      <c r="C221" s="9">
        <f t="shared" si="81"/>
        <v>217</v>
      </c>
      <c r="D221" s="9"/>
      <c r="E221" s="13">
        <f t="shared" si="69"/>
        <v>2000</v>
      </c>
      <c r="F221" s="14">
        <f t="shared" si="70"/>
        <v>484000</v>
      </c>
      <c r="G221" s="15">
        <f t="shared" si="71"/>
        <v>0.42220051117284341</v>
      </c>
      <c r="H221" s="13">
        <f t="shared" si="72"/>
        <v>7277.5644872656503</v>
      </c>
      <c r="I221" s="13">
        <f t="shared" si="73"/>
        <v>656382.69810339785</v>
      </c>
      <c r="J221" s="15">
        <f t="shared" si="65"/>
        <v>0.57779948882715659</v>
      </c>
      <c r="K221" s="13">
        <f t="shared" si="74"/>
        <v>662374.73710176698</v>
      </c>
      <c r="L221" s="13">
        <f t="shared" si="82"/>
        <v>45457028.345658436</v>
      </c>
      <c r="M221" s="15">
        <f t="shared" si="75"/>
        <v>0.57779948882715659</v>
      </c>
      <c r="N221" s="13">
        <f t="shared" si="66"/>
        <v>0</v>
      </c>
      <c r="O221" s="13">
        <f t="shared" si="76"/>
        <v>-5992.0389983686619</v>
      </c>
      <c r="P221" s="15">
        <f t="shared" si="67"/>
        <v>-5.2544106538394402E-3</v>
      </c>
      <c r="Q221" s="7">
        <f t="shared" si="77"/>
        <v>1140382.6981033983</v>
      </c>
      <c r="R221" s="7">
        <f t="shared" si="78"/>
        <v>1146374.737101767</v>
      </c>
      <c r="S221" s="13">
        <f>IF('BANCO DE DADOS'!$AD$32="Sim",R221,Q221)</f>
        <v>1146374.737101767</v>
      </c>
      <c r="T221" s="9">
        <f t="shared" si="79"/>
        <v>217</v>
      </c>
      <c r="U221" s="18">
        <f t="shared" ca="1" si="80"/>
        <v>50983</v>
      </c>
      <c r="V221" s="24"/>
      <c r="W221" s="24"/>
      <c r="X221" s="24"/>
    </row>
    <row r="222" spans="2:24" x14ac:dyDescent="0.2">
      <c r="B222" s="18">
        <f t="shared" ca="1" si="68"/>
        <v>50983</v>
      </c>
      <c r="C222" s="9">
        <f t="shared" si="81"/>
        <v>218</v>
      </c>
      <c r="D222" s="9"/>
      <c r="E222" s="13">
        <f t="shared" si="69"/>
        <v>2000</v>
      </c>
      <c r="F222" s="14">
        <f t="shared" si="70"/>
        <v>486000</v>
      </c>
      <c r="G222" s="15">
        <f t="shared" si="71"/>
        <v>0.42050128408869536</v>
      </c>
      <c r="H222" s="13">
        <f t="shared" si="72"/>
        <v>7337.256616524217</v>
      </c>
      <c r="I222" s="13">
        <f t="shared" si="73"/>
        <v>663719.95471992204</v>
      </c>
      <c r="J222" s="15">
        <f t="shared" si="65"/>
        <v>0.57949871591130464</v>
      </c>
      <c r="K222" s="13">
        <f t="shared" si="74"/>
        <v>669763.41473784694</v>
      </c>
      <c r="L222" s="13">
        <f t="shared" si="82"/>
        <v>46126791.760396287</v>
      </c>
      <c r="M222" s="15">
        <f t="shared" si="75"/>
        <v>0.57949871591130464</v>
      </c>
      <c r="N222" s="13">
        <f t="shared" si="66"/>
        <v>0</v>
      </c>
      <c r="O222" s="13">
        <f t="shared" si="76"/>
        <v>-6043.4600179244298</v>
      </c>
      <c r="P222" s="15">
        <f t="shared" si="67"/>
        <v>-5.2564626656381262E-3</v>
      </c>
      <c r="Q222" s="7">
        <f t="shared" si="77"/>
        <v>1149719.9547199225</v>
      </c>
      <c r="R222" s="7">
        <f t="shared" si="78"/>
        <v>1155763.4147378469</v>
      </c>
      <c r="S222" s="13">
        <f>IF('BANCO DE DADOS'!$AD$32="Sim",R222,Q222)</f>
        <v>1155763.4147378469</v>
      </c>
      <c r="T222" s="9">
        <f t="shared" si="79"/>
        <v>218</v>
      </c>
      <c r="U222" s="18">
        <f t="shared" ca="1" si="80"/>
        <v>51014</v>
      </c>
      <c r="V222" s="24"/>
      <c r="W222" s="24"/>
      <c r="X222" s="24"/>
    </row>
    <row r="223" spans="2:24" x14ac:dyDescent="0.2">
      <c r="B223" s="18">
        <f t="shared" ca="1" si="68"/>
        <v>51014</v>
      </c>
      <c r="C223" s="9">
        <f t="shared" si="81"/>
        <v>219</v>
      </c>
      <c r="D223" s="9"/>
      <c r="E223" s="13">
        <f t="shared" si="69"/>
        <v>2000</v>
      </c>
      <c r="F223" s="14">
        <f t="shared" si="70"/>
        <v>488000</v>
      </c>
      <c r="G223" s="15">
        <f t="shared" si="71"/>
        <v>0.41880772841667246</v>
      </c>
      <c r="H223" s="13">
        <f t="shared" si="72"/>
        <v>7397.3328067397615</v>
      </c>
      <c r="I223" s="13">
        <f t="shared" si="73"/>
        <v>671117.28752666176</v>
      </c>
      <c r="J223" s="15">
        <f t="shared" si="65"/>
        <v>0.58119227158332754</v>
      </c>
      <c r="K223" s="13">
        <f t="shared" si="74"/>
        <v>677212.49940853054</v>
      </c>
      <c r="L223" s="13">
        <f t="shared" si="82"/>
        <v>46804004.259804815</v>
      </c>
      <c r="M223" s="15">
        <f t="shared" si="75"/>
        <v>0.58119227158332754</v>
      </c>
      <c r="N223" s="13">
        <f t="shared" si="66"/>
        <v>0</v>
      </c>
      <c r="O223" s="13">
        <f t="shared" si="76"/>
        <v>-6095.2118818683084</v>
      </c>
      <c r="P223" s="15">
        <f t="shared" si="67"/>
        <v>-5.2584945004783262E-3</v>
      </c>
      <c r="Q223" s="7">
        <f t="shared" si="77"/>
        <v>1159117.2875266622</v>
      </c>
      <c r="R223" s="7">
        <f t="shared" si="78"/>
        <v>1165212.4994085305</v>
      </c>
      <c r="S223" s="13">
        <f>IF('BANCO DE DADOS'!$AD$32="Sim",R223,Q223)</f>
        <v>1165212.4994085305</v>
      </c>
      <c r="T223" s="9">
        <f t="shared" si="79"/>
        <v>219</v>
      </c>
      <c r="U223" s="18">
        <f t="shared" ca="1" si="80"/>
        <v>51044</v>
      </c>
      <c r="V223" s="24"/>
      <c r="W223" s="24"/>
      <c r="X223" s="24"/>
    </row>
    <row r="224" spans="2:24" x14ac:dyDescent="0.2">
      <c r="B224" s="18">
        <f t="shared" ca="1" si="68"/>
        <v>51044</v>
      </c>
      <c r="C224" s="9">
        <f t="shared" si="81"/>
        <v>220</v>
      </c>
      <c r="D224" s="9"/>
      <c r="E224" s="13">
        <f t="shared" si="69"/>
        <v>2000</v>
      </c>
      <c r="F224" s="14">
        <f t="shared" si="70"/>
        <v>490000</v>
      </c>
      <c r="G224" s="15">
        <f t="shared" si="71"/>
        <v>0.41711983055440011</v>
      </c>
      <c r="H224" s="13">
        <f t="shared" si="72"/>
        <v>7457.7955289720485</v>
      </c>
      <c r="I224" s="13">
        <f t="shared" si="73"/>
        <v>678575.08305563382</v>
      </c>
      <c r="J224" s="15">
        <f t="shared" si="65"/>
        <v>0.58288016944559984</v>
      </c>
      <c r="K224" s="13">
        <f t="shared" si="74"/>
        <v>684722.37977449736</v>
      </c>
      <c r="L224" s="13">
        <f t="shared" si="82"/>
        <v>47488726.639579311</v>
      </c>
      <c r="M224" s="15">
        <f t="shared" si="75"/>
        <v>0.58288016944559984</v>
      </c>
      <c r="N224" s="13">
        <f t="shared" si="66"/>
        <v>0</v>
      </c>
      <c r="O224" s="13">
        <f t="shared" si="76"/>
        <v>-6147.2967188630719</v>
      </c>
      <c r="P224" s="15">
        <f t="shared" si="67"/>
        <v>-5.2605064133225297E-3</v>
      </c>
      <c r="Q224" s="7">
        <f t="shared" si="77"/>
        <v>1168575.0830556343</v>
      </c>
      <c r="R224" s="7">
        <f t="shared" si="78"/>
        <v>1174722.3797744974</v>
      </c>
      <c r="S224" s="13">
        <f>IF('BANCO DE DADOS'!$AD$32="Sim",R224,Q224)</f>
        <v>1174722.3797744974</v>
      </c>
      <c r="T224" s="9">
        <f t="shared" si="79"/>
        <v>220</v>
      </c>
      <c r="U224" s="18">
        <f t="shared" ca="1" si="80"/>
        <v>51075</v>
      </c>
      <c r="V224" s="24"/>
      <c r="W224" s="24"/>
      <c r="X224" s="24"/>
    </row>
    <row r="225" spans="2:24" x14ac:dyDescent="0.2">
      <c r="B225" s="18">
        <f t="shared" ca="1" si="68"/>
        <v>51075</v>
      </c>
      <c r="C225" s="9">
        <f t="shared" si="81"/>
        <v>221</v>
      </c>
      <c r="D225" s="9"/>
      <c r="E225" s="13">
        <f t="shared" si="69"/>
        <v>2000</v>
      </c>
      <c r="F225" s="14">
        <f t="shared" si="70"/>
        <v>492000</v>
      </c>
      <c r="G225" s="15">
        <f t="shared" si="71"/>
        <v>0.4154375769346062</v>
      </c>
      <c r="H225" s="13">
        <f t="shared" si="72"/>
        <v>7518.6472701797102</v>
      </c>
      <c r="I225" s="13">
        <f t="shared" si="73"/>
        <v>686093.73032581352</v>
      </c>
      <c r="J225" s="15">
        <f t="shared" si="65"/>
        <v>0.58456242306539385</v>
      </c>
      <c r="K225" s="13">
        <f t="shared" si="74"/>
        <v>692293.4469970814</v>
      </c>
      <c r="L225" s="13">
        <f t="shared" si="82"/>
        <v>48181020.086576395</v>
      </c>
      <c r="M225" s="15">
        <f t="shared" si="75"/>
        <v>0.58456242306539374</v>
      </c>
      <c r="N225" s="13">
        <f t="shared" si="66"/>
        <v>0</v>
      </c>
      <c r="O225" s="13">
        <f t="shared" si="76"/>
        <v>-6199.7166712672915</v>
      </c>
      <c r="P225" s="15">
        <f t="shared" si="67"/>
        <v>-5.2624986549692403E-3</v>
      </c>
      <c r="Q225" s="7">
        <f t="shared" si="77"/>
        <v>1178093.7303258141</v>
      </c>
      <c r="R225" s="7">
        <f t="shared" si="78"/>
        <v>1184293.4469970814</v>
      </c>
      <c r="S225" s="13">
        <f>IF('BANCO DE DADOS'!$AD$32="Sim",R225,Q225)</f>
        <v>1184293.4469970814</v>
      </c>
      <c r="T225" s="9">
        <f t="shared" si="79"/>
        <v>221</v>
      </c>
      <c r="U225" s="18">
        <f t="shared" ca="1" si="80"/>
        <v>51105</v>
      </c>
      <c r="V225" s="24"/>
      <c r="W225" s="24"/>
      <c r="X225" s="24"/>
    </row>
    <row r="226" spans="2:24" x14ac:dyDescent="0.2">
      <c r="B226" s="18">
        <f t="shared" ca="1" si="68"/>
        <v>51105</v>
      </c>
      <c r="C226" s="9">
        <f t="shared" si="81"/>
        <v>222</v>
      </c>
      <c r="D226" s="9"/>
      <c r="E226" s="13">
        <f t="shared" si="69"/>
        <v>2000</v>
      </c>
      <c r="F226" s="14">
        <f t="shared" si="70"/>
        <v>494000</v>
      </c>
      <c r="G226" s="15">
        <f t="shared" si="71"/>
        <v>0.41376095402424057</v>
      </c>
      <c r="H226" s="13">
        <f t="shared" si="72"/>
        <v>7579.8905333225493</v>
      </c>
      <c r="I226" s="13">
        <f t="shared" si="73"/>
        <v>693673.62085913611</v>
      </c>
      <c r="J226" s="15">
        <f t="shared" si="65"/>
        <v>0.58623904597575938</v>
      </c>
      <c r="K226" s="13">
        <f t="shared" si="74"/>
        <v>699926.09475436038</v>
      </c>
      <c r="L226" s="13">
        <f t="shared" si="82"/>
        <v>48880946.181330755</v>
      </c>
      <c r="M226" s="15">
        <f t="shared" si="75"/>
        <v>0.58623904597575938</v>
      </c>
      <c r="N226" s="13">
        <f t="shared" si="66"/>
        <v>0</v>
      </c>
      <c r="O226" s="13">
        <f t="shared" si="76"/>
        <v>-6252.4738952238113</v>
      </c>
      <c r="P226" s="15">
        <f t="shared" si="67"/>
        <v>-5.2644714721380367E-3</v>
      </c>
      <c r="Q226" s="7">
        <f t="shared" si="77"/>
        <v>1187673.6208591366</v>
      </c>
      <c r="R226" s="7">
        <f t="shared" si="78"/>
        <v>1193926.0947543604</v>
      </c>
      <c r="S226" s="13">
        <f>IF('BANCO DE DADOS'!$AD$32="Sim",R226,Q226)</f>
        <v>1193926.0947543604</v>
      </c>
      <c r="T226" s="9">
        <f t="shared" si="79"/>
        <v>222</v>
      </c>
      <c r="U226" s="18">
        <f t="shared" ca="1" si="80"/>
        <v>51136</v>
      </c>
      <c r="V226" s="24"/>
      <c r="W226" s="24"/>
      <c r="X226" s="24"/>
    </row>
    <row r="227" spans="2:24" x14ac:dyDescent="0.2">
      <c r="B227" s="18">
        <f t="shared" ca="1" si="68"/>
        <v>51136</v>
      </c>
      <c r="C227" s="9">
        <f t="shared" si="81"/>
        <v>223</v>
      </c>
      <c r="D227" s="9"/>
      <c r="E227" s="13">
        <f t="shared" si="69"/>
        <v>2000</v>
      </c>
      <c r="F227" s="14">
        <f t="shared" si="70"/>
        <v>496000</v>
      </c>
      <c r="G227" s="15">
        <f t="shared" si="71"/>
        <v>0.41208994832362073</v>
      </c>
      <c r="H227" s="13">
        <f t="shared" si="72"/>
        <v>7641.5278374644831</v>
      </c>
      <c r="I227" s="13">
        <f t="shared" si="73"/>
        <v>701315.14869660058</v>
      </c>
      <c r="J227" s="15">
        <f t="shared" si="65"/>
        <v>0.58791005167637933</v>
      </c>
      <c r="K227" s="13">
        <f t="shared" si="74"/>
        <v>707620.71925734868</v>
      </c>
      <c r="L227" s="13">
        <f t="shared" si="82"/>
        <v>49588566.900588103</v>
      </c>
      <c r="M227" s="15">
        <f t="shared" si="75"/>
        <v>0.58791005167637933</v>
      </c>
      <c r="N227" s="13">
        <f t="shared" si="66"/>
        <v>0</v>
      </c>
      <c r="O227" s="13">
        <f t="shared" si="76"/>
        <v>-6305.5705607475247</v>
      </c>
      <c r="P227" s="15">
        <f t="shared" si="67"/>
        <v>-5.2664251075514893E-3</v>
      </c>
      <c r="Q227" s="7">
        <f t="shared" si="77"/>
        <v>1197315.1486966012</v>
      </c>
      <c r="R227" s="7">
        <f t="shared" si="78"/>
        <v>1203620.7192573487</v>
      </c>
      <c r="S227" s="13">
        <f>IF('BANCO DE DADOS'!$AD$32="Sim",R227,Q227)</f>
        <v>1203620.7192573487</v>
      </c>
      <c r="T227" s="9">
        <f t="shared" si="79"/>
        <v>223</v>
      </c>
      <c r="U227" s="18">
        <f t="shared" ca="1" si="80"/>
        <v>51167</v>
      </c>
      <c r="V227" s="24"/>
      <c r="W227" s="24"/>
      <c r="X227" s="24"/>
    </row>
    <row r="228" spans="2:24" x14ac:dyDescent="0.2">
      <c r="B228" s="18">
        <f t="shared" ca="1" si="68"/>
        <v>51167</v>
      </c>
      <c r="C228" s="9">
        <f t="shared" si="81"/>
        <v>224</v>
      </c>
      <c r="D228" s="9"/>
      <c r="E228" s="13">
        <f t="shared" si="69"/>
        <v>2000</v>
      </c>
      <c r="F228" s="14">
        <f t="shared" si="70"/>
        <v>498000</v>
      </c>
      <c r="G228" s="15">
        <f t="shared" si="71"/>
        <v>0.41042454636560388</v>
      </c>
      <c r="H228" s="13">
        <f t="shared" si="72"/>
        <v>7703.5617178771663</v>
      </c>
      <c r="I228" s="13">
        <f t="shared" si="73"/>
        <v>709018.71041447774</v>
      </c>
      <c r="J228" s="15">
        <f t="shared" si="65"/>
        <v>0.58957545363439612</v>
      </c>
      <c r="K228" s="13">
        <f t="shared" si="74"/>
        <v>715377.7192662945</v>
      </c>
      <c r="L228" s="13">
        <f t="shared" si="82"/>
        <v>50303944.619854398</v>
      </c>
      <c r="M228" s="15">
        <f t="shared" si="75"/>
        <v>0.58957545363439612</v>
      </c>
      <c r="N228" s="13">
        <f t="shared" si="66"/>
        <v>0</v>
      </c>
      <c r="O228" s="13">
        <f t="shared" si="76"/>
        <v>-6359.0088518161792</v>
      </c>
      <c r="P228" s="15">
        <f t="shared" si="67"/>
        <v>-5.26835980001715E-3</v>
      </c>
      <c r="Q228" s="7">
        <f t="shared" si="77"/>
        <v>1207018.7104144783</v>
      </c>
      <c r="R228" s="7">
        <f t="shared" si="78"/>
        <v>1213377.7192662945</v>
      </c>
      <c r="S228" s="13">
        <f>IF('BANCO DE DADOS'!$AD$32="Sim",R228,Q228)</f>
        <v>1213377.7192662945</v>
      </c>
      <c r="T228" s="9">
        <f t="shared" si="79"/>
        <v>224</v>
      </c>
      <c r="U228" s="18">
        <f t="shared" ca="1" si="80"/>
        <v>51196</v>
      </c>
      <c r="V228" s="24"/>
      <c r="W228" s="24"/>
      <c r="X228" s="24"/>
    </row>
    <row r="229" spans="2:24" x14ac:dyDescent="0.2">
      <c r="B229" s="18">
        <f t="shared" ca="1" si="68"/>
        <v>51196</v>
      </c>
      <c r="C229" s="9">
        <f t="shared" si="81"/>
        <v>225</v>
      </c>
      <c r="D229" s="9"/>
      <c r="E229" s="13">
        <f t="shared" si="69"/>
        <v>2000</v>
      </c>
      <c r="F229" s="14">
        <f t="shared" si="70"/>
        <v>500000</v>
      </c>
      <c r="G229" s="15">
        <f t="shared" si="71"/>
        <v>0.40876473471478475</v>
      </c>
      <c r="H229" s="13">
        <f t="shared" si="72"/>
        <v>7765.9947261442649</v>
      </c>
      <c r="I229" s="13">
        <f t="shared" si="73"/>
        <v>716784.70514062198</v>
      </c>
      <c r="J229" s="15">
        <f t="shared" si="65"/>
        <v>0.59123526528521531</v>
      </c>
      <c r="K229" s="13">
        <f t="shared" si="74"/>
        <v>723197.49610708118</v>
      </c>
      <c r="L229" s="13">
        <f t="shared" si="82"/>
        <v>51027142.115961477</v>
      </c>
      <c r="M229" s="15">
        <f t="shared" si="75"/>
        <v>0.59123526528521519</v>
      </c>
      <c r="N229" s="13">
        <f t="shared" si="66"/>
        <v>0</v>
      </c>
      <c r="O229" s="13">
        <f t="shared" si="76"/>
        <v>-6412.7909664586186</v>
      </c>
      <c r="P229" s="15">
        <f t="shared" si="67"/>
        <v>-5.2702757845049502E-3</v>
      </c>
      <c r="Q229" s="7">
        <f t="shared" si="77"/>
        <v>1216784.7051406226</v>
      </c>
      <c r="R229" s="7">
        <f t="shared" si="78"/>
        <v>1223197.4961070812</v>
      </c>
      <c r="S229" s="13">
        <f>IF('BANCO DE DADOS'!$AD$32="Sim",R229,Q229)</f>
        <v>1223197.4961070812</v>
      </c>
      <c r="T229" s="9">
        <f t="shared" si="79"/>
        <v>225</v>
      </c>
      <c r="U229" s="18">
        <f t="shared" ca="1" si="80"/>
        <v>51227</v>
      </c>
      <c r="V229" s="24"/>
      <c r="W229" s="24"/>
      <c r="X229" s="24"/>
    </row>
    <row r="230" spans="2:24" x14ac:dyDescent="0.2">
      <c r="B230" s="18">
        <f t="shared" ca="1" si="68"/>
        <v>51227</v>
      </c>
      <c r="C230" s="9">
        <f t="shared" si="81"/>
        <v>226</v>
      </c>
      <c r="D230" s="9"/>
      <c r="E230" s="13">
        <f t="shared" si="69"/>
        <v>2000</v>
      </c>
      <c r="F230" s="14">
        <f t="shared" si="70"/>
        <v>502000</v>
      </c>
      <c r="G230" s="15">
        <f t="shared" si="71"/>
        <v>0.407110499966717</v>
      </c>
      <c r="H230" s="13">
        <f t="shared" si="72"/>
        <v>7828.8294302664117</v>
      </c>
      <c r="I230" s="13">
        <f t="shared" si="73"/>
        <v>724613.53457088838</v>
      </c>
      <c r="J230" s="15">
        <f t="shared" si="65"/>
        <v>0.592889500033283</v>
      </c>
      <c r="K230" s="13">
        <f t="shared" si="74"/>
        <v>731080.4536877349</v>
      </c>
      <c r="L230" s="13">
        <f t="shared" si="82"/>
        <v>51758222.569649212</v>
      </c>
      <c r="M230" s="15">
        <f t="shared" si="75"/>
        <v>0.592889500033283</v>
      </c>
      <c r="N230" s="13">
        <f t="shared" si="66"/>
        <v>0</v>
      </c>
      <c r="O230" s="13">
        <f t="shared" si="76"/>
        <v>-6466.9191168458201</v>
      </c>
      <c r="P230" s="15">
        <f t="shared" si="67"/>
        <v>-5.2721732922245699E-3</v>
      </c>
      <c r="Q230" s="7">
        <f t="shared" si="77"/>
        <v>1226613.5345708891</v>
      </c>
      <c r="R230" s="7">
        <f t="shared" si="78"/>
        <v>1233080.4536877349</v>
      </c>
      <c r="S230" s="13">
        <f>IF('BANCO DE DADOS'!$AD$32="Sim",R230,Q230)</f>
        <v>1233080.4536877349</v>
      </c>
      <c r="T230" s="9">
        <f t="shared" si="79"/>
        <v>226</v>
      </c>
      <c r="U230" s="18">
        <f t="shared" ca="1" si="80"/>
        <v>51257</v>
      </c>
      <c r="V230" s="24"/>
      <c r="W230" s="24"/>
      <c r="X230" s="24"/>
    </row>
    <row r="231" spans="2:24" x14ac:dyDescent="0.2">
      <c r="B231" s="18">
        <f t="shared" ca="1" si="68"/>
        <v>51257</v>
      </c>
      <c r="C231" s="9">
        <f t="shared" si="81"/>
        <v>227</v>
      </c>
      <c r="D231" s="9"/>
      <c r="E231" s="13">
        <f t="shared" si="69"/>
        <v>2000</v>
      </c>
      <c r="F231" s="14">
        <f t="shared" si="70"/>
        <v>504000</v>
      </c>
      <c r="G231" s="15">
        <f t="shared" si="71"/>
        <v>0.4054618287471593</v>
      </c>
      <c r="H231" s="13">
        <f t="shared" si="72"/>
        <v>7892.0684147668335</v>
      </c>
      <c r="I231" s="13">
        <f t="shared" si="73"/>
        <v>732505.60298565519</v>
      </c>
      <c r="J231" s="15">
        <f t="shared" si="65"/>
        <v>0.5945381712528407</v>
      </c>
      <c r="K231" s="13">
        <f t="shared" si="74"/>
        <v>739026.99851503852</v>
      </c>
      <c r="L231" s="13">
        <f t="shared" si="82"/>
        <v>52497249.568164252</v>
      </c>
      <c r="M231" s="15">
        <f t="shared" si="75"/>
        <v>0.5945381712528407</v>
      </c>
      <c r="N231" s="13">
        <f t="shared" si="66"/>
        <v>0</v>
      </c>
      <c r="O231" s="13">
        <f t="shared" si="76"/>
        <v>-6521.3955293826293</v>
      </c>
      <c r="P231" s="15">
        <f t="shared" si="67"/>
        <v>-5.2740525507010425E-3</v>
      </c>
      <c r="Q231" s="7">
        <f t="shared" si="77"/>
        <v>1236505.6029856559</v>
      </c>
      <c r="R231" s="7">
        <f t="shared" si="78"/>
        <v>1243026.9985150385</v>
      </c>
      <c r="S231" s="13">
        <f>IF('BANCO DE DADOS'!$AD$32="Sim",R231,Q231)</f>
        <v>1243026.9985150385</v>
      </c>
      <c r="T231" s="9">
        <f t="shared" si="79"/>
        <v>227</v>
      </c>
      <c r="U231" s="18">
        <f t="shared" ca="1" si="80"/>
        <v>51288</v>
      </c>
      <c r="V231" s="24"/>
      <c r="W231" s="24"/>
      <c r="X231" s="24"/>
    </row>
    <row r="232" spans="2:24" x14ac:dyDescent="0.2">
      <c r="B232" s="18">
        <f t="shared" ca="1" si="68"/>
        <v>51288</v>
      </c>
      <c r="C232" s="9">
        <f t="shared" si="81"/>
        <v>228</v>
      </c>
      <c r="D232" s="9">
        <v>19</v>
      </c>
      <c r="E232" s="13">
        <f t="shared" si="69"/>
        <v>2000</v>
      </c>
      <c r="F232" s="14">
        <f t="shared" si="70"/>
        <v>506000</v>
      </c>
      <c r="G232" s="15">
        <f t="shared" si="71"/>
        <v>0.40381870771134448</v>
      </c>
      <c r="H232" s="13">
        <f t="shared" si="72"/>
        <v>7955.714280797657</v>
      </c>
      <c r="I232" s="13">
        <f t="shared" si="73"/>
        <v>740461.31726645282</v>
      </c>
      <c r="J232" s="15">
        <f t="shared" si="65"/>
        <v>0.59618129228865557</v>
      </c>
      <c r="K232" s="13">
        <f t="shared" si="74"/>
        <v>747037.53971125139</v>
      </c>
      <c r="L232" s="13">
        <f t="shared" si="82"/>
        <v>53244287.107875504</v>
      </c>
      <c r="M232" s="15">
        <f t="shared" si="75"/>
        <v>0.59618129228865557</v>
      </c>
      <c r="N232" s="13">
        <f t="shared" si="66"/>
        <v>0</v>
      </c>
      <c r="O232" s="13">
        <f t="shared" si="76"/>
        <v>-6576.222444797866</v>
      </c>
      <c r="P232" s="15">
        <f t="shared" si="67"/>
        <v>-5.2759137838467559E-3</v>
      </c>
      <c r="Q232" s="7">
        <f t="shared" si="77"/>
        <v>1246461.3172664535</v>
      </c>
      <c r="R232" s="7">
        <f t="shared" si="78"/>
        <v>1253037.5397112514</v>
      </c>
      <c r="S232" s="13">
        <f>IF('BANCO DE DADOS'!$AD$32="Sim",R232,Q232)</f>
        <v>1253037.5397112514</v>
      </c>
      <c r="T232" s="9">
        <f t="shared" si="79"/>
        <v>228</v>
      </c>
      <c r="U232" s="18">
        <f t="shared" ca="1" si="80"/>
        <v>51318</v>
      </c>
      <c r="V232" s="24"/>
      <c r="W232" s="24"/>
      <c r="X232" s="24"/>
    </row>
    <row r="233" spans="2:24" x14ac:dyDescent="0.2">
      <c r="B233" s="18">
        <f t="shared" ca="1" si="68"/>
        <v>51318</v>
      </c>
      <c r="C233" s="9">
        <f t="shared" si="81"/>
        <v>229</v>
      </c>
      <c r="D233" s="9"/>
      <c r="E233" s="13">
        <f t="shared" si="69"/>
        <v>2000</v>
      </c>
      <c r="F233" s="14">
        <f t="shared" si="70"/>
        <v>508000</v>
      </c>
      <c r="G233" s="15">
        <f t="shared" si="71"/>
        <v>0.40218112354327079</v>
      </c>
      <c r="H233" s="13">
        <f t="shared" si="72"/>
        <v>8019.7696462469003</v>
      </c>
      <c r="I233" s="13">
        <f t="shared" si="73"/>
        <v>748481.08691269974</v>
      </c>
      <c r="J233" s="15">
        <f t="shared" si="65"/>
        <v>0.59781887645672915</v>
      </c>
      <c r="K233" s="13">
        <f t="shared" si="74"/>
        <v>755112.48903093813</v>
      </c>
      <c r="L233" s="13">
        <f t="shared" si="82"/>
        <v>53999399.596906438</v>
      </c>
      <c r="M233" s="15">
        <f t="shared" si="75"/>
        <v>0.59781887645672915</v>
      </c>
      <c r="N233" s="13">
        <f t="shared" si="66"/>
        <v>0</v>
      </c>
      <c r="O233" s="13">
        <f t="shared" si="76"/>
        <v>-6631.4021182376891</v>
      </c>
      <c r="P233" s="15">
        <f t="shared" si="67"/>
        <v>-5.2777572120338932E-3</v>
      </c>
      <c r="Q233" s="7">
        <f t="shared" si="77"/>
        <v>1256481.0869127004</v>
      </c>
      <c r="R233" s="7">
        <f t="shared" si="78"/>
        <v>1263112.4890309381</v>
      </c>
      <c r="S233" s="13">
        <f>IF('BANCO DE DADOS'!$AD$32="Sim",R233,Q233)</f>
        <v>1263112.4890309381</v>
      </c>
      <c r="T233" s="9">
        <f t="shared" si="79"/>
        <v>229</v>
      </c>
      <c r="U233" s="18">
        <f t="shared" ca="1" si="80"/>
        <v>51349</v>
      </c>
      <c r="V233" s="24"/>
      <c r="W233" s="24"/>
      <c r="X233" s="24"/>
    </row>
    <row r="234" spans="2:24" x14ac:dyDescent="0.2">
      <c r="B234" s="18">
        <f t="shared" ca="1" si="68"/>
        <v>51349</v>
      </c>
      <c r="C234" s="9">
        <f t="shared" si="81"/>
        <v>230</v>
      </c>
      <c r="D234" s="9"/>
      <c r="E234" s="13">
        <f t="shared" si="69"/>
        <v>2000</v>
      </c>
      <c r="F234" s="14">
        <f t="shared" si="70"/>
        <v>510000</v>
      </c>
      <c r="G234" s="15">
        <f t="shared" si="71"/>
        <v>0.40054906295501586</v>
      </c>
      <c r="H234" s="13">
        <f t="shared" si="72"/>
        <v>8084.2371458461521</v>
      </c>
      <c r="I234" s="13">
        <f t="shared" si="73"/>
        <v>756565.32405854587</v>
      </c>
      <c r="J234" s="15">
        <f t="shared" si="65"/>
        <v>0.59945093704498409</v>
      </c>
      <c r="K234" s="13">
        <f t="shared" si="74"/>
        <v>763252.26087790448</v>
      </c>
      <c r="L234" s="13">
        <f t="shared" si="82"/>
        <v>54762651.857784346</v>
      </c>
      <c r="M234" s="15">
        <f t="shared" si="75"/>
        <v>0.5994509370449842</v>
      </c>
      <c r="N234" s="13">
        <f t="shared" si="66"/>
        <v>0</v>
      </c>
      <c r="O234" s="13">
        <f t="shared" si="76"/>
        <v>-6686.9368193577975</v>
      </c>
      <c r="P234" s="15">
        <f t="shared" si="67"/>
        <v>-5.2795830521637551E-3</v>
      </c>
      <c r="Q234" s="7">
        <f t="shared" si="77"/>
        <v>1266565.3240585467</v>
      </c>
      <c r="R234" s="7">
        <f t="shared" si="78"/>
        <v>1273252.2608779045</v>
      </c>
      <c r="S234" s="13">
        <f>IF('BANCO DE DADOS'!$AD$32="Sim",R234,Q234)</f>
        <v>1273252.2608779045</v>
      </c>
      <c r="T234" s="9">
        <f t="shared" si="79"/>
        <v>230</v>
      </c>
      <c r="U234" s="18">
        <f t="shared" ca="1" si="80"/>
        <v>51380</v>
      </c>
      <c r="V234" s="24"/>
      <c r="W234" s="24"/>
      <c r="X234" s="24"/>
    </row>
    <row r="235" spans="2:24" x14ac:dyDescent="0.2">
      <c r="B235" s="18">
        <f t="shared" ca="1" si="68"/>
        <v>51380</v>
      </c>
      <c r="C235" s="9">
        <f t="shared" si="81"/>
        <v>231</v>
      </c>
      <c r="D235" s="9"/>
      <c r="E235" s="13">
        <f t="shared" si="69"/>
        <v>2000</v>
      </c>
      <c r="F235" s="14">
        <f t="shared" si="70"/>
        <v>512000</v>
      </c>
      <c r="G235" s="15">
        <f t="shared" si="71"/>
        <v>0.39892251268607098</v>
      </c>
      <c r="H235" s="13">
        <f t="shared" si="72"/>
        <v>8149.1194312789412</v>
      </c>
      <c r="I235" s="13">
        <f t="shared" si="73"/>
        <v>764714.44348982477</v>
      </c>
      <c r="J235" s="15">
        <f t="shared" si="65"/>
        <v>0.60107748731392907</v>
      </c>
      <c r="K235" s="13">
        <f t="shared" si="74"/>
        <v>771457.27232224285</v>
      </c>
      <c r="L235" s="13">
        <f t="shared" si="82"/>
        <v>55534109.130106591</v>
      </c>
      <c r="M235" s="15">
        <f t="shared" si="75"/>
        <v>0.60107748731392896</v>
      </c>
      <c r="N235" s="13">
        <f t="shared" si="66"/>
        <v>0</v>
      </c>
      <c r="O235" s="13">
        <f t="shared" si="76"/>
        <v>-6742.8288324172609</v>
      </c>
      <c r="P235" s="15">
        <f t="shared" si="67"/>
        <v>-5.2813915177352625E-3</v>
      </c>
      <c r="Q235" s="7">
        <f t="shared" si="77"/>
        <v>1276714.4434898256</v>
      </c>
      <c r="R235" s="7">
        <f t="shared" si="78"/>
        <v>1283457.2723222428</v>
      </c>
      <c r="S235" s="13">
        <f>IF('BANCO DE DADOS'!$AD$32="Sim",R235,Q235)</f>
        <v>1283457.2723222428</v>
      </c>
      <c r="T235" s="9">
        <f t="shared" si="79"/>
        <v>231</v>
      </c>
      <c r="U235" s="18">
        <f t="shared" ca="1" si="80"/>
        <v>51410</v>
      </c>
      <c r="V235" s="24"/>
      <c r="W235" s="24"/>
      <c r="X235" s="24"/>
    </row>
    <row r="236" spans="2:24" x14ac:dyDescent="0.2">
      <c r="B236" s="18">
        <f t="shared" ca="1" si="68"/>
        <v>51410</v>
      </c>
      <c r="C236" s="9">
        <f t="shared" si="81"/>
        <v>232</v>
      </c>
      <c r="D236" s="9"/>
      <c r="E236" s="13">
        <f t="shared" si="69"/>
        <v>2000</v>
      </c>
      <c r="F236" s="14">
        <f t="shared" si="70"/>
        <v>514000</v>
      </c>
      <c r="G236" s="15">
        <f t="shared" si="71"/>
        <v>0.39730145950269719</v>
      </c>
      <c r="H236" s="13">
        <f t="shared" si="72"/>
        <v>8214.41917128981</v>
      </c>
      <c r="I236" s="13">
        <f t="shared" si="73"/>
        <v>772928.86266111454</v>
      </c>
      <c r="J236" s="15">
        <f t="shared" si="65"/>
        <v>0.60269854049730287</v>
      </c>
      <c r="K236" s="13">
        <f t="shared" si="74"/>
        <v>779727.94311748701</v>
      </c>
      <c r="L236" s="13">
        <f t="shared" si="82"/>
        <v>56313837.073224075</v>
      </c>
      <c r="M236" s="15">
        <f t="shared" si="75"/>
        <v>0.60269854049730276</v>
      </c>
      <c r="N236" s="13">
        <f t="shared" si="66"/>
        <v>0</v>
      </c>
      <c r="O236" s="13">
        <f t="shared" si="76"/>
        <v>-6799.080456371652</v>
      </c>
      <c r="P236" s="15">
        <f t="shared" si="67"/>
        <v>-5.2831828189108237E-3</v>
      </c>
      <c r="Q236" s="7">
        <f t="shared" si="77"/>
        <v>1286928.8626611154</v>
      </c>
      <c r="R236" s="7">
        <f t="shared" si="78"/>
        <v>1293727.943117487</v>
      </c>
      <c r="S236" s="13">
        <f>IF('BANCO DE DADOS'!$AD$32="Sim",R236,Q236)</f>
        <v>1293727.943117487</v>
      </c>
      <c r="T236" s="9">
        <f t="shared" si="79"/>
        <v>232</v>
      </c>
      <c r="U236" s="18">
        <f t="shared" ca="1" si="80"/>
        <v>51441</v>
      </c>
      <c r="V236" s="24"/>
      <c r="W236" s="24"/>
      <c r="X236" s="24"/>
    </row>
    <row r="237" spans="2:24" x14ac:dyDescent="0.2">
      <c r="B237" s="18">
        <f t="shared" ca="1" si="68"/>
        <v>51441</v>
      </c>
      <c r="C237" s="9">
        <f t="shared" si="81"/>
        <v>233</v>
      </c>
      <c r="D237" s="9"/>
      <c r="E237" s="13">
        <f t="shared" si="69"/>
        <v>2000</v>
      </c>
      <c r="F237" s="14">
        <f t="shared" si="70"/>
        <v>516000</v>
      </c>
      <c r="G237" s="15">
        <f t="shared" si="71"/>
        <v>0.39568589019730033</v>
      </c>
      <c r="H237" s="13">
        <f t="shared" si="72"/>
        <v>8280.1390517940854</v>
      </c>
      <c r="I237" s="13">
        <f t="shared" si="73"/>
        <v>781209.00171290862</v>
      </c>
      <c r="J237" s="15">
        <f t="shared" si="65"/>
        <v>0.60431410980269962</v>
      </c>
      <c r="K237" s="13">
        <f t="shared" si="74"/>
        <v>788064.69571787771</v>
      </c>
      <c r="L237" s="13">
        <f t="shared" si="82"/>
        <v>57101901.768941954</v>
      </c>
      <c r="M237" s="15">
        <f t="shared" si="75"/>
        <v>0.60431410980269973</v>
      </c>
      <c r="N237" s="13">
        <f t="shared" si="66"/>
        <v>0</v>
      </c>
      <c r="O237" s="13">
        <f t="shared" si="76"/>
        <v>-6855.6940049682744</v>
      </c>
      <c r="P237" s="15">
        <f t="shared" si="67"/>
        <v>-5.2849571625818367E-3</v>
      </c>
      <c r="Q237" s="7">
        <f t="shared" si="77"/>
        <v>1297209.0017129094</v>
      </c>
      <c r="R237" s="7">
        <f t="shared" si="78"/>
        <v>1304064.6957178777</v>
      </c>
      <c r="S237" s="13">
        <f>IF('BANCO DE DADOS'!$AD$32="Sim",R237,Q237)</f>
        <v>1304064.6957178777</v>
      </c>
      <c r="T237" s="9">
        <f t="shared" si="79"/>
        <v>233</v>
      </c>
      <c r="U237" s="18">
        <f t="shared" ca="1" si="80"/>
        <v>51471</v>
      </c>
      <c r="V237" s="24"/>
      <c r="W237" s="24"/>
      <c r="X237" s="24"/>
    </row>
    <row r="238" spans="2:24" x14ac:dyDescent="0.2">
      <c r="B238" s="18">
        <f t="shared" ca="1" si="68"/>
        <v>51471</v>
      </c>
      <c r="C238" s="9">
        <f t="shared" si="81"/>
        <v>234</v>
      </c>
      <c r="D238" s="9"/>
      <c r="E238" s="13">
        <f t="shared" si="69"/>
        <v>2000</v>
      </c>
      <c r="F238" s="14">
        <f t="shared" si="70"/>
        <v>518000</v>
      </c>
      <c r="G238" s="15">
        <f t="shared" si="71"/>
        <v>0.39407579158782646</v>
      </c>
      <c r="H238" s="13">
        <f t="shared" si="72"/>
        <v>8346.281775988351</v>
      </c>
      <c r="I238" s="13">
        <f t="shared" si="73"/>
        <v>789555.28348889702</v>
      </c>
      <c r="J238" s="15">
        <f t="shared" si="65"/>
        <v>0.60592420841217354</v>
      </c>
      <c r="K238" s="13">
        <f t="shared" si="74"/>
        <v>796467.955295739</v>
      </c>
      <c r="L238" s="13">
        <f t="shared" si="82"/>
        <v>57898369.724237695</v>
      </c>
      <c r="M238" s="15">
        <f t="shared" si="75"/>
        <v>0.60592420841217354</v>
      </c>
      <c r="N238" s="13">
        <f t="shared" si="66"/>
        <v>0</v>
      </c>
      <c r="O238" s="13">
        <f t="shared" si="76"/>
        <v>-6912.6718068411574</v>
      </c>
      <c r="P238" s="15">
        <f t="shared" si="67"/>
        <v>-5.2867147524319966E-3</v>
      </c>
      <c r="Q238" s="7">
        <f t="shared" si="77"/>
        <v>1307555.2834888978</v>
      </c>
      <c r="R238" s="7">
        <f t="shared" si="78"/>
        <v>1314467.955295739</v>
      </c>
      <c r="S238" s="13">
        <f>IF('BANCO DE DADOS'!$AD$32="Sim",R238,Q238)</f>
        <v>1314467.955295739</v>
      </c>
      <c r="T238" s="9">
        <f t="shared" si="79"/>
        <v>234</v>
      </c>
      <c r="U238" s="18">
        <f t="shared" ca="1" si="80"/>
        <v>51502</v>
      </c>
      <c r="V238" s="24"/>
      <c r="W238" s="24"/>
      <c r="X238" s="24"/>
    </row>
    <row r="239" spans="2:24" x14ac:dyDescent="0.2">
      <c r="B239" s="18">
        <f t="shared" ca="1" si="68"/>
        <v>51502</v>
      </c>
      <c r="C239" s="9">
        <f t="shared" si="81"/>
        <v>235</v>
      </c>
      <c r="D239" s="9"/>
      <c r="E239" s="13">
        <f t="shared" si="69"/>
        <v>2000</v>
      </c>
      <c r="F239" s="14">
        <f t="shared" si="70"/>
        <v>520000</v>
      </c>
      <c r="G239" s="15">
        <f t="shared" si="71"/>
        <v>0.39247115051717602</v>
      </c>
      <c r="H239" s="13">
        <f t="shared" si="72"/>
        <v>8412.8500644616397</v>
      </c>
      <c r="I239" s="13">
        <f t="shared" si="73"/>
        <v>797968.13355335861</v>
      </c>
      <c r="J239" s="15">
        <f t="shared" si="65"/>
        <v>0.60752884948282393</v>
      </c>
      <c r="K239" s="13">
        <f t="shared" si="74"/>
        <v>804938.14975896641</v>
      </c>
      <c r="L239" s="13">
        <f t="shared" si="82"/>
        <v>58703307.87399666</v>
      </c>
      <c r="M239" s="15">
        <f t="shared" si="75"/>
        <v>0.60752884948282404</v>
      </c>
      <c r="N239" s="13">
        <f t="shared" si="66"/>
        <v>0</v>
      </c>
      <c r="O239" s="13">
        <f t="shared" si="76"/>
        <v>-6970.0162056069821</v>
      </c>
      <c r="P239" s="15">
        <f t="shared" si="67"/>
        <v>-5.2884557889993876E-3</v>
      </c>
      <c r="Q239" s="7">
        <f t="shared" si="77"/>
        <v>1317968.1335533594</v>
      </c>
      <c r="R239" s="7">
        <f t="shared" si="78"/>
        <v>1324938.1497589664</v>
      </c>
      <c r="S239" s="13">
        <f>IF('BANCO DE DADOS'!$AD$32="Sim",R239,Q239)</f>
        <v>1324938.1497589664</v>
      </c>
      <c r="T239" s="9">
        <f t="shared" si="79"/>
        <v>235</v>
      </c>
      <c r="U239" s="18">
        <f t="shared" ca="1" si="80"/>
        <v>51533</v>
      </c>
      <c r="V239" s="24"/>
      <c r="W239" s="24"/>
      <c r="X239" s="24"/>
    </row>
    <row r="240" spans="2:24" x14ac:dyDescent="0.2">
      <c r="B240" s="18">
        <f t="shared" ca="1" si="68"/>
        <v>51533</v>
      </c>
      <c r="C240" s="9">
        <f t="shared" si="81"/>
        <v>236</v>
      </c>
      <c r="D240" s="9"/>
      <c r="E240" s="13">
        <f t="shared" si="69"/>
        <v>2000</v>
      </c>
      <c r="F240" s="14">
        <f t="shared" si="70"/>
        <v>522000</v>
      </c>
      <c r="G240" s="15">
        <f t="shared" si="71"/>
        <v>0.39087195385263646</v>
      </c>
      <c r="H240" s="13">
        <f t="shared" si="72"/>
        <v>8479.8466553073376</v>
      </c>
      <c r="I240" s="13">
        <f t="shared" si="73"/>
        <v>806447.98020866595</v>
      </c>
      <c r="J240" s="15">
        <f t="shared" si="65"/>
        <v>0.6091280461473636</v>
      </c>
      <c r="K240" s="13">
        <f t="shared" si="74"/>
        <v>813475.70976862777</v>
      </c>
      <c r="L240" s="13">
        <f t="shared" si="82"/>
        <v>59516783.583765291</v>
      </c>
      <c r="M240" s="15">
        <f t="shared" si="75"/>
        <v>0.60912804614736349</v>
      </c>
      <c r="N240" s="13">
        <f t="shared" si="66"/>
        <v>0</v>
      </c>
      <c r="O240" s="13">
        <f t="shared" si="76"/>
        <v>-7027.7295599610079</v>
      </c>
      <c r="P240" s="15">
        <f t="shared" si="67"/>
        <v>-5.2901804697366647E-3</v>
      </c>
      <c r="Q240" s="7">
        <f t="shared" si="77"/>
        <v>1328447.9802086668</v>
      </c>
      <c r="R240" s="7">
        <f t="shared" si="78"/>
        <v>1335475.7097686278</v>
      </c>
      <c r="S240" s="13">
        <f>IF('BANCO DE DADOS'!$AD$32="Sim",R240,Q240)</f>
        <v>1335475.7097686278</v>
      </c>
      <c r="T240" s="9">
        <f t="shared" si="79"/>
        <v>236</v>
      </c>
      <c r="U240" s="18">
        <f t="shared" ca="1" si="80"/>
        <v>51561</v>
      </c>
      <c r="V240" s="24"/>
      <c r="W240" s="24"/>
      <c r="X240" s="24"/>
    </row>
    <row r="241" spans="2:24" x14ac:dyDescent="0.2">
      <c r="B241" s="18">
        <f t="shared" ca="1" si="68"/>
        <v>51561</v>
      </c>
      <c r="C241" s="9">
        <f t="shared" si="81"/>
        <v>237</v>
      </c>
      <c r="D241" s="9"/>
      <c r="E241" s="13">
        <f t="shared" si="69"/>
        <v>2000</v>
      </c>
      <c r="F241" s="14">
        <f t="shared" si="70"/>
        <v>524000</v>
      </c>
      <c r="G241" s="15">
        <f t="shared" si="71"/>
        <v>0.38927818848533274</v>
      </c>
      <c r="H241" s="13">
        <f t="shared" si="72"/>
        <v>8547.2743042358034</v>
      </c>
      <c r="I241" s="13">
        <f t="shared" si="73"/>
        <v>814995.25451290177</v>
      </c>
      <c r="J241" s="15">
        <f t="shared" si="65"/>
        <v>0.61072181151466731</v>
      </c>
      <c r="K241" s="13">
        <f t="shared" si="74"/>
        <v>822081.06875667744</v>
      </c>
      <c r="L241" s="13">
        <f t="shared" si="82"/>
        <v>60338864.652521968</v>
      </c>
      <c r="M241" s="15">
        <f t="shared" si="75"/>
        <v>0.61072181151466731</v>
      </c>
      <c r="N241" s="13">
        <f t="shared" si="66"/>
        <v>0</v>
      </c>
      <c r="O241" s="13">
        <f t="shared" si="76"/>
        <v>-7085.8142437748611</v>
      </c>
      <c r="P241" s="15">
        <f t="shared" si="67"/>
        <v>-5.2918889890707843E-3</v>
      </c>
      <c r="Q241" s="7">
        <f t="shared" si="77"/>
        <v>1338995.2545129026</v>
      </c>
      <c r="R241" s="7">
        <f t="shared" si="78"/>
        <v>1346081.0687566774</v>
      </c>
      <c r="S241" s="13">
        <f>IF('BANCO DE DADOS'!$AD$32="Sim",R241,Q241)</f>
        <v>1346081.0687566774</v>
      </c>
      <c r="T241" s="9">
        <f t="shared" si="79"/>
        <v>237</v>
      </c>
      <c r="U241" s="18">
        <f t="shared" ca="1" si="80"/>
        <v>51592</v>
      </c>
      <c r="V241" s="24"/>
      <c r="W241" s="24"/>
      <c r="X241" s="24"/>
    </row>
    <row r="242" spans="2:24" x14ac:dyDescent="0.2">
      <c r="B242" s="18">
        <f t="shared" ca="1" si="68"/>
        <v>51592</v>
      </c>
      <c r="C242" s="9">
        <f t="shared" si="81"/>
        <v>238</v>
      </c>
      <c r="D242" s="9"/>
      <c r="E242" s="13">
        <f t="shared" si="69"/>
        <v>2000</v>
      </c>
      <c r="F242" s="14">
        <f t="shared" si="70"/>
        <v>526000</v>
      </c>
      <c r="G242" s="15">
        <f t="shared" si="71"/>
        <v>0.38768984132969558</v>
      </c>
      <c r="H242" s="13">
        <f t="shared" si="72"/>
        <v>8615.1357846877218</v>
      </c>
      <c r="I242" s="13">
        <f t="shared" si="73"/>
        <v>823610.39029758947</v>
      </c>
      <c r="J242" s="15">
        <f t="shared" si="65"/>
        <v>0.61231015867030436</v>
      </c>
      <c r="K242" s="13">
        <f t="shared" si="74"/>
        <v>830754.66294378345</v>
      </c>
      <c r="L242" s="13">
        <f t="shared" si="82"/>
        <v>61169619.315465748</v>
      </c>
      <c r="M242" s="15">
        <f t="shared" si="75"/>
        <v>0.61231015867030447</v>
      </c>
      <c r="N242" s="13">
        <f t="shared" si="66"/>
        <v>0</v>
      </c>
      <c r="O242" s="13">
        <f t="shared" si="76"/>
        <v>-7144.2726461931597</v>
      </c>
      <c r="P242" s="15">
        <f t="shared" si="67"/>
        <v>-5.2935815384600304E-3</v>
      </c>
      <c r="Q242" s="7">
        <f t="shared" si="77"/>
        <v>1349610.3902975903</v>
      </c>
      <c r="R242" s="7">
        <f t="shared" si="78"/>
        <v>1356754.6629437834</v>
      </c>
      <c r="S242" s="13">
        <f>IF('BANCO DE DADOS'!$AD$32="Sim",R242,Q242)</f>
        <v>1356754.6629437834</v>
      </c>
      <c r="T242" s="9">
        <f t="shared" si="79"/>
        <v>238</v>
      </c>
      <c r="U242" s="18">
        <f t="shared" ca="1" si="80"/>
        <v>51622</v>
      </c>
      <c r="V242" s="24"/>
      <c r="W242" s="24"/>
      <c r="X242" s="24"/>
    </row>
    <row r="243" spans="2:24" x14ac:dyDescent="0.2">
      <c r="B243" s="18">
        <f t="shared" ca="1" si="68"/>
        <v>51622</v>
      </c>
      <c r="C243" s="9">
        <f t="shared" si="81"/>
        <v>239</v>
      </c>
      <c r="D243" s="9"/>
      <c r="E243" s="13">
        <f t="shared" si="69"/>
        <v>2000</v>
      </c>
      <c r="F243" s="14">
        <f t="shared" si="70"/>
        <v>528000</v>
      </c>
      <c r="G243" s="15">
        <f t="shared" si="71"/>
        <v>0.38610689932294634</v>
      </c>
      <c r="H243" s="13">
        <f t="shared" si="72"/>
        <v>8683.4338879481766</v>
      </c>
      <c r="I243" s="13">
        <f t="shared" si="73"/>
        <v>832293.82418553764</v>
      </c>
      <c r="J243" s="15">
        <f t="shared" si="65"/>
        <v>0.6138931006770536</v>
      </c>
      <c r="K243" s="13">
        <f t="shared" si="74"/>
        <v>839496.93135727127</v>
      </c>
      <c r="L243" s="13">
        <f t="shared" si="82"/>
        <v>62009116.24682302</v>
      </c>
      <c r="M243" s="15">
        <f t="shared" si="75"/>
        <v>0.61389310067705372</v>
      </c>
      <c r="N243" s="13">
        <f t="shared" si="66"/>
        <v>0</v>
      </c>
      <c r="O243" s="13">
        <f t="shared" si="76"/>
        <v>-7203.1071717326995</v>
      </c>
      <c r="P243" s="15">
        <f t="shared" si="67"/>
        <v>-5.2952583064511689E-3</v>
      </c>
      <c r="Q243" s="7">
        <f t="shared" si="77"/>
        <v>1360293.8241855386</v>
      </c>
      <c r="R243" s="7">
        <f t="shared" si="78"/>
        <v>1367496.9313572713</v>
      </c>
      <c r="S243" s="13">
        <f>IF('BANCO DE DADOS'!$AD$32="Sim",R243,Q243)</f>
        <v>1367496.9313572713</v>
      </c>
      <c r="T243" s="9">
        <f t="shared" si="79"/>
        <v>239</v>
      </c>
      <c r="U243" s="18">
        <f t="shared" ca="1" si="80"/>
        <v>51653</v>
      </c>
      <c r="V243" s="24"/>
      <c r="W243" s="24"/>
      <c r="X243" s="24"/>
    </row>
    <row r="244" spans="2:24" x14ac:dyDescent="0.2">
      <c r="B244" s="18">
        <f t="shared" ca="1" si="68"/>
        <v>51653</v>
      </c>
      <c r="C244" s="9">
        <f t="shared" si="81"/>
        <v>240</v>
      </c>
      <c r="D244" s="9">
        <v>20</v>
      </c>
      <c r="E244" s="13">
        <f t="shared" si="69"/>
        <v>2000</v>
      </c>
      <c r="F244" s="14">
        <f t="shared" si="70"/>
        <v>530000</v>
      </c>
      <c r="G244" s="15">
        <f t="shared" si="71"/>
        <v>0.38452934942459871</v>
      </c>
      <c r="H244" s="13">
        <f t="shared" si="72"/>
        <v>8752.1714232614668</v>
      </c>
      <c r="I244" s="13">
        <f t="shared" si="73"/>
        <v>841045.99560879916</v>
      </c>
      <c r="J244" s="15">
        <f t="shared" si="65"/>
        <v>0.61547065057540129</v>
      </c>
      <c r="K244" s="13">
        <f t="shared" si="74"/>
        <v>848308.31584918126</v>
      </c>
      <c r="L244" s="13">
        <f t="shared" si="82"/>
        <v>62857424.562672198</v>
      </c>
      <c r="M244" s="15">
        <f t="shared" si="75"/>
        <v>0.61547065057540129</v>
      </c>
      <c r="N244" s="13">
        <f t="shared" si="66"/>
        <v>0</v>
      </c>
      <c r="O244" s="13">
        <f t="shared" si="76"/>
        <v>-7262.3202403811738</v>
      </c>
      <c r="P244" s="15">
        <f t="shared" si="67"/>
        <v>-5.2969194787344893E-3</v>
      </c>
      <c r="Q244" s="7">
        <f t="shared" si="77"/>
        <v>1371045.9956088001</v>
      </c>
      <c r="R244" s="7">
        <f t="shared" si="78"/>
        <v>1378308.3158491813</v>
      </c>
      <c r="S244" s="13">
        <f>IF('BANCO DE DADOS'!$AD$32="Sim",R244,Q244)</f>
        <v>1378308.3158491813</v>
      </c>
      <c r="T244" s="9">
        <f t="shared" si="79"/>
        <v>240</v>
      </c>
      <c r="U244" s="18">
        <f t="shared" ca="1" si="80"/>
        <v>51683</v>
      </c>
      <c r="V244" s="24"/>
      <c r="W244" s="24"/>
      <c r="X244" s="24"/>
    </row>
    <row r="245" spans="2:24" x14ac:dyDescent="0.2">
      <c r="B245" s="18">
        <f t="shared" ca="1" si="68"/>
        <v>51683</v>
      </c>
      <c r="C245" s="9">
        <f t="shared" si="81"/>
        <v>241</v>
      </c>
      <c r="D245" s="9"/>
      <c r="E245" s="13">
        <f t="shared" si="69"/>
        <v>2000</v>
      </c>
      <c r="F245" s="14">
        <f t="shared" si="70"/>
        <v>532000</v>
      </c>
      <c r="G245" s="15">
        <f t="shared" si="71"/>
        <v>0.38295717861597639</v>
      </c>
      <c r="H245" s="13">
        <f t="shared" si="72"/>
        <v>8821.3512179466506</v>
      </c>
      <c r="I245" s="13">
        <f t="shared" si="73"/>
        <v>849867.34682674578</v>
      </c>
      <c r="J245" s="15">
        <f t="shared" si="65"/>
        <v>0.61704282138402355</v>
      </c>
      <c r="K245" s="13">
        <f t="shared" si="74"/>
        <v>857189.26111444295</v>
      </c>
      <c r="L245" s="13">
        <f t="shared" si="82"/>
        <v>63714613.823786639</v>
      </c>
      <c r="M245" s="15">
        <f t="shared" si="75"/>
        <v>0.61704282138402355</v>
      </c>
      <c r="N245" s="13">
        <f t="shared" si="66"/>
        <v>0</v>
      </c>
      <c r="O245" s="13">
        <f t="shared" si="76"/>
        <v>-7321.9142876961268</v>
      </c>
      <c r="P245" s="15">
        <f t="shared" si="67"/>
        <v>-5.298565238197296E-3</v>
      </c>
      <c r="Q245" s="7">
        <f t="shared" si="77"/>
        <v>1381867.3468267468</v>
      </c>
      <c r="R245" s="7">
        <f t="shared" si="78"/>
        <v>1389189.261114443</v>
      </c>
      <c r="S245" s="13">
        <f>IF('BANCO DE DADOS'!$AD$32="Sim",R245,Q245)</f>
        <v>1389189.261114443</v>
      </c>
      <c r="T245" s="9">
        <f t="shared" si="79"/>
        <v>241</v>
      </c>
      <c r="U245" s="18">
        <f t="shared" ca="1" si="80"/>
        <v>51714</v>
      </c>
      <c r="V245" s="24"/>
      <c r="W245" s="24"/>
      <c r="X245" s="24"/>
    </row>
    <row r="246" spans="2:24" x14ac:dyDescent="0.2">
      <c r="B246" s="18">
        <f t="shared" ca="1" si="68"/>
        <v>51714</v>
      </c>
      <c r="C246" s="9">
        <f t="shared" si="81"/>
        <v>242</v>
      </c>
      <c r="D246" s="9"/>
      <c r="E246" s="13">
        <f t="shared" si="69"/>
        <v>2000</v>
      </c>
      <c r="F246" s="14">
        <f t="shared" si="70"/>
        <v>534000</v>
      </c>
      <c r="G246" s="15">
        <f t="shared" si="71"/>
        <v>0.38139037389974623</v>
      </c>
      <c r="H246" s="13">
        <f t="shared" si="72"/>
        <v>8890.9761175138428</v>
      </c>
      <c r="I246" s="13">
        <f t="shared" si="73"/>
        <v>858758.32294425962</v>
      </c>
      <c r="J246" s="15">
        <f t="shared" si="65"/>
        <v>0.61860962610025383</v>
      </c>
      <c r="K246" s="13">
        <f t="shared" si="74"/>
        <v>866140.21470916667</v>
      </c>
      <c r="L246" s="13">
        <f t="shared" si="82"/>
        <v>64580754.038495809</v>
      </c>
      <c r="M246" s="15">
        <f t="shared" si="75"/>
        <v>0.61860962610025383</v>
      </c>
      <c r="N246" s="13">
        <f t="shared" si="66"/>
        <v>0</v>
      </c>
      <c r="O246" s="13">
        <f t="shared" si="76"/>
        <v>-7381.8917649060022</v>
      </c>
      <c r="P246" s="15">
        <f t="shared" si="67"/>
        <v>-5.300195764977261E-3</v>
      </c>
      <c r="Q246" s="7">
        <f t="shared" si="77"/>
        <v>1392758.3229442607</v>
      </c>
      <c r="R246" s="7">
        <f t="shared" si="78"/>
        <v>1400140.2147091667</v>
      </c>
      <c r="S246" s="13">
        <f>IF('BANCO DE DADOS'!$AD$32="Sim",R246,Q246)</f>
        <v>1400140.2147091667</v>
      </c>
      <c r="T246" s="9">
        <f t="shared" si="79"/>
        <v>242</v>
      </c>
      <c r="U246" s="18">
        <f t="shared" ca="1" si="80"/>
        <v>51745</v>
      </c>
      <c r="V246" s="24"/>
      <c r="W246" s="24"/>
      <c r="X246" s="24"/>
    </row>
    <row r="247" spans="2:24" x14ac:dyDescent="0.2">
      <c r="B247" s="18">
        <f t="shared" ca="1" si="68"/>
        <v>51745</v>
      </c>
      <c r="C247" s="9">
        <f t="shared" si="81"/>
        <v>243</v>
      </c>
      <c r="D247" s="9"/>
      <c r="E247" s="13">
        <f t="shared" si="69"/>
        <v>2000</v>
      </c>
      <c r="F247" s="14">
        <f t="shared" si="70"/>
        <v>536000</v>
      </c>
      <c r="G247" s="15">
        <f t="shared" si="71"/>
        <v>0.37982892229946669</v>
      </c>
      <c r="H247" s="13">
        <f t="shared" si="72"/>
        <v>8961.0489857812554</v>
      </c>
      <c r="I247" s="13">
        <f t="shared" si="73"/>
        <v>867719.37193004088</v>
      </c>
      <c r="J247" s="15">
        <f t="shared" si="65"/>
        <v>0.62017107770053337</v>
      </c>
      <c r="K247" s="13">
        <f t="shared" si="74"/>
        <v>875161.62706905208</v>
      </c>
      <c r="L247" s="13">
        <f t="shared" si="82"/>
        <v>65455915.665564857</v>
      </c>
      <c r="M247" s="15">
        <f t="shared" si="75"/>
        <v>0.62017107770053326</v>
      </c>
      <c r="N247" s="13">
        <f t="shared" si="66"/>
        <v>0</v>
      </c>
      <c r="O247" s="13">
        <f t="shared" si="76"/>
        <v>-7442.2551390102599</v>
      </c>
      <c r="P247" s="15">
        <f t="shared" si="67"/>
        <v>-5.3018112365134226E-3</v>
      </c>
      <c r="Q247" s="7">
        <f t="shared" si="77"/>
        <v>1403719.3719300418</v>
      </c>
      <c r="R247" s="7">
        <f t="shared" si="78"/>
        <v>1411161.6270690521</v>
      </c>
      <c r="S247" s="13">
        <f>IF('BANCO DE DADOS'!$AD$32="Sim",R247,Q247)</f>
        <v>1411161.6270690521</v>
      </c>
      <c r="T247" s="9">
        <f t="shared" si="79"/>
        <v>243</v>
      </c>
      <c r="U247" s="18">
        <f t="shared" ca="1" si="80"/>
        <v>51775</v>
      </c>
      <c r="V247" s="24"/>
      <c r="W247" s="24"/>
      <c r="X247" s="24"/>
    </row>
    <row r="248" spans="2:24" x14ac:dyDescent="0.2">
      <c r="B248" s="18">
        <f t="shared" ca="1" si="68"/>
        <v>51775</v>
      </c>
      <c r="C248" s="9">
        <f t="shared" si="81"/>
        <v>244</v>
      </c>
      <c r="D248" s="9"/>
      <c r="E248" s="13">
        <f t="shared" si="69"/>
        <v>2000</v>
      </c>
      <c r="F248" s="14">
        <f t="shared" si="70"/>
        <v>538000</v>
      </c>
      <c r="G248" s="15">
        <f t="shared" si="71"/>
        <v>0.37827281085915138</v>
      </c>
      <c r="H248" s="13">
        <f t="shared" si="72"/>
        <v>9031.5727049929937</v>
      </c>
      <c r="I248" s="13">
        <f t="shared" si="73"/>
        <v>876750.94463503384</v>
      </c>
      <c r="J248" s="15">
        <f t="shared" si="65"/>
        <v>0.62172718914084868</v>
      </c>
      <c r="K248" s="13">
        <f t="shared" si="74"/>
        <v>884253.95152791589</v>
      </c>
      <c r="L248" s="13">
        <f t="shared" si="82"/>
        <v>66340169.617092773</v>
      </c>
      <c r="M248" s="15">
        <f t="shared" si="75"/>
        <v>0.62172718914084857</v>
      </c>
      <c r="N248" s="13">
        <f t="shared" si="66"/>
        <v>0</v>
      </c>
      <c r="O248" s="13">
        <f t="shared" si="76"/>
        <v>-7503.0068928811233</v>
      </c>
      <c r="P248" s="15">
        <f t="shared" si="67"/>
        <v>-5.3034118275967533E-3</v>
      </c>
      <c r="Q248" s="7">
        <f t="shared" si="77"/>
        <v>1414750.9446350348</v>
      </c>
      <c r="R248" s="7">
        <f t="shared" si="78"/>
        <v>1422253.9515279159</v>
      </c>
      <c r="S248" s="13">
        <f>IF('BANCO DE DADOS'!$AD$32="Sim",R248,Q248)</f>
        <v>1422253.9515279159</v>
      </c>
      <c r="T248" s="9">
        <f t="shared" si="79"/>
        <v>244</v>
      </c>
      <c r="U248" s="18">
        <f t="shared" ca="1" si="80"/>
        <v>51806</v>
      </c>
      <c r="V248" s="24"/>
      <c r="W248" s="24"/>
      <c r="X248" s="24"/>
    </row>
    <row r="249" spans="2:24" x14ac:dyDescent="0.2">
      <c r="B249" s="18">
        <f t="shared" ca="1" si="68"/>
        <v>51806</v>
      </c>
      <c r="C249" s="9">
        <f t="shared" si="81"/>
        <v>245</v>
      </c>
      <c r="D249" s="9"/>
      <c r="E249" s="13">
        <f t="shared" si="69"/>
        <v>2000</v>
      </c>
      <c r="F249" s="14">
        <f t="shared" si="70"/>
        <v>540000</v>
      </c>
      <c r="G249" s="15">
        <f t="shared" si="71"/>
        <v>0.37672202664284637</v>
      </c>
      <c r="H249" s="13">
        <f t="shared" si="72"/>
        <v>9102.5501759376093</v>
      </c>
      <c r="I249" s="13">
        <f t="shared" si="73"/>
        <v>885853.49481097143</v>
      </c>
      <c r="J249" s="15">
        <f t="shared" si="65"/>
        <v>0.62327797335715363</v>
      </c>
      <c r="K249" s="13">
        <f t="shared" si="74"/>
        <v>893417.64433633792</v>
      </c>
      <c r="L249" s="13">
        <f t="shared" si="82"/>
        <v>67233587.261429116</v>
      </c>
      <c r="M249" s="15">
        <f t="shared" si="75"/>
        <v>0.62327797335715363</v>
      </c>
      <c r="N249" s="13">
        <f t="shared" si="66"/>
        <v>0</v>
      </c>
      <c r="O249" s="13">
        <f t="shared" si="76"/>
        <v>-7564.1495253655594</v>
      </c>
      <c r="P249" s="15">
        <f t="shared" si="67"/>
        <v>-5.304997710419296E-3</v>
      </c>
      <c r="Q249" s="7">
        <f t="shared" si="77"/>
        <v>1425853.4948109724</v>
      </c>
      <c r="R249" s="7">
        <f t="shared" si="78"/>
        <v>1433417.6443363379</v>
      </c>
      <c r="S249" s="13">
        <f>IF('BANCO DE DADOS'!$AD$32="Sim",R249,Q249)</f>
        <v>1433417.6443363379</v>
      </c>
      <c r="T249" s="9">
        <f t="shared" si="79"/>
        <v>245</v>
      </c>
      <c r="U249" s="18">
        <f t="shared" ca="1" si="80"/>
        <v>51836</v>
      </c>
      <c r="V249" s="24"/>
      <c r="W249" s="24"/>
      <c r="X249" s="24"/>
    </row>
    <row r="250" spans="2:24" x14ac:dyDescent="0.2">
      <c r="B250" s="18">
        <f t="shared" ca="1" si="68"/>
        <v>51836</v>
      </c>
      <c r="C250" s="9">
        <f t="shared" si="81"/>
        <v>246</v>
      </c>
      <c r="D250" s="9"/>
      <c r="E250" s="13">
        <f t="shared" si="69"/>
        <v>2000</v>
      </c>
      <c r="F250" s="14">
        <f t="shared" si="70"/>
        <v>542000</v>
      </c>
      <c r="G250" s="15">
        <f t="shared" si="71"/>
        <v>0.37517655673422201</v>
      </c>
      <c r="H250" s="13">
        <f t="shared" si="72"/>
        <v>9173.9843180674161</v>
      </c>
      <c r="I250" s="13">
        <f t="shared" si="73"/>
        <v>895027.47912903887</v>
      </c>
      <c r="J250" s="15">
        <f t="shared" si="65"/>
        <v>0.62482344326577799</v>
      </c>
      <c r="K250" s="13">
        <f t="shared" si="74"/>
        <v>902653.1646804281</v>
      </c>
      <c r="L250" s="13">
        <f t="shared" si="82"/>
        <v>68136240.426109537</v>
      </c>
      <c r="M250" s="15">
        <f t="shared" si="75"/>
        <v>0.62482344326577799</v>
      </c>
      <c r="N250" s="13">
        <f t="shared" si="66"/>
        <v>0</v>
      </c>
      <c r="O250" s="13">
        <f t="shared" si="76"/>
        <v>-7625.685551388422</v>
      </c>
      <c r="P250" s="15">
        <f t="shared" si="67"/>
        <v>-5.3065690546225553E-3</v>
      </c>
      <c r="Q250" s="7">
        <f t="shared" si="77"/>
        <v>1437027.4791290397</v>
      </c>
      <c r="R250" s="7">
        <f t="shared" si="78"/>
        <v>1444653.1646804281</v>
      </c>
      <c r="S250" s="13">
        <f>IF('BANCO DE DADOS'!$AD$32="Sim",R250,Q250)</f>
        <v>1444653.1646804281</v>
      </c>
      <c r="T250" s="9">
        <f t="shared" si="79"/>
        <v>246</v>
      </c>
      <c r="U250" s="18">
        <f t="shared" ca="1" si="80"/>
        <v>51867</v>
      </c>
      <c r="V250" s="24"/>
      <c r="W250" s="24"/>
      <c r="X250" s="24"/>
    </row>
    <row r="251" spans="2:24" x14ac:dyDescent="0.2">
      <c r="B251" s="18">
        <f t="shared" ca="1" si="68"/>
        <v>51867</v>
      </c>
      <c r="C251" s="9">
        <f t="shared" si="81"/>
        <v>247</v>
      </c>
      <c r="D251" s="9"/>
      <c r="E251" s="13">
        <f t="shared" si="69"/>
        <v>2000</v>
      </c>
      <c r="F251" s="14">
        <f t="shared" si="70"/>
        <v>544000</v>
      </c>
      <c r="G251" s="15">
        <f t="shared" si="71"/>
        <v>0.37363638823617801</v>
      </c>
      <c r="H251" s="13">
        <f t="shared" si="72"/>
        <v>9245.8780696185677</v>
      </c>
      <c r="I251" s="13">
        <f t="shared" si="73"/>
        <v>904273.35719865747</v>
      </c>
      <c r="J251" s="15">
        <f t="shared" si="65"/>
        <v>0.62636361176382205</v>
      </c>
      <c r="K251" s="13">
        <f t="shared" si="74"/>
        <v>911960.97470071376</v>
      </c>
      <c r="L251" s="13">
        <f t="shared" si="82"/>
        <v>69048201.400810257</v>
      </c>
      <c r="M251" s="15">
        <f t="shared" si="75"/>
        <v>0.62636361176382205</v>
      </c>
      <c r="N251" s="13">
        <f t="shared" si="66"/>
        <v>0</v>
      </c>
      <c r="O251" s="13">
        <f t="shared" si="76"/>
        <v>-7687.6175020555966</v>
      </c>
      <c r="P251" s="15">
        <f t="shared" si="67"/>
        <v>-5.3081260273443627E-3</v>
      </c>
      <c r="Q251" s="7">
        <f t="shared" si="77"/>
        <v>1448273.3571986582</v>
      </c>
      <c r="R251" s="7">
        <f t="shared" si="78"/>
        <v>1455960.9747007138</v>
      </c>
      <c r="S251" s="13">
        <f>IF('BANCO DE DADOS'!$AD$32="Sim",R251,Q251)</f>
        <v>1455960.9747007138</v>
      </c>
      <c r="T251" s="9">
        <f t="shared" si="79"/>
        <v>247</v>
      </c>
      <c r="U251" s="18">
        <f t="shared" ca="1" si="80"/>
        <v>51898</v>
      </c>
      <c r="V251" s="24"/>
      <c r="W251" s="24"/>
      <c r="X251" s="24"/>
    </row>
    <row r="252" spans="2:24" x14ac:dyDescent="0.2">
      <c r="B252" s="18">
        <f t="shared" ca="1" si="68"/>
        <v>51898</v>
      </c>
      <c r="C252" s="9">
        <f t="shared" si="81"/>
        <v>248</v>
      </c>
      <c r="D252" s="9"/>
      <c r="E252" s="13">
        <f t="shared" si="69"/>
        <v>2000</v>
      </c>
      <c r="F252" s="14">
        <f t="shared" si="70"/>
        <v>546000</v>
      </c>
      <c r="G252" s="15">
        <f t="shared" si="71"/>
        <v>0.37210150827046207</v>
      </c>
      <c r="H252" s="13">
        <f t="shared" si="72"/>
        <v>9318.2343877319199</v>
      </c>
      <c r="I252" s="13">
        <f t="shared" si="73"/>
        <v>913591.59158638935</v>
      </c>
      <c r="J252" s="15">
        <f t="shared" si="65"/>
        <v>0.62789849172953793</v>
      </c>
      <c r="K252" s="13">
        <f t="shared" si="74"/>
        <v>921341.53951114812</v>
      </c>
      <c r="L252" s="13">
        <f t="shared" si="82"/>
        <v>69969542.940321401</v>
      </c>
      <c r="M252" s="15">
        <f t="shared" si="75"/>
        <v>0.62789849172953793</v>
      </c>
      <c r="N252" s="13">
        <f t="shared" si="66"/>
        <v>0</v>
      </c>
      <c r="O252" s="13">
        <f t="shared" si="76"/>
        <v>-7749.9479247580748</v>
      </c>
      <c r="P252" s="15">
        <f t="shared" si="67"/>
        <v>-5.3096687932648809E-3</v>
      </c>
      <c r="Q252" s="7">
        <f t="shared" si="77"/>
        <v>1459591.59158639</v>
      </c>
      <c r="R252" s="7">
        <f t="shared" si="78"/>
        <v>1467341.5395111481</v>
      </c>
      <c r="S252" s="13">
        <f>IF('BANCO DE DADOS'!$AD$32="Sim",R252,Q252)</f>
        <v>1467341.5395111481</v>
      </c>
      <c r="T252" s="9">
        <f t="shared" si="79"/>
        <v>248</v>
      </c>
      <c r="U252" s="18">
        <f t="shared" ca="1" si="80"/>
        <v>51926</v>
      </c>
      <c r="V252" s="24"/>
      <c r="W252" s="24"/>
      <c r="X252" s="24"/>
    </row>
    <row r="253" spans="2:24" x14ac:dyDescent="0.2">
      <c r="B253" s="18">
        <f t="shared" ca="1" si="68"/>
        <v>51926</v>
      </c>
      <c r="C253" s="9">
        <f t="shared" si="81"/>
        <v>249</v>
      </c>
      <c r="D253" s="9"/>
      <c r="E253" s="13">
        <f t="shared" si="69"/>
        <v>2000</v>
      </c>
      <c r="F253" s="14">
        <f t="shared" si="70"/>
        <v>548000</v>
      </c>
      <c r="G253" s="15">
        <f t="shared" si="71"/>
        <v>0.37057190397730122</v>
      </c>
      <c r="H253" s="13">
        <f t="shared" si="72"/>
        <v>9391.0562485746632</v>
      </c>
      <c r="I253" s="13">
        <f t="shared" si="73"/>
        <v>922982.64783496398</v>
      </c>
      <c r="J253" s="15">
        <f t="shared" si="65"/>
        <v>0.62942809602269878</v>
      </c>
      <c r="K253" s="13">
        <f t="shared" si="74"/>
        <v>930795.32721824176</v>
      </c>
      <c r="L253" s="13">
        <f t="shared" si="82"/>
        <v>70900338.267539635</v>
      </c>
      <c r="M253" s="15">
        <f t="shared" si="75"/>
        <v>0.62942809602269878</v>
      </c>
      <c r="N253" s="13">
        <f t="shared" si="66"/>
        <v>0</v>
      </c>
      <c r="O253" s="13">
        <f t="shared" si="76"/>
        <v>-7812.6793832769617</v>
      </c>
      <c r="P253" s="15">
        <f t="shared" si="67"/>
        <v>-5.3111975146517814E-3</v>
      </c>
      <c r="Q253" s="7">
        <f t="shared" si="77"/>
        <v>1470982.6478349648</v>
      </c>
      <c r="R253" s="7">
        <f t="shared" si="78"/>
        <v>1478795.3272182418</v>
      </c>
      <c r="S253" s="13">
        <f>IF('BANCO DE DADOS'!$AD$32="Sim",R253,Q253)</f>
        <v>1478795.3272182418</v>
      </c>
      <c r="T253" s="9">
        <f t="shared" si="79"/>
        <v>249</v>
      </c>
      <c r="U253" s="18">
        <f t="shared" ca="1" si="80"/>
        <v>51957</v>
      </c>
      <c r="V253" s="24"/>
      <c r="W253" s="24"/>
      <c r="X253" s="24"/>
    </row>
    <row r="254" spans="2:24" x14ac:dyDescent="0.2">
      <c r="B254" s="18">
        <f t="shared" ca="1" si="68"/>
        <v>51957</v>
      </c>
      <c r="C254" s="9">
        <f t="shared" si="81"/>
        <v>250</v>
      </c>
      <c r="D254" s="9"/>
      <c r="E254" s="13">
        <f t="shared" si="69"/>
        <v>2000</v>
      </c>
      <c r="F254" s="14">
        <f t="shared" si="70"/>
        <v>550000</v>
      </c>
      <c r="G254" s="15">
        <f t="shared" si="71"/>
        <v>0.36904756251504578</v>
      </c>
      <c r="H254" s="13">
        <f t="shared" si="72"/>
        <v>9464.3466474627348</v>
      </c>
      <c r="I254" s="13">
        <f t="shared" si="73"/>
        <v>932446.99448242667</v>
      </c>
      <c r="J254" s="15">
        <f t="shared" si="65"/>
        <v>0.63095243748495422</v>
      </c>
      <c r="K254" s="13">
        <f t="shared" si="74"/>
        <v>940322.80894031632</v>
      </c>
      <c r="L254" s="13">
        <f t="shared" si="82"/>
        <v>71840661.076479957</v>
      </c>
      <c r="M254" s="15">
        <f t="shared" si="75"/>
        <v>0.63095243748495422</v>
      </c>
      <c r="N254" s="13">
        <f t="shared" si="66"/>
        <v>0</v>
      </c>
      <c r="O254" s="13">
        <f t="shared" si="76"/>
        <v>-7875.814457888715</v>
      </c>
      <c r="P254" s="15">
        <f t="shared" si="67"/>
        <v>-5.3127123514041244E-3</v>
      </c>
      <c r="Q254" s="7">
        <f t="shared" si="77"/>
        <v>1482446.9944824276</v>
      </c>
      <c r="R254" s="7">
        <f t="shared" si="78"/>
        <v>1490322.8089403163</v>
      </c>
      <c r="S254" s="13">
        <f>IF('BANCO DE DADOS'!$AD$32="Sim",R254,Q254)</f>
        <v>1490322.8089403163</v>
      </c>
      <c r="T254" s="9">
        <f t="shared" si="79"/>
        <v>250</v>
      </c>
      <c r="U254" s="18">
        <f t="shared" ca="1" si="80"/>
        <v>51987</v>
      </c>
      <c r="V254" s="24"/>
      <c r="W254" s="24"/>
      <c r="X254" s="24"/>
    </row>
    <row r="255" spans="2:24" x14ac:dyDescent="0.2">
      <c r="B255" s="18">
        <f t="shared" ca="1" si="68"/>
        <v>51987</v>
      </c>
      <c r="C255" s="9">
        <f t="shared" si="81"/>
        <v>251</v>
      </c>
      <c r="D255" s="9"/>
      <c r="E255" s="13">
        <f t="shared" si="69"/>
        <v>2000</v>
      </c>
      <c r="F255" s="14">
        <f t="shared" si="70"/>
        <v>552000</v>
      </c>
      <c r="G255" s="15">
        <f t="shared" si="71"/>
        <v>0.36752847105982533</v>
      </c>
      <c r="H255" s="13">
        <f t="shared" si="72"/>
        <v>9538.1085989840285</v>
      </c>
      <c r="I255" s="13">
        <f t="shared" si="73"/>
        <v>941985.10308141075</v>
      </c>
      <c r="J255" s="15">
        <f t="shared" si="65"/>
        <v>0.63247152894017467</v>
      </c>
      <c r="K255" s="13">
        <f t="shared" si="74"/>
        <v>949924.45882688323</v>
      </c>
      <c r="L255" s="13">
        <f t="shared" si="82"/>
        <v>72790585.535306841</v>
      </c>
      <c r="M255" s="15">
        <f t="shared" si="75"/>
        <v>0.63247152894017467</v>
      </c>
      <c r="N255" s="13">
        <f t="shared" si="66"/>
        <v>0</v>
      </c>
      <c r="O255" s="13">
        <f t="shared" si="76"/>
        <v>-7939.3557454715483</v>
      </c>
      <c r="P255" s="15">
        <f t="shared" si="67"/>
        <v>-5.3142134610956087E-3</v>
      </c>
      <c r="Q255" s="7">
        <f t="shared" si="77"/>
        <v>1493985.1030814117</v>
      </c>
      <c r="R255" s="7">
        <f t="shared" si="78"/>
        <v>1501924.4588268832</v>
      </c>
      <c r="S255" s="13">
        <f>IF('BANCO DE DADOS'!$AD$32="Sim",R255,Q255)</f>
        <v>1501924.4588268832</v>
      </c>
      <c r="T255" s="9">
        <f t="shared" si="79"/>
        <v>251</v>
      </c>
      <c r="U255" s="18">
        <f t="shared" ca="1" si="80"/>
        <v>52018</v>
      </c>
      <c r="V255" s="24"/>
      <c r="W255" s="24"/>
      <c r="X255" s="24"/>
    </row>
    <row r="256" spans="2:24" x14ac:dyDescent="0.2">
      <c r="B256" s="18">
        <f t="shared" ca="1" si="68"/>
        <v>52018</v>
      </c>
      <c r="C256" s="9">
        <f t="shared" si="81"/>
        <v>252</v>
      </c>
      <c r="D256" s="9">
        <v>21</v>
      </c>
      <c r="E256" s="13">
        <f t="shared" si="69"/>
        <v>2000</v>
      </c>
      <c r="F256" s="14">
        <f t="shared" si="70"/>
        <v>554000</v>
      </c>
      <c r="G256" s="15">
        <f t="shared" si="71"/>
        <v>0.36601461680521691</v>
      </c>
      <c r="H256" s="13">
        <f t="shared" si="72"/>
        <v>9612.3451371223819</v>
      </c>
      <c r="I256" s="13">
        <f t="shared" si="73"/>
        <v>951597.44821853319</v>
      </c>
      <c r="J256" s="15">
        <f t="shared" si="65"/>
        <v>0.63398538319478304</v>
      </c>
      <c r="K256" s="13">
        <f t="shared" si="74"/>
        <v>959600.75407814607</v>
      </c>
      <c r="L256" s="13">
        <f t="shared" si="82"/>
        <v>73750186.289384991</v>
      </c>
      <c r="M256" s="15">
        <f t="shared" si="75"/>
        <v>0.63398538319478304</v>
      </c>
      <c r="N256" s="13">
        <f t="shared" si="66"/>
        <v>0</v>
      </c>
      <c r="O256" s="13">
        <f t="shared" si="76"/>
        <v>-8003.3058596120682</v>
      </c>
      <c r="P256" s="15">
        <f t="shared" si="67"/>
        <v>-5.3157009990165757E-3</v>
      </c>
      <c r="Q256" s="7">
        <f t="shared" si="77"/>
        <v>1505597.448218534</v>
      </c>
      <c r="R256" s="7">
        <f t="shared" si="78"/>
        <v>1513600.7540781461</v>
      </c>
      <c r="S256" s="13">
        <f>IF('BANCO DE DADOS'!$AD$32="Sim",R256,Q256)</f>
        <v>1513600.7540781461</v>
      </c>
      <c r="T256" s="9">
        <f t="shared" si="79"/>
        <v>252</v>
      </c>
      <c r="U256" s="18">
        <f t="shared" ca="1" si="80"/>
        <v>52048</v>
      </c>
      <c r="V256" s="24"/>
      <c r="W256" s="24"/>
      <c r="X256" s="24"/>
    </row>
    <row r="257" spans="2:24" x14ac:dyDescent="0.2">
      <c r="B257" s="18">
        <f t="shared" ca="1" si="68"/>
        <v>52048</v>
      </c>
      <c r="C257" s="9">
        <f t="shared" si="81"/>
        <v>253</v>
      </c>
      <c r="D257" s="9"/>
      <c r="E257" s="13">
        <f t="shared" si="69"/>
        <v>2000</v>
      </c>
      <c r="F257" s="14">
        <f t="shared" si="70"/>
        <v>556000</v>
      </c>
      <c r="G257" s="15">
        <f t="shared" si="71"/>
        <v>0.36450598696192438</v>
      </c>
      <c r="H257" s="13">
        <f t="shared" si="72"/>
        <v>9687.0593153823775</v>
      </c>
      <c r="I257" s="13">
        <f t="shared" si="73"/>
        <v>961284.50753391557</v>
      </c>
      <c r="J257" s="15">
        <f t="shared" si="65"/>
        <v>0.63549401303807562</v>
      </c>
      <c r="K257" s="13">
        <f t="shared" si="74"/>
        <v>969352.17496462888</v>
      </c>
      <c r="L257" s="13">
        <f t="shared" si="82"/>
        <v>74719538.464349613</v>
      </c>
      <c r="M257" s="15">
        <f t="shared" si="75"/>
        <v>0.63549401303807562</v>
      </c>
      <c r="N257" s="13">
        <f t="shared" si="66"/>
        <v>0</v>
      </c>
      <c r="O257" s="13">
        <f t="shared" si="76"/>
        <v>-8067.6674307126086</v>
      </c>
      <c r="P257" s="15">
        <f t="shared" si="67"/>
        <v>-5.3171751182151117E-3</v>
      </c>
      <c r="Q257" s="7">
        <f t="shared" si="77"/>
        <v>1517284.5075339163</v>
      </c>
      <c r="R257" s="7">
        <f t="shared" si="78"/>
        <v>1525352.1749646289</v>
      </c>
      <c r="S257" s="13">
        <f>IF('BANCO DE DADOS'!$AD$32="Sim",R257,Q257)</f>
        <v>1525352.1749646289</v>
      </c>
      <c r="T257" s="9">
        <f t="shared" si="79"/>
        <v>253</v>
      </c>
      <c r="U257" s="18">
        <f t="shared" ca="1" si="80"/>
        <v>52079</v>
      </c>
      <c r="V257" s="24"/>
      <c r="W257" s="24"/>
      <c r="X257" s="24"/>
    </row>
    <row r="258" spans="2:24" x14ac:dyDescent="0.2">
      <c r="B258" s="18">
        <f t="shared" ca="1" si="68"/>
        <v>52079</v>
      </c>
      <c r="C258" s="9">
        <f t="shared" si="81"/>
        <v>254</v>
      </c>
      <c r="D258" s="9"/>
      <c r="E258" s="13">
        <f t="shared" si="69"/>
        <v>2000</v>
      </c>
      <c r="F258" s="14">
        <f t="shared" si="70"/>
        <v>558000</v>
      </c>
      <c r="G258" s="15">
        <f t="shared" si="71"/>
        <v>0.36300256875746939</v>
      </c>
      <c r="H258" s="13">
        <f t="shared" si="72"/>
        <v>9762.254206914944</v>
      </c>
      <c r="I258" s="13">
        <f t="shared" si="73"/>
        <v>971046.76174083049</v>
      </c>
      <c r="J258" s="15">
        <f t="shared" si="65"/>
        <v>0.63699743124253061</v>
      </c>
      <c r="K258" s="13">
        <f t="shared" si="74"/>
        <v>979179.20484693046</v>
      </c>
      <c r="L258" s="13">
        <f t="shared" si="82"/>
        <v>75698717.669196546</v>
      </c>
      <c r="M258" s="15">
        <f t="shared" si="75"/>
        <v>0.63699743124253061</v>
      </c>
      <c r="N258" s="13">
        <f t="shared" si="66"/>
        <v>0</v>
      </c>
      <c r="O258" s="13">
        <f t="shared" si="76"/>
        <v>-8132.4431060992647</v>
      </c>
      <c r="P258" s="15">
        <f t="shared" si="67"/>
        <v>-5.3186359695372677E-3</v>
      </c>
      <c r="Q258" s="7">
        <f t="shared" si="77"/>
        <v>1529046.7617408312</v>
      </c>
      <c r="R258" s="7">
        <f t="shared" si="78"/>
        <v>1537179.2048469305</v>
      </c>
      <c r="S258" s="13">
        <f>IF('BANCO DE DADOS'!$AD$32="Sim",R258,Q258)</f>
        <v>1537179.2048469305</v>
      </c>
      <c r="T258" s="9">
        <f t="shared" si="79"/>
        <v>254</v>
      </c>
      <c r="U258" s="18">
        <f t="shared" ca="1" si="80"/>
        <v>52110</v>
      </c>
      <c r="V258" s="24"/>
      <c r="W258" s="24"/>
      <c r="X258" s="24"/>
    </row>
    <row r="259" spans="2:24" x14ac:dyDescent="0.2">
      <c r="B259" s="18">
        <f t="shared" ca="1" si="68"/>
        <v>52110</v>
      </c>
      <c r="C259" s="9">
        <f t="shared" si="81"/>
        <v>255</v>
      </c>
      <c r="D259" s="9"/>
      <c r="E259" s="13">
        <f t="shared" si="69"/>
        <v>2000</v>
      </c>
      <c r="F259" s="14">
        <f t="shared" si="70"/>
        <v>560000</v>
      </c>
      <c r="G259" s="15">
        <f t="shared" si="71"/>
        <v>0.36150434943589299</v>
      </c>
      <c r="H259" s="13">
        <f t="shared" si="72"/>
        <v>9837.9329046437488</v>
      </c>
      <c r="I259" s="13">
        <f t="shared" si="73"/>
        <v>980884.6946454742</v>
      </c>
      <c r="J259" s="15">
        <f t="shared" si="65"/>
        <v>0.63849565056410706</v>
      </c>
      <c r="K259" s="13">
        <f t="shared" si="74"/>
        <v>989082.33019560669</v>
      </c>
      <c r="L259" s="13">
        <f t="shared" si="82"/>
        <v>76687799.999392152</v>
      </c>
      <c r="M259" s="15">
        <f t="shared" si="75"/>
        <v>0.63849565056410695</v>
      </c>
      <c r="N259" s="13">
        <f t="shared" si="66"/>
        <v>0</v>
      </c>
      <c r="O259" s="13">
        <f t="shared" si="76"/>
        <v>-8197.6355501317885</v>
      </c>
      <c r="P259" s="15">
        <f t="shared" si="67"/>
        <v>-5.320083701667172E-3</v>
      </c>
      <c r="Q259" s="7">
        <f t="shared" si="77"/>
        <v>1540884.6946454749</v>
      </c>
      <c r="R259" s="7">
        <f t="shared" si="78"/>
        <v>1549082.3301956067</v>
      </c>
      <c r="S259" s="13">
        <f>IF('BANCO DE DADOS'!$AD$32="Sim",R259,Q259)</f>
        <v>1549082.3301956067</v>
      </c>
      <c r="T259" s="9">
        <f t="shared" si="79"/>
        <v>255</v>
      </c>
      <c r="U259" s="18">
        <f t="shared" ca="1" si="80"/>
        <v>52140</v>
      </c>
      <c r="V259" s="24"/>
      <c r="W259" s="24"/>
      <c r="X259" s="24"/>
    </row>
    <row r="260" spans="2:24" x14ac:dyDescent="0.2">
      <c r="B260" s="18">
        <f t="shared" ca="1" si="68"/>
        <v>52140</v>
      </c>
      <c r="C260" s="9">
        <f t="shared" si="81"/>
        <v>256</v>
      </c>
      <c r="D260" s="9"/>
      <c r="E260" s="13">
        <f t="shared" si="69"/>
        <v>2000</v>
      </c>
      <c r="F260" s="14">
        <f t="shared" si="70"/>
        <v>562000</v>
      </c>
      <c r="G260" s="15">
        <f t="shared" si="71"/>
        <v>0.36001131625746818</v>
      </c>
      <c r="H260" s="13">
        <f t="shared" si="72"/>
        <v>9914.0985213924268</v>
      </c>
      <c r="I260" s="13">
        <f t="shared" si="73"/>
        <v>990798.79316686664</v>
      </c>
      <c r="J260" s="15">
        <f t="shared" si="65"/>
        <v>0.63998868374253182</v>
      </c>
      <c r="K260" s="13">
        <f t="shared" si="74"/>
        <v>999062.04061117955</v>
      </c>
      <c r="L260" s="13">
        <f t="shared" si="82"/>
        <v>77686862.04000333</v>
      </c>
      <c r="M260" s="15">
        <f t="shared" si="75"/>
        <v>0.63998868374253182</v>
      </c>
      <c r="N260" s="13">
        <f t="shared" si="66"/>
        <v>0</v>
      </c>
      <c r="O260" s="13">
        <f t="shared" si="76"/>
        <v>-8263.247444312321</v>
      </c>
      <c r="P260" s="15">
        <f t="shared" si="67"/>
        <v>-5.321518461165067E-3</v>
      </c>
      <c r="Q260" s="7">
        <f t="shared" si="77"/>
        <v>1552798.7931668672</v>
      </c>
      <c r="R260" s="7">
        <f t="shared" si="78"/>
        <v>1561062.0406111795</v>
      </c>
      <c r="S260" s="13">
        <f>IF('BANCO DE DADOS'!$AD$32="Sim",R260,Q260)</f>
        <v>1561062.0406111795</v>
      </c>
      <c r="T260" s="9">
        <f t="shared" si="79"/>
        <v>256</v>
      </c>
      <c r="U260" s="18">
        <f t="shared" ca="1" si="80"/>
        <v>52171</v>
      </c>
      <c r="V260" s="24"/>
      <c r="W260" s="24"/>
      <c r="X260" s="24"/>
    </row>
    <row r="261" spans="2:24" x14ac:dyDescent="0.2">
      <c r="B261" s="18">
        <f t="shared" ca="1" si="68"/>
        <v>52171</v>
      </c>
      <c r="C261" s="9">
        <f t="shared" si="81"/>
        <v>257</v>
      </c>
      <c r="D261" s="9"/>
      <c r="E261" s="13">
        <f t="shared" si="69"/>
        <v>2000</v>
      </c>
      <c r="F261" s="14">
        <f t="shared" si="70"/>
        <v>564000</v>
      </c>
      <c r="G261" s="15">
        <f t="shared" si="71"/>
        <v>0.35852345649842254</v>
      </c>
      <c r="H261" s="13">
        <f t="shared" si="72"/>
        <v>9990.7541900126125</v>
      </c>
      <c r="I261" s="13">
        <f t="shared" si="73"/>
        <v>1000789.5473568792</v>
      </c>
      <c r="J261" s="15">
        <f t="shared" ref="J261:J324" si="83">1-G261</f>
        <v>0.64147654350157746</v>
      </c>
      <c r="K261" s="13">
        <f t="shared" si="74"/>
        <v>1009118.8288442753</v>
      </c>
      <c r="L261" s="13">
        <f t="shared" si="82"/>
        <v>78695980.868847609</v>
      </c>
      <c r="M261" s="15">
        <f t="shared" si="75"/>
        <v>0.64147654350157746</v>
      </c>
      <c r="N261" s="13">
        <f t="shared" ref="N261:N324" si="84">Q261*Inflação</f>
        <v>0</v>
      </c>
      <c r="O261" s="13">
        <f t="shared" si="76"/>
        <v>-8329.2814873955213</v>
      </c>
      <c r="P261" s="15">
        <f t="shared" ref="P261:P324" si="85">O261/Q261</f>
        <v>-5.3229403925049807E-3</v>
      </c>
      <c r="Q261" s="7">
        <f t="shared" si="77"/>
        <v>1564789.5473568798</v>
      </c>
      <c r="R261" s="7">
        <f t="shared" si="78"/>
        <v>1573118.8288442753</v>
      </c>
      <c r="S261" s="13">
        <f>IF('BANCO DE DADOS'!$AD$32="Sim",R261,Q261)</f>
        <v>1573118.8288442753</v>
      </c>
      <c r="T261" s="9">
        <f t="shared" si="79"/>
        <v>257</v>
      </c>
      <c r="U261" s="18">
        <f t="shared" ca="1" si="80"/>
        <v>52201</v>
      </c>
      <c r="V261" s="24"/>
      <c r="W261" s="24"/>
      <c r="X261" s="24"/>
    </row>
    <row r="262" spans="2:24" x14ac:dyDescent="0.2">
      <c r="B262" s="18">
        <f t="shared" ref="B262:B325" ca="1" si="86">DATE(YEAR(B261),MONTH(B261)+1,1)</f>
        <v>52201</v>
      </c>
      <c r="C262" s="9">
        <f t="shared" si="81"/>
        <v>258</v>
      </c>
      <c r="D262" s="9"/>
      <c r="E262" s="13">
        <f t="shared" ref="E262:E325" si="87">IF($AE$33,IF($AE$34,$E261*(1+Inflação)*(1+Crescimento_Salário),$E261*(1+Inflação)),IF($AE$34,$E261*(1+Crescimento_Salário),$E261))</f>
        <v>2000</v>
      </c>
      <c r="F262" s="14">
        <f t="shared" ref="F262:F325" si="88">F261+E262</f>
        <v>566000</v>
      </c>
      <c r="G262" s="15">
        <f t="shared" ref="G262:G325" si="89">IF(F262&lt;=0,0,F262/S262)</f>
        <v>0.35704075745067138</v>
      </c>
      <c r="H262" s="13">
        <f t="shared" ref="H262:H325" si="90">Q261*Taxa</f>
        <v>10067.903063512804</v>
      </c>
      <c r="I262" s="13">
        <f t="shared" ref="I262:I325" si="91">I261+H262</f>
        <v>1010857.450420392</v>
      </c>
      <c r="J262" s="15">
        <f t="shared" si="83"/>
        <v>0.64295924254932868</v>
      </c>
      <c r="K262" s="13">
        <f t="shared" ref="K262:K325" si="92">R262-F262</f>
        <v>1019253.1908158928</v>
      </c>
      <c r="L262" s="13">
        <f t="shared" si="82"/>
        <v>79715234.059663504</v>
      </c>
      <c r="M262" s="15">
        <f t="shared" ref="M262:M325" si="93">K262/R262</f>
        <v>0.64295924254932868</v>
      </c>
      <c r="N262" s="13">
        <f t="shared" si="84"/>
        <v>0</v>
      </c>
      <c r="O262" s="13">
        <f t="shared" ref="O262:O325" si="94">Q262-R262</f>
        <v>-8395.7403955000918</v>
      </c>
      <c r="P262" s="15">
        <f t="shared" si="85"/>
        <v>-5.3243496381120397E-3</v>
      </c>
      <c r="Q262" s="7">
        <f t="shared" ref="Q262:Q325" si="95">Q261+E262+H262</f>
        <v>1576857.4504203927</v>
      </c>
      <c r="R262" s="7">
        <f t="shared" ref="R262:R325" si="96">(R261+E262)*(1+((1+Taxa)/(1+Inflação)-1))</f>
        <v>1585253.1908158928</v>
      </c>
      <c r="S262" s="13">
        <f>IF('BANCO DE DADOS'!$AD$32="Sim",R262,Q262)</f>
        <v>1585253.1908158928</v>
      </c>
      <c r="T262" s="9">
        <f t="shared" ref="T262:T325" si="97">C262</f>
        <v>258</v>
      </c>
      <c r="U262" s="18">
        <f t="shared" ref="U262:U325" ca="1" si="98">DATE(YEAR(U261),MONTH(U261)+1,1)</f>
        <v>52232</v>
      </c>
      <c r="V262" s="24"/>
      <c r="W262" s="24"/>
      <c r="X262" s="24"/>
    </row>
    <row r="263" spans="2:24" x14ac:dyDescent="0.2">
      <c r="B263" s="18">
        <f t="shared" ca="1" si="86"/>
        <v>52232</v>
      </c>
      <c r="C263" s="9">
        <f t="shared" ref="C263:C326" si="99">C262+1</f>
        <v>259</v>
      </c>
      <c r="D263" s="9"/>
      <c r="E263" s="13">
        <f t="shared" si="87"/>
        <v>2000</v>
      </c>
      <c r="F263" s="14">
        <f t="shared" si="88"/>
        <v>568000</v>
      </c>
      <c r="G263" s="15">
        <f t="shared" si="89"/>
        <v>0.35556320642156003</v>
      </c>
      <c r="H263" s="13">
        <f t="shared" si="90"/>
        <v>10145.548315188047</v>
      </c>
      <c r="I263" s="13">
        <f t="shared" si="91"/>
        <v>1021002.99873558</v>
      </c>
      <c r="J263" s="15">
        <f t="shared" si="83"/>
        <v>0.64443679357843997</v>
      </c>
      <c r="K263" s="13">
        <f t="shared" si="92"/>
        <v>1029465.6256378011</v>
      </c>
      <c r="L263" s="13">
        <f t="shared" ref="L263:L326" si="100">L262+K263</f>
        <v>80744699.685301304</v>
      </c>
      <c r="M263" s="15">
        <f t="shared" si="93"/>
        <v>0.64443679357843997</v>
      </c>
      <c r="N263" s="13">
        <f t="shared" si="84"/>
        <v>0</v>
      </c>
      <c r="O263" s="13">
        <f t="shared" si="94"/>
        <v>-8462.6269022203051</v>
      </c>
      <c r="P263" s="15">
        <f t="shared" si="85"/>
        <v>-5.3257463383985307E-3</v>
      </c>
      <c r="Q263" s="7">
        <f t="shared" si="95"/>
        <v>1589002.9987355808</v>
      </c>
      <c r="R263" s="7">
        <f t="shared" si="96"/>
        <v>1597465.6256378011</v>
      </c>
      <c r="S263" s="13">
        <f>IF('BANCO DE DADOS'!$AD$32="Sim",R263,Q263)</f>
        <v>1597465.6256378011</v>
      </c>
      <c r="T263" s="9">
        <f t="shared" si="97"/>
        <v>259</v>
      </c>
      <c r="U263" s="18">
        <f t="shared" ca="1" si="98"/>
        <v>52263</v>
      </c>
      <c r="V263" s="24"/>
      <c r="W263" s="24"/>
      <c r="X263" s="24"/>
    </row>
    <row r="264" spans="2:24" x14ac:dyDescent="0.2">
      <c r="B264" s="18">
        <f t="shared" ca="1" si="86"/>
        <v>52263</v>
      </c>
      <c r="C264" s="9">
        <f t="shared" si="99"/>
        <v>260</v>
      </c>
      <c r="D264" s="9"/>
      <c r="E264" s="13">
        <f t="shared" si="87"/>
        <v>2000</v>
      </c>
      <c r="F264" s="14">
        <f t="shared" si="88"/>
        <v>570000</v>
      </c>
      <c r="G264" s="15">
        <f t="shared" si="89"/>
        <v>0.35409079073361649</v>
      </c>
      <c r="H264" s="13">
        <f t="shared" si="90"/>
        <v>10223.69313875047</v>
      </c>
      <c r="I264" s="13">
        <f t="shared" si="91"/>
        <v>1031226.6918743305</v>
      </c>
      <c r="J264" s="15">
        <f t="shared" si="83"/>
        <v>0.64590920926638351</v>
      </c>
      <c r="K264" s="13">
        <f t="shared" si="92"/>
        <v>1039756.6356330703</v>
      </c>
      <c r="L264" s="13">
        <f t="shared" si="100"/>
        <v>81784456.32093437</v>
      </c>
      <c r="M264" s="15">
        <f t="shared" si="93"/>
        <v>0.64590920926638351</v>
      </c>
      <c r="N264" s="13">
        <f t="shared" si="84"/>
        <v>0</v>
      </c>
      <c r="O264" s="13">
        <f t="shared" si="94"/>
        <v>-8529.9437587389257</v>
      </c>
      <c r="P264" s="15">
        <f t="shared" si="85"/>
        <v>-5.3271306317996224E-3</v>
      </c>
      <c r="Q264" s="7">
        <f t="shared" si="95"/>
        <v>1601226.6918743313</v>
      </c>
      <c r="R264" s="7">
        <f t="shared" si="96"/>
        <v>1609756.6356330703</v>
      </c>
      <c r="S264" s="13">
        <f>IF('BANCO DE DADOS'!$AD$32="Sim",R264,Q264)</f>
        <v>1609756.6356330703</v>
      </c>
      <c r="T264" s="9">
        <f t="shared" si="97"/>
        <v>260</v>
      </c>
      <c r="U264" s="18">
        <f t="shared" ca="1" si="98"/>
        <v>52291</v>
      </c>
      <c r="V264" s="24"/>
      <c r="W264" s="24"/>
      <c r="X264" s="24"/>
    </row>
    <row r="265" spans="2:24" x14ac:dyDescent="0.2">
      <c r="B265" s="18">
        <f t="shared" ca="1" si="86"/>
        <v>52291</v>
      </c>
      <c r="C265" s="9">
        <f t="shared" si="99"/>
        <v>261</v>
      </c>
      <c r="D265" s="9"/>
      <c r="E265" s="13">
        <f t="shared" si="87"/>
        <v>2000</v>
      </c>
      <c r="F265" s="14">
        <f t="shared" si="88"/>
        <v>572000</v>
      </c>
      <c r="G265" s="15">
        <f t="shared" si="89"/>
        <v>0.35262349772431295</v>
      </c>
      <c r="H265" s="13">
        <f t="shared" si="90"/>
        <v>10302.340748460632</v>
      </c>
      <c r="I265" s="13">
        <f t="shared" si="91"/>
        <v>1041529.0326227911</v>
      </c>
      <c r="J265" s="15">
        <f t="shared" si="83"/>
        <v>0.64737650227568699</v>
      </c>
      <c r="K265" s="13">
        <f t="shared" si="92"/>
        <v>1050126.7263567313</v>
      </c>
      <c r="L265" s="13">
        <f t="shared" si="100"/>
        <v>82834583.0472911</v>
      </c>
      <c r="M265" s="15">
        <f t="shared" si="93"/>
        <v>0.6473765022756871</v>
      </c>
      <c r="N265" s="13">
        <f t="shared" si="84"/>
        <v>0</v>
      </c>
      <c r="O265" s="13">
        <f t="shared" si="94"/>
        <v>-8597.6937339392025</v>
      </c>
      <c r="P265" s="15">
        <f t="shared" si="85"/>
        <v>-5.3285026548073001E-3</v>
      </c>
      <c r="Q265" s="7">
        <f t="shared" si="95"/>
        <v>1613529.0326227921</v>
      </c>
      <c r="R265" s="7">
        <f t="shared" si="96"/>
        <v>1622126.7263567313</v>
      </c>
      <c r="S265" s="13">
        <f>IF('BANCO DE DADOS'!$AD$32="Sim",R265,Q265)</f>
        <v>1622126.7263567313</v>
      </c>
      <c r="T265" s="9">
        <f t="shared" si="97"/>
        <v>261</v>
      </c>
      <c r="U265" s="18">
        <f t="shared" ca="1" si="98"/>
        <v>52322</v>
      </c>
      <c r="V265" s="24"/>
      <c r="W265" s="24"/>
      <c r="X265" s="24"/>
    </row>
    <row r="266" spans="2:24" x14ac:dyDescent="0.2">
      <c r="B266" s="18">
        <f t="shared" ca="1" si="86"/>
        <v>52322</v>
      </c>
      <c r="C266" s="9">
        <f t="shared" si="99"/>
        <v>262</v>
      </c>
      <c r="D266" s="9"/>
      <c r="E266" s="13">
        <f t="shared" si="87"/>
        <v>2000</v>
      </c>
      <c r="F266" s="14">
        <f t="shared" si="88"/>
        <v>574000</v>
      </c>
      <c r="G266" s="15">
        <f t="shared" si="89"/>
        <v>0.35116131474583623</v>
      </c>
      <c r="H266" s="13">
        <f t="shared" si="90"/>
        <v>10381.494379259751</v>
      </c>
      <c r="I266" s="13">
        <f t="shared" si="91"/>
        <v>1051910.5270020508</v>
      </c>
      <c r="J266" s="15">
        <f t="shared" si="83"/>
        <v>0.64883868525416377</v>
      </c>
      <c r="K266" s="13">
        <f t="shared" si="92"/>
        <v>1060576.4066165718</v>
      </c>
      <c r="L266" s="13">
        <f t="shared" si="100"/>
        <v>83895159.453907669</v>
      </c>
      <c r="M266" s="15">
        <f t="shared" si="93"/>
        <v>0.64883868525416377</v>
      </c>
      <c r="N266" s="13">
        <f t="shared" si="84"/>
        <v>0</v>
      </c>
      <c r="O266" s="13">
        <f t="shared" si="94"/>
        <v>-8665.8796145201195</v>
      </c>
      <c r="P266" s="15">
        <f t="shared" si="85"/>
        <v>-5.3298625420051694E-3</v>
      </c>
      <c r="Q266" s="7">
        <f t="shared" si="95"/>
        <v>1625910.5270020517</v>
      </c>
      <c r="R266" s="7">
        <f t="shared" si="96"/>
        <v>1634576.4066165718</v>
      </c>
      <c r="S266" s="13">
        <f>IF('BANCO DE DADOS'!$AD$32="Sim",R266,Q266)</f>
        <v>1634576.4066165718</v>
      </c>
      <c r="T266" s="9">
        <f t="shared" si="97"/>
        <v>262</v>
      </c>
      <c r="U266" s="18">
        <f t="shared" ca="1" si="98"/>
        <v>52352</v>
      </c>
      <c r="V266" s="24"/>
      <c r="W266" s="24"/>
      <c r="X266" s="24"/>
    </row>
    <row r="267" spans="2:24" x14ac:dyDescent="0.2">
      <c r="B267" s="18">
        <f t="shared" ca="1" si="86"/>
        <v>52352</v>
      </c>
      <c r="C267" s="9">
        <f t="shared" si="99"/>
        <v>263</v>
      </c>
      <c r="D267" s="9"/>
      <c r="E267" s="13">
        <f t="shared" si="87"/>
        <v>2000</v>
      </c>
      <c r="F267" s="14">
        <f t="shared" si="88"/>
        <v>576000</v>
      </c>
      <c r="G267" s="15">
        <f t="shared" si="89"/>
        <v>0.34970422916486771</v>
      </c>
      <c r="H267" s="13">
        <f t="shared" si="90"/>
        <v>10461.157286902746</v>
      </c>
      <c r="I267" s="13">
        <f t="shared" si="91"/>
        <v>1062371.6842889534</v>
      </c>
      <c r="J267" s="15">
        <f t="shared" si="83"/>
        <v>0.65029577083513224</v>
      </c>
      <c r="K267" s="13">
        <f t="shared" si="92"/>
        <v>1071106.1884940641</v>
      </c>
      <c r="L267" s="13">
        <f t="shared" si="100"/>
        <v>84966265.64240174</v>
      </c>
      <c r="M267" s="15">
        <f t="shared" si="93"/>
        <v>0.65029577083513224</v>
      </c>
      <c r="N267" s="13">
        <f t="shared" si="84"/>
        <v>0</v>
      </c>
      <c r="O267" s="13">
        <f t="shared" si="94"/>
        <v>-8734.5042051097844</v>
      </c>
      <c r="P267" s="15">
        <f t="shared" si="85"/>
        <v>-5.3312104261009118E-3</v>
      </c>
      <c r="Q267" s="7">
        <f t="shared" si="95"/>
        <v>1638371.6842889544</v>
      </c>
      <c r="R267" s="7">
        <f t="shared" si="96"/>
        <v>1647106.1884940641</v>
      </c>
      <c r="S267" s="13">
        <f>IF('BANCO DE DADOS'!$AD$32="Sim",R267,Q267)</f>
        <v>1647106.1884940641</v>
      </c>
      <c r="T267" s="9">
        <f t="shared" si="97"/>
        <v>263</v>
      </c>
      <c r="U267" s="18">
        <f t="shared" ca="1" si="98"/>
        <v>52383</v>
      </c>
      <c r="V267" s="24"/>
      <c r="W267" s="24"/>
      <c r="X267" s="24"/>
    </row>
    <row r="268" spans="2:24" x14ac:dyDescent="0.2">
      <c r="B268" s="18">
        <f t="shared" ca="1" si="86"/>
        <v>52383</v>
      </c>
      <c r="C268" s="9">
        <f t="shared" si="99"/>
        <v>264</v>
      </c>
      <c r="D268" s="9">
        <v>22</v>
      </c>
      <c r="E268" s="13">
        <f t="shared" si="87"/>
        <v>2000</v>
      </c>
      <c r="F268" s="14">
        <f t="shared" si="88"/>
        <v>578000</v>
      </c>
      <c r="G268" s="15">
        <f t="shared" si="89"/>
        <v>0.34825222836237096</v>
      </c>
      <c r="H268" s="13">
        <f t="shared" si="90"/>
        <v>10541.332748092167</v>
      </c>
      <c r="I268" s="13">
        <f t="shared" si="91"/>
        <v>1072913.0170370457</v>
      </c>
      <c r="J268" s="15">
        <f t="shared" si="83"/>
        <v>0.65174777163762898</v>
      </c>
      <c r="K268" s="13">
        <f t="shared" si="92"/>
        <v>1081716.587365428</v>
      </c>
      <c r="L268" s="13">
        <f t="shared" si="100"/>
        <v>86047982.229767174</v>
      </c>
      <c r="M268" s="15">
        <f t="shared" si="93"/>
        <v>0.65174777163762909</v>
      </c>
      <c r="N268" s="13">
        <f t="shared" si="84"/>
        <v>0</v>
      </c>
      <c r="O268" s="13">
        <f t="shared" si="94"/>
        <v>-8803.5703283813782</v>
      </c>
      <c r="P268" s="15">
        <f t="shared" si="85"/>
        <v>-5.3325464379591998E-3</v>
      </c>
      <c r="Q268" s="7">
        <f t="shared" si="95"/>
        <v>1650913.0170370466</v>
      </c>
      <c r="R268" s="7">
        <f t="shared" si="96"/>
        <v>1659716.587365428</v>
      </c>
      <c r="S268" s="13">
        <f>IF('BANCO DE DADOS'!$AD$32="Sim",R268,Q268)</f>
        <v>1659716.587365428</v>
      </c>
      <c r="T268" s="9">
        <f t="shared" si="97"/>
        <v>264</v>
      </c>
      <c r="U268" s="18">
        <f t="shared" ca="1" si="98"/>
        <v>52413</v>
      </c>
      <c r="V268" s="24"/>
      <c r="W268" s="24"/>
      <c r="X268" s="24"/>
    </row>
    <row r="269" spans="2:24" x14ac:dyDescent="0.2">
      <c r="B269" s="18">
        <f t="shared" ca="1" si="86"/>
        <v>52413</v>
      </c>
      <c r="C269" s="9">
        <f t="shared" si="99"/>
        <v>265</v>
      </c>
      <c r="D269" s="9"/>
      <c r="E269" s="13">
        <f t="shared" si="87"/>
        <v>2000</v>
      </c>
      <c r="F269" s="14">
        <f t="shared" si="88"/>
        <v>580000</v>
      </c>
      <c r="G269" s="15">
        <f t="shared" si="89"/>
        <v>0.34680529973338842</v>
      </c>
      <c r="H269" s="13">
        <f t="shared" si="90"/>
        <v>10622.024060612965</v>
      </c>
      <c r="I269" s="13">
        <f t="shared" si="91"/>
        <v>1083535.0410976587</v>
      </c>
      <c r="J269" s="15">
        <f t="shared" si="83"/>
        <v>0.65319470026661164</v>
      </c>
      <c r="K269" s="13">
        <f t="shared" si="92"/>
        <v>1092408.1219228292</v>
      </c>
      <c r="L269" s="13">
        <f t="shared" si="100"/>
        <v>87140390.351690009</v>
      </c>
      <c r="M269" s="15">
        <f t="shared" si="93"/>
        <v>0.65319470026661153</v>
      </c>
      <c r="N269" s="13">
        <f t="shared" si="84"/>
        <v>0</v>
      </c>
      <c r="O269" s="13">
        <f t="shared" si="94"/>
        <v>-8873.0808251695707</v>
      </c>
      <c r="P269" s="15">
        <f t="shared" si="85"/>
        <v>-5.3338707066337455E-3</v>
      </c>
      <c r="Q269" s="7">
        <f t="shared" si="95"/>
        <v>1663535.0410976596</v>
      </c>
      <c r="R269" s="7">
        <f t="shared" si="96"/>
        <v>1672408.1219228292</v>
      </c>
      <c r="S269" s="13">
        <f>IF('BANCO DE DADOS'!$AD$32="Sim",R269,Q269)</f>
        <v>1672408.1219228292</v>
      </c>
      <c r="T269" s="9">
        <f t="shared" si="97"/>
        <v>265</v>
      </c>
      <c r="U269" s="18">
        <f t="shared" ca="1" si="98"/>
        <v>52444</v>
      </c>
      <c r="V269" s="24"/>
      <c r="W269" s="24"/>
      <c r="X269" s="24"/>
    </row>
    <row r="270" spans="2:24" x14ac:dyDescent="0.2">
      <c r="B270" s="18">
        <f t="shared" ca="1" si="86"/>
        <v>52444</v>
      </c>
      <c r="C270" s="9">
        <f t="shared" si="99"/>
        <v>266</v>
      </c>
      <c r="D270" s="9"/>
      <c r="E270" s="13">
        <f t="shared" si="87"/>
        <v>2000</v>
      </c>
      <c r="F270" s="14">
        <f t="shared" si="88"/>
        <v>582000</v>
      </c>
      <c r="G270" s="15">
        <f t="shared" si="89"/>
        <v>0.34536343068684611</v>
      </c>
      <c r="H270" s="13">
        <f t="shared" si="90"/>
        <v>10703.234543468136</v>
      </c>
      <c r="I270" s="13">
        <f t="shared" si="91"/>
        <v>1094238.2756411268</v>
      </c>
      <c r="J270" s="15">
        <f t="shared" si="83"/>
        <v>0.65463656931315395</v>
      </c>
      <c r="K270" s="13">
        <f t="shared" si="92"/>
        <v>1103181.3141957149</v>
      </c>
      <c r="L270" s="13">
        <f t="shared" si="100"/>
        <v>88243571.665885717</v>
      </c>
      <c r="M270" s="15">
        <f t="shared" si="93"/>
        <v>0.65463656931315395</v>
      </c>
      <c r="N270" s="13">
        <f t="shared" si="84"/>
        <v>0</v>
      </c>
      <c r="O270" s="13">
        <f t="shared" si="94"/>
        <v>-8943.0385545871686</v>
      </c>
      <c r="P270" s="15">
        <f t="shared" si="85"/>
        <v>-5.3351833593983733E-3</v>
      </c>
      <c r="Q270" s="7">
        <f t="shared" si="95"/>
        <v>1676238.2756411277</v>
      </c>
      <c r="R270" s="7">
        <f t="shared" si="96"/>
        <v>1685181.3141957149</v>
      </c>
      <c r="S270" s="13">
        <f>IF('BANCO DE DADOS'!$AD$32="Sim",R270,Q270)</f>
        <v>1685181.3141957149</v>
      </c>
      <c r="T270" s="9">
        <f t="shared" si="97"/>
        <v>266</v>
      </c>
      <c r="U270" s="18">
        <f t="shared" ca="1" si="98"/>
        <v>52475</v>
      </c>
      <c r="V270" s="24"/>
      <c r="W270" s="24"/>
      <c r="X270" s="24"/>
    </row>
    <row r="271" spans="2:24" x14ac:dyDescent="0.2">
      <c r="B271" s="18">
        <f t="shared" ca="1" si="86"/>
        <v>52475</v>
      </c>
      <c r="C271" s="9">
        <f t="shared" si="99"/>
        <v>267</v>
      </c>
      <c r="D271" s="9"/>
      <c r="E271" s="13">
        <f t="shared" si="87"/>
        <v>2000</v>
      </c>
      <c r="F271" s="14">
        <f t="shared" si="88"/>
        <v>584000</v>
      </c>
      <c r="G271" s="15">
        <f t="shared" si="89"/>
        <v>0.34392660864536589</v>
      </c>
      <c r="H271" s="13">
        <f t="shared" si="90"/>
        <v>10784.967537015245</v>
      </c>
      <c r="I271" s="13">
        <f t="shared" si="91"/>
        <v>1105023.243178142</v>
      </c>
      <c r="J271" s="15">
        <f t="shared" si="83"/>
        <v>0.65607339135463416</v>
      </c>
      <c r="K271" s="13">
        <f t="shared" si="92"/>
        <v>1114036.6895722852</v>
      </c>
      <c r="L271" s="13">
        <f t="shared" si="100"/>
        <v>89357608.355458006</v>
      </c>
      <c r="M271" s="15">
        <f t="shared" si="93"/>
        <v>0.65607339135463405</v>
      </c>
      <c r="N271" s="13">
        <f t="shared" si="84"/>
        <v>0</v>
      </c>
      <c r="O271" s="13">
        <f t="shared" si="94"/>
        <v>-9013.4463941422291</v>
      </c>
      <c r="P271" s="15">
        <f t="shared" si="85"/>
        <v>-5.3364845217772836E-3</v>
      </c>
      <c r="Q271" s="7">
        <f t="shared" si="95"/>
        <v>1689023.2431781429</v>
      </c>
      <c r="R271" s="7">
        <f t="shared" si="96"/>
        <v>1698036.6895722852</v>
      </c>
      <c r="S271" s="13">
        <f>IF('BANCO DE DADOS'!$AD$32="Sim",R271,Q271)</f>
        <v>1698036.6895722852</v>
      </c>
      <c r="T271" s="9">
        <f t="shared" si="97"/>
        <v>267</v>
      </c>
      <c r="U271" s="18">
        <f t="shared" ca="1" si="98"/>
        <v>52505</v>
      </c>
      <c r="V271" s="24"/>
      <c r="W271" s="24"/>
      <c r="X271" s="24"/>
    </row>
    <row r="272" spans="2:24" x14ac:dyDescent="0.2">
      <c r="B272" s="18">
        <f t="shared" ca="1" si="86"/>
        <v>52505</v>
      </c>
      <c r="C272" s="9">
        <f t="shared" si="99"/>
        <v>268</v>
      </c>
      <c r="D272" s="9"/>
      <c r="E272" s="13">
        <f t="shared" si="87"/>
        <v>2000</v>
      </c>
      <c r="F272" s="14">
        <f t="shared" si="88"/>
        <v>586000</v>
      </c>
      <c r="G272" s="15">
        <f t="shared" si="89"/>
        <v>0.34249482104508605</v>
      </c>
      <c r="H272" s="13">
        <f t="shared" si="90"/>
        <v>10867.226403103818</v>
      </c>
      <c r="I272" s="13">
        <f t="shared" si="91"/>
        <v>1115890.4695812459</v>
      </c>
      <c r="J272" s="15">
        <f t="shared" si="83"/>
        <v>0.657505178954914</v>
      </c>
      <c r="K272" s="13">
        <f t="shared" si="92"/>
        <v>1124974.7768211039</v>
      </c>
      <c r="L272" s="13">
        <f t="shared" si="100"/>
        <v>90482583.132279113</v>
      </c>
      <c r="M272" s="15">
        <f t="shared" si="93"/>
        <v>0.657505178954914</v>
      </c>
      <c r="N272" s="13">
        <f t="shared" si="84"/>
        <v>0</v>
      </c>
      <c r="O272" s="13">
        <f t="shared" si="94"/>
        <v>-9084.3072398570366</v>
      </c>
      <c r="P272" s="15">
        <f t="shared" si="85"/>
        <v>-5.3377743175753532E-3</v>
      </c>
      <c r="Q272" s="7">
        <f t="shared" si="95"/>
        <v>1701890.4695812468</v>
      </c>
      <c r="R272" s="7">
        <f t="shared" si="96"/>
        <v>1710974.7768211039</v>
      </c>
      <c r="S272" s="13">
        <f>IF('BANCO DE DADOS'!$AD$32="Sim",R272,Q272)</f>
        <v>1710974.7768211039</v>
      </c>
      <c r="T272" s="9">
        <f t="shared" si="97"/>
        <v>268</v>
      </c>
      <c r="U272" s="18">
        <f t="shared" ca="1" si="98"/>
        <v>52536</v>
      </c>
      <c r="V272" s="24"/>
      <c r="W272" s="24"/>
      <c r="X272" s="24"/>
    </row>
    <row r="273" spans="2:24" x14ac:dyDescent="0.2">
      <c r="B273" s="18">
        <f t="shared" ca="1" si="86"/>
        <v>52536</v>
      </c>
      <c r="C273" s="9">
        <f t="shared" si="99"/>
        <v>269</v>
      </c>
      <c r="D273" s="9"/>
      <c r="E273" s="13">
        <f t="shared" si="87"/>
        <v>2000</v>
      </c>
      <c r="F273" s="14">
        <f t="shared" si="88"/>
        <v>588000</v>
      </c>
      <c r="G273" s="15">
        <f t="shared" si="89"/>
        <v>0.34106805533548884</v>
      </c>
      <c r="H273" s="13">
        <f t="shared" si="90"/>
        <v>10950.014525213619</v>
      </c>
      <c r="I273" s="13">
        <f t="shared" si="91"/>
        <v>1126840.4841064594</v>
      </c>
      <c r="J273" s="15">
        <f t="shared" si="83"/>
        <v>0.65893194466451122</v>
      </c>
      <c r="K273" s="13">
        <f t="shared" si="92"/>
        <v>1135996.1081128472</v>
      </c>
      <c r="L273" s="13">
        <f t="shared" si="100"/>
        <v>91618579.240391955</v>
      </c>
      <c r="M273" s="15">
        <f t="shared" si="93"/>
        <v>0.6589319446645111</v>
      </c>
      <c r="N273" s="13">
        <f t="shared" si="84"/>
        <v>0</v>
      </c>
      <c r="O273" s="13">
        <f t="shared" si="94"/>
        <v>-9155.6240063868463</v>
      </c>
      <c r="P273" s="15">
        <f t="shared" si="85"/>
        <v>-5.3390528689072217E-3</v>
      </c>
      <c r="Q273" s="7">
        <f t="shared" si="95"/>
        <v>1714840.4841064604</v>
      </c>
      <c r="R273" s="7">
        <f t="shared" si="96"/>
        <v>1723996.1081128472</v>
      </c>
      <c r="S273" s="13">
        <f>IF('BANCO DE DADOS'!$AD$32="Sim",R273,Q273)</f>
        <v>1723996.1081128472</v>
      </c>
      <c r="T273" s="9">
        <f t="shared" si="97"/>
        <v>269</v>
      </c>
      <c r="U273" s="18">
        <f t="shared" ca="1" si="98"/>
        <v>52566</v>
      </c>
      <c r="V273" s="24"/>
      <c r="W273" s="24"/>
      <c r="X273" s="24"/>
    </row>
    <row r="274" spans="2:24" x14ac:dyDescent="0.2">
      <c r="B274" s="18">
        <f t="shared" ca="1" si="86"/>
        <v>52566</v>
      </c>
      <c r="C274" s="9">
        <f t="shared" si="99"/>
        <v>270</v>
      </c>
      <c r="D274" s="9"/>
      <c r="E274" s="13">
        <f t="shared" si="87"/>
        <v>2000</v>
      </c>
      <c r="F274" s="14">
        <f t="shared" si="88"/>
        <v>590000</v>
      </c>
      <c r="G274" s="15">
        <f t="shared" si="89"/>
        <v>0.33964629897923576</v>
      </c>
      <c r="H274" s="13">
        <f t="shared" si="90"/>
        <v>11033.335308593825</v>
      </c>
      <c r="I274" s="13">
        <f t="shared" si="91"/>
        <v>1137873.8194150534</v>
      </c>
      <c r="J274" s="15">
        <f t="shared" si="83"/>
        <v>0.66035370102076429</v>
      </c>
      <c r="K274" s="13">
        <f t="shared" si="92"/>
        <v>1147101.2190421941</v>
      </c>
      <c r="L274" s="13">
        <f t="shared" si="100"/>
        <v>92765680.459434152</v>
      </c>
      <c r="M274" s="15">
        <f t="shared" si="93"/>
        <v>0.66035370102076418</v>
      </c>
      <c r="N274" s="13">
        <f t="shared" si="84"/>
        <v>0</v>
      </c>
      <c r="O274" s="13">
        <f t="shared" si="94"/>
        <v>-9227.3996271397918</v>
      </c>
      <c r="P274" s="15">
        <f t="shared" si="85"/>
        <v>-5.3403202962260228E-3</v>
      </c>
      <c r="Q274" s="7">
        <f t="shared" si="95"/>
        <v>1727873.8194150543</v>
      </c>
      <c r="R274" s="7">
        <f t="shared" si="96"/>
        <v>1737101.2190421941</v>
      </c>
      <c r="S274" s="13">
        <f>IF('BANCO DE DADOS'!$AD$32="Sim",R274,Q274)</f>
        <v>1737101.2190421941</v>
      </c>
      <c r="T274" s="9">
        <f t="shared" si="97"/>
        <v>270</v>
      </c>
      <c r="U274" s="18">
        <f t="shared" ca="1" si="98"/>
        <v>52597</v>
      </c>
      <c r="V274" s="24"/>
      <c r="W274" s="24"/>
      <c r="X274" s="24"/>
    </row>
    <row r="275" spans="2:24" x14ac:dyDescent="0.2">
      <c r="B275" s="18">
        <f t="shared" ca="1" si="86"/>
        <v>52597</v>
      </c>
      <c r="C275" s="9">
        <f t="shared" si="99"/>
        <v>271</v>
      </c>
      <c r="D275" s="9"/>
      <c r="E275" s="13">
        <f t="shared" si="87"/>
        <v>2000</v>
      </c>
      <c r="F275" s="14">
        <f t="shared" si="88"/>
        <v>592000</v>
      </c>
      <c r="G275" s="15">
        <f t="shared" si="89"/>
        <v>0.33822953945200979</v>
      </c>
      <c r="H275" s="13">
        <f t="shared" si="90"/>
        <v>11117.192180403088</v>
      </c>
      <c r="I275" s="13">
        <f t="shared" si="91"/>
        <v>1148991.0115954564</v>
      </c>
      <c r="J275" s="15">
        <f t="shared" si="83"/>
        <v>0.66177046054799016</v>
      </c>
      <c r="K275" s="13">
        <f t="shared" si="92"/>
        <v>1158290.6486498553</v>
      </c>
      <c r="L275" s="13">
        <f t="shared" si="100"/>
        <v>93923971.108084008</v>
      </c>
      <c r="M275" s="15">
        <f t="shared" si="93"/>
        <v>0.66177046054799027</v>
      </c>
      <c r="N275" s="13">
        <f t="shared" si="84"/>
        <v>0</v>
      </c>
      <c r="O275" s="13">
        <f t="shared" si="94"/>
        <v>-9299.6370543979574</v>
      </c>
      <c r="P275" s="15">
        <f t="shared" si="85"/>
        <v>-5.3415767183517503E-3</v>
      </c>
      <c r="Q275" s="7">
        <f t="shared" si="95"/>
        <v>1740991.0115954573</v>
      </c>
      <c r="R275" s="7">
        <f t="shared" si="96"/>
        <v>1750290.6486498553</v>
      </c>
      <c r="S275" s="13">
        <f>IF('BANCO DE DADOS'!$AD$32="Sim",R275,Q275)</f>
        <v>1750290.6486498553</v>
      </c>
      <c r="T275" s="9">
        <f t="shared" si="97"/>
        <v>271</v>
      </c>
      <c r="U275" s="18">
        <f t="shared" ca="1" si="98"/>
        <v>52628</v>
      </c>
      <c r="V275" s="24"/>
      <c r="W275" s="24"/>
      <c r="X275" s="24"/>
    </row>
    <row r="276" spans="2:24" x14ac:dyDescent="0.2">
      <c r="B276" s="18">
        <f t="shared" ca="1" si="86"/>
        <v>52628</v>
      </c>
      <c r="C276" s="9">
        <f t="shared" si="99"/>
        <v>272</v>
      </c>
      <c r="D276" s="9"/>
      <c r="E276" s="13">
        <f t="shared" si="87"/>
        <v>2000</v>
      </c>
      <c r="F276" s="14">
        <f t="shared" si="88"/>
        <v>594000</v>
      </c>
      <c r="G276" s="15">
        <f t="shared" si="89"/>
        <v>0.33681776424236437</v>
      </c>
      <c r="H276" s="13">
        <f t="shared" si="90"/>
        <v>11201.588589850504</v>
      </c>
      <c r="I276" s="13">
        <f t="shared" si="91"/>
        <v>1160192.600185307</v>
      </c>
      <c r="J276" s="15">
        <f t="shared" si="83"/>
        <v>0.66318223575763557</v>
      </c>
      <c r="K276" s="13">
        <f t="shared" si="92"/>
        <v>1169564.9394447459</v>
      </c>
      <c r="L276" s="13">
        <f t="shared" si="100"/>
        <v>95093536.047528759</v>
      </c>
      <c r="M276" s="15">
        <f t="shared" si="93"/>
        <v>0.66318223575763569</v>
      </c>
      <c r="N276" s="13">
        <f t="shared" si="84"/>
        <v>0</v>
      </c>
      <c r="O276" s="13">
        <f t="shared" si="94"/>
        <v>-9372.3392594379839</v>
      </c>
      <c r="P276" s="15">
        <f t="shared" si="85"/>
        <v>-5.3428222524983388E-3</v>
      </c>
      <c r="Q276" s="7">
        <f t="shared" si="95"/>
        <v>1754192.6001853079</v>
      </c>
      <c r="R276" s="7">
        <f t="shared" si="96"/>
        <v>1763564.9394447459</v>
      </c>
      <c r="S276" s="13">
        <f>IF('BANCO DE DADOS'!$AD$32="Sim",R276,Q276)</f>
        <v>1763564.9394447459</v>
      </c>
      <c r="T276" s="9">
        <f t="shared" si="97"/>
        <v>272</v>
      </c>
      <c r="U276" s="18">
        <f t="shared" ca="1" si="98"/>
        <v>52657</v>
      </c>
      <c r="V276" s="24"/>
      <c r="W276" s="24"/>
      <c r="X276" s="24"/>
    </row>
    <row r="277" spans="2:24" x14ac:dyDescent="0.2">
      <c r="B277" s="18">
        <f t="shared" ca="1" si="86"/>
        <v>52657</v>
      </c>
      <c r="C277" s="9">
        <f t="shared" si="99"/>
        <v>273</v>
      </c>
      <c r="D277" s="9"/>
      <c r="E277" s="13">
        <f t="shared" si="87"/>
        <v>2000</v>
      </c>
      <c r="F277" s="14">
        <f t="shared" si="88"/>
        <v>596000</v>
      </c>
      <c r="G277" s="15">
        <f t="shared" si="89"/>
        <v>0.33541096085157968</v>
      </c>
      <c r="H277" s="13">
        <f t="shared" si="90"/>
        <v>11286.52800833748</v>
      </c>
      <c r="I277" s="13">
        <f t="shared" si="91"/>
        <v>1171479.1281936443</v>
      </c>
      <c r="J277" s="15">
        <f t="shared" si="83"/>
        <v>0.66458903914842038</v>
      </c>
      <c r="K277" s="13">
        <f t="shared" si="92"/>
        <v>1180924.6374262997</v>
      </c>
      <c r="L277" s="13">
        <f t="shared" si="100"/>
        <v>96274460.68495506</v>
      </c>
      <c r="M277" s="15">
        <f t="shared" si="93"/>
        <v>0.66458903914842038</v>
      </c>
      <c r="N277" s="13">
        <f t="shared" si="84"/>
        <v>0</v>
      </c>
      <c r="O277" s="13">
        <f t="shared" si="94"/>
        <v>-9445.5092326544691</v>
      </c>
      <c r="P277" s="15">
        <f t="shared" si="85"/>
        <v>-5.3440570143013406E-3</v>
      </c>
      <c r="Q277" s="7">
        <f t="shared" si="95"/>
        <v>1767479.1281936453</v>
      </c>
      <c r="R277" s="7">
        <f t="shared" si="96"/>
        <v>1776924.6374262997</v>
      </c>
      <c r="S277" s="13">
        <f>IF('BANCO DE DADOS'!$AD$32="Sim",R277,Q277)</f>
        <v>1776924.6374262997</v>
      </c>
      <c r="T277" s="9">
        <f t="shared" si="97"/>
        <v>273</v>
      </c>
      <c r="U277" s="18">
        <f t="shared" ca="1" si="98"/>
        <v>52688</v>
      </c>
      <c r="V277" s="24"/>
      <c r="W277" s="24"/>
      <c r="X277" s="24"/>
    </row>
    <row r="278" spans="2:24" x14ac:dyDescent="0.2">
      <c r="B278" s="18">
        <f t="shared" ca="1" si="86"/>
        <v>52688</v>
      </c>
      <c r="C278" s="9">
        <f t="shared" si="99"/>
        <v>274</v>
      </c>
      <c r="D278" s="9"/>
      <c r="E278" s="13">
        <f t="shared" si="87"/>
        <v>2000</v>
      </c>
      <c r="F278" s="14">
        <f t="shared" si="88"/>
        <v>598000</v>
      </c>
      <c r="G278" s="15">
        <f t="shared" si="89"/>
        <v>0.33400911679352485</v>
      </c>
      <c r="H278" s="13">
        <f t="shared" si="90"/>
        <v>11372.013929600527</v>
      </c>
      <c r="I278" s="13">
        <f t="shared" si="91"/>
        <v>1182851.1421232449</v>
      </c>
      <c r="J278" s="15">
        <f t="shared" si="83"/>
        <v>0.66599088320647515</v>
      </c>
      <c r="K278" s="13">
        <f t="shared" si="92"/>
        <v>1192370.2921069276</v>
      </c>
      <c r="L278" s="13">
        <f t="shared" si="100"/>
        <v>97466830.977061987</v>
      </c>
      <c r="M278" s="15">
        <f t="shared" si="93"/>
        <v>0.66599088320647515</v>
      </c>
      <c r="N278" s="13">
        <f t="shared" si="84"/>
        <v>0</v>
      </c>
      <c r="O278" s="13">
        <f t="shared" si="94"/>
        <v>-9519.1499836817384</v>
      </c>
      <c r="P278" s="15">
        <f t="shared" si="85"/>
        <v>-5.3452811178436805E-3</v>
      </c>
      <c r="Q278" s="7">
        <f t="shared" si="95"/>
        <v>1780851.1421232459</v>
      </c>
      <c r="R278" s="7">
        <f t="shared" si="96"/>
        <v>1790370.2921069276</v>
      </c>
      <c r="S278" s="13">
        <f>IF('BANCO DE DADOS'!$AD$32="Sim",R278,Q278)</f>
        <v>1790370.2921069276</v>
      </c>
      <c r="T278" s="9">
        <f t="shared" si="97"/>
        <v>274</v>
      </c>
      <c r="U278" s="18">
        <f t="shared" ca="1" si="98"/>
        <v>52718</v>
      </c>
      <c r="V278" s="24"/>
      <c r="W278" s="24"/>
      <c r="X278" s="24"/>
    </row>
    <row r="279" spans="2:24" x14ac:dyDescent="0.2">
      <c r="B279" s="18">
        <f t="shared" ca="1" si="86"/>
        <v>52718</v>
      </c>
      <c r="C279" s="9">
        <f t="shared" si="99"/>
        <v>275</v>
      </c>
      <c r="D279" s="9"/>
      <c r="E279" s="13">
        <f t="shared" si="87"/>
        <v>2000</v>
      </c>
      <c r="F279" s="14">
        <f t="shared" si="88"/>
        <v>600000</v>
      </c>
      <c r="G279" s="15">
        <f t="shared" si="89"/>
        <v>0.3326122195945273</v>
      </c>
      <c r="H279" s="13">
        <f t="shared" si="90"/>
        <v>11458.049869854962</v>
      </c>
      <c r="I279" s="13">
        <f t="shared" si="91"/>
        <v>1194309.1919930999</v>
      </c>
      <c r="J279" s="15">
        <f t="shared" si="83"/>
        <v>0.66738778040547264</v>
      </c>
      <c r="K279" s="13">
        <f t="shared" si="92"/>
        <v>1203902.4565346192</v>
      </c>
      <c r="L279" s="13">
        <f t="shared" si="100"/>
        <v>98670733.433596611</v>
      </c>
      <c r="M279" s="15">
        <f t="shared" si="93"/>
        <v>0.66738778040547275</v>
      </c>
      <c r="N279" s="13">
        <f t="shared" si="84"/>
        <v>0</v>
      </c>
      <c r="O279" s="13">
        <f t="shared" si="94"/>
        <v>-9593.2645415184088</v>
      </c>
      <c r="P279" s="15">
        <f t="shared" si="85"/>
        <v>-5.3464946756820132E-3</v>
      </c>
      <c r="Q279" s="7">
        <f t="shared" si="95"/>
        <v>1794309.1919931008</v>
      </c>
      <c r="R279" s="7">
        <f t="shared" si="96"/>
        <v>1803902.4565346192</v>
      </c>
      <c r="S279" s="13">
        <f>IF('BANCO DE DADOS'!$AD$32="Sim",R279,Q279)</f>
        <v>1803902.4565346192</v>
      </c>
      <c r="T279" s="9">
        <f t="shared" si="97"/>
        <v>275</v>
      </c>
      <c r="U279" s="18">
        <f t="shared" ca="1" si="98"/>
        <v>52749</v>
      </c>
      <c r="V279" s="24"/>
      <c r="W279" s="24"/>
      <c r="X279" s="24"/>
    </row>
    <row r="280" spans="2:24" x14ac:dyDescent="0.2">
      <c r="B280" s="18">
        <f t="shared" ca="1" si="86"/>
        <v>52749</v>
      </c>
      <c r="C280" s="9">
        <f t="shared" si="99"/>
        <v>276</v>
      </c>
      <c r="D280" s="9">
        <v>23</v>
      </c>
      <c r="E280" s="13">
        <f t="shared" si="87"/>
        <v>2000</v>
      </c>
      <c r="F280" s="14">
        <f t="shared" si="88"/>
        <v>602000</v>
      </c>
      <c r="G280" s="15">
        <f t="shared" si="89"/>
        <v>0.33122025679324746</v>
      </c>
      <c r="H280" s="13">
        <f t="shared" si="90"/>
        <v>11544.639367939537</v>
      </c>
      <c r="I280" s="13">
        <f t="shared" si="91"/>
        <v>1205853.8313610393</v>
      </c>
      <c r="J280" s="15">
        <f t="shared" si="83"/>
        <v>0.6687797432067526</v>
      </c>
      <c r="K280" s="13">
        <f t="shared" si="92"/>
        <v>1215521.6873156922</v>
      </c>
      <c r="L280" s="13">
        <f t="shared" si="100"/>
        <v>99886255.120912299</v>
      </c>
      <c r="M280" s="15">
        <f t="shared" si="93"/>
        <v>0.66877974320675249</v>
      </c>
      <c r="N280" s="13">
        <f t="shared" si="84"/>
        <v>0</v>
      </c>
      <c r="O280" s="13">
        <f t="shared" si="94"/>
        <v>-9667.8559546519537</v>
      </c>
      <c r="P280" s="15">
        <f t="shared" si="85"/>
        <v>-5.3476977988721145E-3</v>
      </c>
      <c r="Q280" s="7">
        <f t="shared" si="95"/>
        <v>1807853.8313610402</v>
      </c>
      <c r="R280" s="7">
        <f t="shared" si="96"/>
        <v>1817521.6873156922</v>
      </c>
      <c r="S280" s="13">
        <f>IF('BANCO DE DADOS'!$AD$32="Sim",R280,Q280)</f>
        <v>1817521.6873156922</v>
      </c>
      <c r="T280" s="9">
        <f t="shared" si="97"/>
        <v>276</v>
      </c>
      <c r="U280" s="18">
        <f t="shared" ca="1" si="98"/>
        <v>52779</v>
      </c>
      <c r="V280" s="24"/>
      <c r="W280" s="24"/>
      <c r="X280" s="24"/>
    </row>
    <row r="281" spans="2:24" x14ac:dyDescent="0.2">
      <c r="B281" s="18">
        <f t="shared" ca="1" si="86"/>
        <v>52779</v>
      </c>
      <c r="C281" s="9">
        <f t="shared" si="99"/>
        <v>277</v>
      </c>
      <c r="D281" s="9"/>
      <c r="E281" s="13">
        <f t="shared" si="87"/>
        <v>2000</v>
      </c>
      <c r="F281" s="14">
        <f t="shared" si="88"/>
        <v>604000</v>
      </c>
      <c r="G281" s="15">
        <f t="shared" si="89"/>
        <v>0.32983321594056042</v>
      </c>
      <c r="H281" s="13">
        <f t="shared" si="90"/>
        <v>11631.785985461996</v>
      </c>
      <c r="I281" s="13">
        <f t="shared" si="91"/>
        <v>1217485.6173465012</v>
      </c>
      <c r="J281" s="15">
        <f t="shared" si="83"/>
        <v>0.67016678405943964</v>
      </c>
      <c r="K281" s="13">
        <f t="shared" si="92"/>
        <v>1227228.5446376856</v>
      </c>
      <c r="L281" s="13">
        <f t="shared" si="100"/>
        <v>101113483.66554998</v>
      </c>
      <c r="M281" s="15">
        <f t="shared" si="93"/>
        <v>0.67016678405943952</v>
      </c>
      <c r="N281" s="13">
        <f t="shared" si="84"/>
        <v>0</v>
      </c>
      <c r="O281" s="13">
        <f t="shared" si="94"/>
        <v>-9742.9272911834996</v>
      </c>
      <c r="P281" s="15">
        <f t="shared" si="85"/>
        <v>-5.3488905969934419E-3</v>
      </c>
      <c r="Q281" s="7">
        <f t="shared" si="95"/>
        <v>1821485.6173465021</v>
      </c>
      <c r="R281" s="7">
        <f t="shared" si="96"/>
        <v>1831228.5446376856</v>
      </c>
      <c r="S281" s="13">
        <f>IF('BANCO DE DADOS'!$AD$32="Sim",R281,Q281)</f>
        <v>1831228.5446376856</v>
      </c>
      <c r="T281" s="9">
        <f t="shared" si="97"/>
        <v>277</v>
      </c>
      <c r="U281" s="18">
        <f t="shared" ca="1" si="98"/>
        <v>52810</v>
      </c>
      <c r="V281" s="24"/>
      <c r="W281" s="24"/>
      <c r="X281" s="24"/>
    </row>
    <row r="282" spans="2:24" x14ac:dyDescent="0.2">
      <c r="B282" s="18">
        <f t="shared" ca="1" si="86"/>
        <v>52810</v>
      </c>
      <c r="C282" s="9">
        <f t="shared" si="99"/>
        <v>278</v>
      </c>
      <c r="D282" s="9"/>
      <c r="E282" s="13">
        <f t="shared" si="87"/>
        <v>2000</v>
      </c>
      <c r="F282" s="14">
        <f t="shared" si="88"/>
        <v>606000</v>
      </c>
      <c r="G282" s="15">
        <f t="shared" si="89"/>
        <v>0.328451084599443</v>
      </c>
      <c r="H282" s="13">
        <f t="shared" si="90"/>
        <v>11719.493306945582</v>
      </c>
      <c r="I282" s="13">
        <f t="shared" si="91"/>
        <v>1229205.1106534468</v>
      </c>
      <c r="J282" s="15">
        <f t="shared" si="83"/>
        <v>0.67154891540055694</v>
      </c>
      <c r="K282" s="13">
        <f t="shared" si="92"/>
        <v>1239023.5922924022</v>
      </c>
      <c r="L282" s="13">
        <f t="shared" si="100"/>
        <v>102352507.25784238</v>
      </c>
      <c r="M282" s="15">
        <f t="shared" si="93"/>
        <v>0.67154891540055706</v>
      </c>
      <c r="N282" s="13">
        <f t="shared" si="84"/>
        <v>0</v>
      </c>
      <c r="O282" s="13">
        <f t="shared" si="94"/>
        <v>-9818.4816389544867</v>
      </c>
      <c r="P282" s="15">
        <f t="shared" si="85"/>
        <v>-5.3500731781737972E-3</v>
      </c>
      <c r="Q282" s="7">
        <f t="shared" si="95"/>
        <v>1835205.1106534477</v>
      </c>
      <c r="R282" s="7">
        <f t="shared" si="96"/>
        <v>1845023.5922924022</v>
      </c>
      <c r="S282" s="13">
        <f>IF('BANCO DE DADOS'!$AD$32="Sim",R282,Q282)</f>
        <v>1845023.5922924022</v>
      </c>
      <c r="T282" s="9">
        <f t="shared" si="97"/>
        <v>278</v>
      </c>
      <c r="U282" s="18">
        <f t="shared" ca="1" si="98"/>
        <v>52841</v>
      </c>
      <c r="V282" s="24"/>
      <c r="W282" s="24"/>
      <c r="X282" s="24"/>
    </row>
    <row r="283" spans="2:24" x14ac:dyDescent="0.2">
      <c r="B283" s="18">
        <f t="shared" ca="1" si="86"/>
        <v>52841</v>
      </c>
      <c r="C283" s="9">
        <f t="shared" si="99"/>
        <v>279</v>
      </c>
      <c r="D283" s="9"/>
      <c r="E283" s="13">
        <f t="shared" si="87"/>
        <v>2000</v>
      </c>
      <c r="F283" s="14">
        <f t="shared" si="88"/>
        <v>608000</v>
      </c>
      <c r="G283" s="15">
        <f t="shared" si="89"/>
        <v>0.32707385034486647</v>
      </c>
      <c r="H283" s="13">
        <f t="shared" si="90"/>
        <v>11807.76493997646</v>
      </c>
      <c r="I283" s="13">
        <f t="shared" si="91"/>
        <v>1241012.8755934231</v>
      </c>
      <c r="J283" s="15">
        <f t="shared" si="83"/>
        <v>0.67292614965513353</v>
      </c>
      <c r="K283" s="13">
        <f t="shared" si="92"/>
        <v>1250907.3976990981</v>
      </c>
      <c r="L283" s="13">
        <f t="shared" si="100"/>
        <v>103603414.65554148</v>
      </c>
      <c r="M283" s="15">
        <f t="shared" si="93"/>
        <v>0.67292614965513353</v>
      </c>
      <c r="N283" s="13">
        <f t="shared" si="84"/>
        <v>0</v>
      </c>
      <c r="O283" s="13">
        <f t="shared" si="94"/>
        <v>-9894.5221056740265</v>
      </c>
      <c r="P283" s="15">
        <f t="shared" si="85"/>
        <v>-5.3512456491134324E-3</v>
      </c>
      <c r="Q283" s="7">
        <f t="shared" si="95"/>
        <v>1849012.8755934241</v>
      </c>
      <c r="R283" s="7">
        <f t="shared" si="96"/>
        <v>1858907.3976990981</v>
      </c>
      <c r="S283" s="13">
        <f>IF('BANCO DE DADOS'!$AD$32="Sim",R283,Q283)</f>
        <v>1858907.3976990981</v>
      </c>
      <c r="T283" s="9">
        <f t="shared" si="97"/>
        <v>279</v>
      </c>
      <c r="U283" s="18">
        <f t="shared" ca="1" si="98"/>
        <v>52871</v>
      </c>
      <c r="V283" s="24"/>
      <c r="W283" s="24"/>
      <c r="X283" s="24"/>
    </row>
    <row r="284" spans="2:24" x14ac:dyDescent="0.2">
      <c r="B284" s="18">
        <f t="shared" ca="1" si="86"/>
        <v>52871</v>
      </c>
      <c r="C284" s="9">
        <f t="shared" si="99"/>
        <v>280</v>
      </c>
      <c r="D284" s="9"/>
      <c r="E284" s="13">
        <f t="shared" si="87"/>
        <v>2000</v>
      </c>
      <c r="F284" s="14">
        <f t="shared" si="88"/>
        <v>610000</v>
      </c>
      <c r="G284" s="15">
        <f t="shared" si="89"/>
        <v>0.32570150076369547</v>
      </c>
      <c r="H284" s="13">
        <f t="shared" si="90"/>
        <v>11896.604515352117</v>
      </c>
      <c r="I284" s="13">
        <f t="shared" si="91"/>
        <v>1252909.4801087752</v>
      </c>
      <c r="J284" s="15">
        <f t="shared" si="83"/>
        <v>0.67429849923630458</v>
      </c>
      <c r="K284" s="13">
        <f t="shared" si="92"/>
        <v>1262880.5319278222</v>
      </c>
      <c r="L284" s="13">
        <f t="shared" si="100"/>
        <v>104866295.1874693</v>
      </c>
      <c r="M284" s="15">
        <f t="shared" si="93"/>
        <v>0.67429849923630447</v>
      </c>
      <c r="N284" s="13">
        <f t="shared" si="84"/>
        <v>0</v>
      </c>
      <c r="O284" s="13">
        <f t="shared" si="94"/>
        <v>-9971.051819046028</v>
      </c>
      <c r="P284" s="15">
        <f t="shared" si="85"/>
        <v>-5.3524081151081013E-3</v>
      </c>
      <c r="Q284" s="7">
        <f t="shared" si="95"/>
        <v>1862909.4801087761</v>
      </c>
      <c r="R284" s="7">
        <f t="shared" si="96"/>
        <v>1872880.5319278222</v>
      </c>
      <c r="S284" s="13">
        <f>IF('BANCO DE DADOS'!$AD$32="Sim",R284,Q284)</f>
        <v>1872880.5319278222</v>
      </c>
      <c r="T284" s="9">
        <f t="shared" si="97"/>
        <v>280</v>
      </c>
      <c r="U284" s="18">
        <f t="shared" ca="1" si="98"/>
        <v>52902</v>
      </c>
      <c r="V284" s="24"/>
      <c r="W284" s="24"/>
      <c r="X284" s="24"/>
    </row>
    <row r="285" spans="2:24" x14ac:dyDescent="0.2">
      <c r="B285" s="18">
        <f t="shared" ca="1" si="86"/>
        <v>52902</v>
      </c>
      <c r="C285" s="9">
        <f t="shared" si="99"/>
        <v>281</v>
      </c>
      <c r="D285" s="9"/>
      <c r="E285" s="13">
        <f t="shared" si="87"/>
        <v>2000</v>
      </c>
      <c r="F285" s="14">
        <f t="shared" si="88"/>
        <v>612000</v>
      </c>
      <c r="G285" s="15">
        <f t="shared" si="89"/>
        <v>0.32433402345459189</v>
      </c>
      <c r="H285" s="13">
        <f t="shared" si="90"/>
        <v>11986.015687230702</v>
      </c>
      <c r="I285" s="13">
        <f t="shared" si="91"/>
        <v>1264895.4957960059</v>
      </c>
      <c r="J285" s="15">
        <f t="shared" si="83"/>
        <v>0.67566597654540805</v>
      </c>
      <c r="K285" s="13">
        <f t="shared" si="92"/>
        <v>1274943.5697229051</v>
      </c>
      <c r="L285" s="13">
        <f t="shared" si="100"/>
        <v>106141238.75719221</v>
      </c>
      <c r="M285" s="15">
        <f t="shared" si="93"/>
        <v>0.67566597654540816</v>
      </c>
      <c r="N285" s="13">
        <f t="shared" si="84"/>
        <v>0</v>
      </c>
      <c r="O285" s="13">
        <f t="shared" si="94"/>
        <v>-10048.073926898185</v>
      </c>
      <c r="P285" s="15">
        <f t="shared" si="85"/>
        <v>-5.3535606800722349E-3</v>
      </c>
      <c r="Q285" s="7">
        <f t="shared" si="95"/>
        <v>1876895.4957960069</v>
      </c>
      <c r="R285" s="7">
        <f t="shared" si="96"/>
        <v>1886943.5697229051</v>
      </c>
      <c r="S285" s="13">
        <f>IF('BANCO DE DADOS'!$AD$32="Sim",R285,Q285)</f>
        <v>1886943.5697229051</v>
      </c>
      <c r="T285" s="9">
        <f t="shared" si="97"/>
        <v>281</v>
      </c>
      <c r="U285" s="18">
        <f t="shared" ca="1" si="98"/>
        <v>52932</v>
      </c>
      <c r="V285" s="24"/>
      <c r="W285" s="24"/>
      <c r="X285" s="24"/>
    </row>
    <row r="286" spans="2:24" x14ac:dyDescent="0.2">
      <c r="B286" s="18">
        <f t="shared" ca="1" si="86"/>
        <v>52932</v>
      </c>
      <c r="C286" s="9">
        <f t="shared" si="99"/>
        <v>282</v>
      </c>
      <c r="D286" s="9"/>
      <c r="E286" s="13">
        <f t="shared" si="87"/>
        <v>2000</v>
      </c>
      <c r="F286" s="14">
        <f t="shared" si="88"/>
        <v>614000</v>
      </c>
      <c r="G286" s="15">
        <f t="shared" si="89"/>
        <v>0.32297140602792401</v>
      </c>
      <c r="H286" s="13">
        <f t="shared" si="90"/>
        <v>12076.002133281325</v>
      </c>
      <c r="I286" s="13">
        <f t="shared" si="91"/>
        <v>1276971.4979292874</v>
      </c>
      <c r="J286" s="15">
        <f t="shared" si="83"/>
        <v>0.67702859397207593</v>
      </c>
      <c r="K286" s="13">
        <f t="shared" si="92"/>
        <v>1287097.0895265995</v>
      </c>
      <c r="L286" s="13">
        <f t="shared" si="100"/>
        <v>107428335.8467188</v>
      </c>
      <c r="M286" s="15">
        <f t="shared" si="93"/>
        <v>0.67702859397207593</v>
      </c>
      <c r="N286" s="13">
        <f t="shared" si="84"/>
        <v>0</v>
      </c>
      <c r="O286" s="13">
        <f t="shared" si="94"/>
        <v>-10125.591597311199</v>
      </c>
      <c r="P286" s="15">
        <f t="shared" si="85"/>
        <v>-5.3547034465613284E-3</v>
      </c>
      <c r="Q286" s="7">
        <f t="shared" si="95"/>
        <v>1890971.4979292883</v>
      </c>
      <c r="R286" s="7">
        <f t="shared" si="96"/>
        <v>1901097.0895265995</v>
      </c>
      <c r="S286" s="13">
        <f>IF('BANCO DE DADOS'!$AD$32="Sim",R286,Q286)</f>
        <v>1901097.0895265995</v>
      </c>
      <c r="T286" s="9">
        <f t="shared" si="97"/>
        <v>282</v>
      </c>
      <c r="U286" s="18">
        <f t="shared" ca="1" si="98"/>
        <v>52963</v>
      </c>
      <c r="V286" s="24"/>
      <c r="W286" s="24"/>
      <c r="X286" s="24"/>
    </row>
    <row r="287" spans="2:24" x14ac:dyDescent="0.2">
      <c r="B287" s="18">
        <f t="shared" ca="1" si="86"/>
        <v>52963</v>
      </c>
      <c r="C287" s="9">
        <f t="shared" si="99"/>
        <v>283</v>
      </c>
      <c r="D287" s="9"/>
      <c r="E287" s="13">
        <f t="shared" si="87"/>
        <v>2000</v>
      </c>
      <c r="F287" s="14">
        <f t="shared" si="88"/>
        <v>616000</v>
      </c>
      <c r="G287" s="15">
        <f t="shared" si="89"/>
        <v>0.32161363610568139</v>
      </c>
      <c r="H287" s="13">
        <f t="shared" si="90"/>
        <v>12166.56755483533</v>
      </c>
      <c r="I287" s="13">
        <f t="shared" si="91"/>
        <v>1289138.0654841226</v>
      </c>
      <c r="J287" s="15">
        <f t="shared" si="83"/>
        <v>0.67838636389431861</v>
      </c>
      <c r="K287" s="13">
        <f t="shared" si="92"/>
        <v>1299341.6735028736</v>
      </c>
      <c r="L287" s="13">
        <f t="shared" si="100"/>
        <v>108727677.52022168</v>
      </c>
      <c r="M287" s="15">
        <f t="shared" si="93"/>
        <v>0.67838636389431861</v>
      </c>
      <c r="N287" s="13">
        <f t="shared" si="84"/>
        <v>0</v>
      </c>
      <c r="O287" s="13">
        <f t="shared" si="94"/>
        <v>-10203.608018750092</v>
      </c>
      <c r="P287" s="15">
        <f t="shared" si="85"/>
        <v>-5.3558365157945678E-3</v>
      </c>
      <c r="Q287" s="7">
        <f t="shared" si="95"/>
        <v>1905138.0654841235</v>
      </c>
      <c r="R287" s="7">
        <f t="shared" si="96"/>
        <v>1915341.6735028736</v>
      </c>
      <c r="S287" s="13">
        <f>IF('BANCO DE DADOS'!$AD$32="Sim",R287,Q287)</f>
        <v>1915341.6735028736</v>
      </c>
      <c r="T287" s="9">
        <f t="shared" si="97"/>
        <v>283</v>
      </c>
      <c r="U287" s="18">
        <f t="shared" ca="1" si="98"/>
        <v>52994</v>
      </c>
      <c r="V287" s="24"/>
      <c r="W287" s="24"/>
      <c r="X287" s="24"/>
    </row>
    <row r="288" spans="2:24" x14ac:dyDescent="0.2">
      <c r="B288" s="18">
        <f t="shared" ca="1" si="86"/>
        <v>52994</v>
      </c>
      <c r="C288" s="9">
        <f t="shared" si="99"/>
        <v>284</v>
      </c>
      <c r="D288" s="9"/>
      <c r="E288" s="13">
        <f t="shared" si="87"/>
        <v>2000</v>
      </c>
      <c r="F288" s="14">
        <f t="shared" si="88"/>
        <v>618000</v>
      </c>
      <c r="G288" s="15">
        <f t="shared" si="89"/>
        <v>0.32026070132139411</v>
      </c>
      <c r="H288" s="13">
        <f t="shared" si="90"/>
        <v>12257.715677038537</v>
      </c>
      <c r="I288" s="13">
        <f t="shared" si="91"/>
        <v>1301395.7811611611</v>
      </c>
      <c r="J288" s="15">
        <f t="shared" si="83"/>
        <v>0.67973929867860594</v>
      </c>
      <c r="K288" s="13">
        <f t="shared" si="92"/>
        <v>1311677.9075613555</v>
      </c>
      <c r="L288" s="13">
        <f t="shared" si="100"/>
        <v>110039355.42778304</v>
      </c>
      <c r="M288" s="15">
        <f t="shared" si="93"/>
        <v>0.67973929867860594</v>
      </c>
      <c r="N288" s="13">
        <f t="shared" si="84"/>
        <v>0</v>
      </c>
      <c r="O288" s="13">
        <f t="shared" si="94"/>
        <v>-10282.126400193432</v>
      </c>
      <c r="P288" s="15">
        <f t="shared" si="85"/>
        <v>-5.3569599876754619E-3</v>
      </c>
      <c r="Q288" s="7">
        <f t="shared" si="95"/>
        <v>1919395.7811611621</v>
      </c>
      <c r="R288" s="7">
        <f t="shared" si="96"/>
        <v>1929677.9075613555</v>
      </c>
      <c r="S288" s="13">
        <f>IF('BANCO DE DADOS'!$AD$32="Sim",R288,Q288)</f>
        <v>1929677.9075613555</v>
      </c>
      <c r="T288" s="9">
        <f t="shared" si="97"/>
        <v>284</v>
      </c>
      <c r="U288" s="18">
        <f t="shared" ca="1" si="98"/>
        <v>53022</v>
      </c>
      <c r="V288" s="24"/>
      <c r="W288" s="24"/>
      <c r="X288" s="24"/>
    </row>
    <row r="289" spans="2:24" x14ac:dyDescent="0.2">
      <c r="B289" s="18">
        <f t="shared" ca="1" si="86"/>
        <v>53022</v>
      </c>
      <c r="C289" s="9">
        <f t="shared" si="99"/>
        <v>285</v>
      </c>
      <c r="D289" s="9"/>
      <c r="E289" s="13">
        <f t="shared" si="87"/>
        <v>2000</v>
      </c>
      <c r="F289" s="14">
        <f t="shared" si="88"/>
        <v>620000</v>
      </c>
      <c r="G289" s="15">
        <f t="shared" si="89"/>
        <v>0.31891258932005739</v>
      </c>
      <c r="H289" s="13">
        <f t="shared" si="90"/>
        <v>12349.450249004472</v>
      </c>
      <c r="I289" s="13">
        <f t="shared" si="91"/>
        <v>1313745.2314101656</v>
      </c>
      <c r="J289" s="15">
        <f t="shared" si="83"/>
        <v>0.68108741067994261</v>
      </c>
      <c r="K289" s="13">
        <f t="shared" si="92"/>
        <v>1324106.3813814337</v>
      </c>
      <c r="L289" s="13">
        <f t="shared" si="100"/>
        <v>111363461.80916448</v>
      </c>
      <c r="M289" s="15">
        <f t="shared" si="93"/>
        <v>0.68108741067994261</v>
      </c>
      <c r="N289" s="13">
        <f t="shared" si="84"/>
        <v>0</v>
      </c>
      <c r="O289" s="13">
        <f t="shared" si="94"/>
        <v>-10361.149971267208</v>
      </c>
      <c r="P289" s="15">
        <f t="shared" si="85"/>
        <v>-5.358073960814079E-3</v>
      </c>
      <c r="Q289" s="7">
        <f t="shared" si="95"/>
        <v>1933745.2314101665</v>
      </c>
      <c r="R289" s="7">
        <f t="shared" si="96"/>
        <v>1944106.3813814337</v>
      </c>
      <c r="S289" s="13">
        <f>IF('BANCO DE DADOS'!$AD$32="Sim",R289,Q289)</f>
        <v>1944106.3813814337</v>
      </c>
      <c r="T289" s="9">
        <f t="shared" si="97"/>
        <v>285</v>
      </c>
      <c r="U289" s="18">
        <f t="shared" ca="1" si="98"/>
        <v>53053</v>
      </c>
      <c r="V289" s="24"/>
      <c r="W289" s="24"/>
      <c r="X289" s="24"/>
    </row>
    <row r="290" spans="2:24" x14ac:dyDescent="0.2">
      <c r="B290" s="18">
        <f t="shared" ca="1" si="86"/>
        <v>53053</v>
      </c>
      <c r="C290" s="9">
        <f t="shared" si="99"/>
        <v>286</v>
      </c>
      <c r="D290" s="9"/>
      <c r="E290" s="13">
        <f t="shared" si="87"/>
        <v>2000</v>
      </c>
      <c r="F290" s="14">
        <f t="shared" si="88"/>
        <v>622000</v>
      </c>
      <c r="G290" s="15">
        <f t="shared" si="89"/>
        <v>0.31756928775806076</v>
      </c>
      <c r="H290" s="13">
        <f t="shared" si="90"/>
        <v>12441.775043968562</v>
      </c>
      <c r="I290" s="13">
        <f t="shared" si="91"/>
        <v>1326187.0064541341</v>
      </c>
      <c r="J290" s="15">
        <f t="shared" si="83"/>
        <v>0.6824307122419393</v>
      </c>
      <c r="K290" s="13">
        <f t="shared" si="92"/>
        <v>1336627.6884365117</v>
      </c>
      <c r="L290" s="13">
        <f t="shared" si="100"/>
        <v>112700089.49760099</v>
      </c>
      <c r="M290" s="15">
        <f t="shared" si="93"/>
        <v>0.68243071224193919</v>
      </c>
      <c r="N290" s="13">
        <f t="shared" si="84"/>
        <v>0</v>
      </c>
      <c r="O290" s="13">
        <f t="shared" si="94"/>
        <v>-10440.681982376613</v>
      </c>
      <c r="P290" s="15">
        <f t="shared" si="85"/>
        <v>-5.3591785325473127E-3</v>
      </c>
      <c r="Q290" s="7">
        <f t="shared" si="95"/>
        <v>1948187.0064541351</v>
      </c>
      <c r="R290" s="7">
        <f t="shared" si="96"/>
        <v>1958627.6884365117</v>
      </c>
      <c r="S290" s="13">
        <f>IF('BANCO DE DADOS'!$AD$32="Sim",R290,Q290)</f>
        <v>1958627.6884365117</v>
      </c>
      <c r="T290" s="9">
        <f t="shared" si="97"/>
        <v>286</v>
      </c>
      <c r="U290" s="18">
        <f t="shared" ca="1" si="98"/>
        <v>53083</v>
      </c>
      <c r="V290" s="24"/>
      <c r="W290" s="24"/>
      <c r="X290" s="24"/>
    </row>
    <row r="291" spans="2:24" x14ac:dyDescent="0.2">
      <c r="B291" s="18">
        <f t="shared" ca="1" si="86"/>
        <v>53083</v>
      </c>
      <c r="C291" s="9">
        <f t="shared" si="99"/>
        <v>287</v>
      </c>
      <c r="D291" s="9"/>
      <c r="E291" s="13">
        <f t="shared" si="87"/>
        <v>2000</v>
      </c>
      <c r="F291" s="14">
        <f t="shared" si="88"/>
        <v>624000</v>
      </c>
      <c r="G291" s="15">
        <f t="shared" si="89"/>
        <v>0.31623078430312218</v>
      </c>
      <c r="H291" s="13">
        <f t="shared" si="90"/>
        <v>12534.693859443352</v>
      </c>
      <c r="I291" s="13">
        <f t="shared" si="91"/>
        <v>1338721.7003135774</v>
      </c>
      <c r="J291" s="15">
        <f t="shared" si="83"/>
        <v>0.68376921569687776</v>
      </c>
      <c r="K291" s="13">
        <f t="shared" si="92"/>
        <v>1349242.4260184185</v>
      </c>
      <c r="L291" s="13">
        <f t="shared" si="100"/>
        <v>114049331.9236194</v>
      </c>
      <c r="M291" s="15">
        <f t="shared" si="93"/>
        <v>0.68376921569687787</v>
      </c>
      <c r="N291" s="13">
        <f t="shared" si="84"/>
        <v>0</v>
      </c>
      <c r="O291" s="13">
        <f t="shared" si="94"/>
        <v>-10520.725704840152</v>
      </c>
      <c r="P291" s="15">
        <f t="shared" si="85"/>
        <v>-5.3602737989595188E-3</v>
      </c>
      <c r="Q291" s="7">
        <f t="shared" si="95"/>
        <v>1962721.7003135784</v>
      </c>
      <c r="R291" s="7">
        <f t="shared" si="96"/>
        <v>1973242.4260184185</v>
      </c>
      <c r="S291" s="13">
        <f>IF('BANCO DE DADOS'!$AD$32="Sim",R291,Q291)</f>
        <v>1973242.4260184185</v>
      </c>
      <c r="T291" s="9">
        <f t="shared" si="97"/>
        <v>287</v>
      </c>
      <c r="U291" s="18">
        <f t="shared" ca="1" si="98"/>
        <v>53114</v>
      </c>
      <c r="V291" s="24"/>
      <c r="W291" s="24"/>
      <c r="X291" s="24"/>
    </row>
    <row r="292" spans="2:24" x14ac:dyDescent="0.2">
      <c r="B292" s="18">
        <f t="shared" ca="1" si="86"/>
        <v>53114</v>
      </c>
      <c r="C292" s="9">
        <f t="shared" si="99"/>
        <v>288</v>
      </c>
      <c r="D292" s="9">
        <v>24</v>
      </c>
      <c r="E292" s="13">
        <f t="shared" si="87"/>
        <v>2000</v>
      </c>
      <c r="F292" s="14">
        <f t="shared" si="88"/>
        <v>626000</v>
      </c>
      <c r="G292" s="15">
        <f t="shared" si="89"/>
        <v>0.31489706663422595</v>
      </c>
      <c r="H292" s="13">
        <f t="shared" si="90"/>
        <v>12628.210517374693</v>
      </c>
      <c r="I292" s="13">
        <f t="shared" si="91"/>
        <v>1351349.9108309522</v>
      </c>
      <c r="J292" s="15">
        <f t="shared" si="83"/>
        <v>0.6851029333657741</v>
      </c>
      <c r="K292" s="13">
        <f t="shared" si="92"/>
        <v>1361951.1952619771</v>
      </c>
      <c r="L292" s="13">
        <f t="shared" si="100"/>
        <v>115411283.11888137</v>
      </c>
      <c r="M292" s="15">
        <f t="shared" si="93"/>
        <v>0.68510293336577399</v>
      </c>
      <c r="N292" s="13">
        <f t="shared" si="84"/>
        <v>0</v>
      </c>
      <c r="O292" s="13">
        <f t="shared" si="94"/>
        <v>-10601.284431023989</v>
      </c>
      <c r="P292" s="15">
        <f t="shared" si="85"/>
        <v>-5.3613598549024383E-3</v>
      </c>
      <c r="Q292" s="7">
        <f t="shared" si="95"/>
        <v>1977349.9108309532</v>
      </c>
      <c r="R292" s="7">
        <f t="shared" si="96"/>
        <v>1987951.1952619771</v>
      </c>
      <c r="S292" s="13">
        <f>IF('BANCO DE DADOS'!$AD$32="Sim",R292,Q292)</f>
        <v>1987951.1952619771</v>
      </c>
      <c r="T292" s="9">
        <f t="shared" si="97"/>
        <v>288</v>
      </c>
      <c r="U292" s="18">
        <f t="shared" ca="1" si="98"/>
        <v>53144</v>
      </c>
      <c r="V292" s="24"/>
      <c r="W292" s="24"/>
      <c r="X292" s="24"/>
    </row>
    <row r="293" spans="2:24" x14ac:dyDescent="0.2">
      <c r="B293" s="18">
        <f t="shared" ca="1" si="86"/>
        <v>53144</v>
      </c>
      <c r="C293" s="9">
        <f t="shared" si="99"/>
        <v>289</v>
      </c>
      <c r="D293" s="9"/>
      <c r="E293" s="13">
        <f t="shared" si="87"/>
        <v>2000</v>
      </c>
      <c r="F293" s="14">
        <f t="shared" si="88"/>
        <v>628000</v>
      </c>
      <c r="G293" s="15">
        <f t="shared" si="89"/>
        <v>0.31356812244156618</v>
      </c>
      <c r="H293" s="13">
        <f t="shared" si="90"/>
        <v>12722.32886429895</v>
      </c>
      <c r="I293" s="13">
        <f t="shared" si="91"/>
        <v>1364072.2396952512</v>
      </c>
      <c r="J293" s="15">
        <f t="shared" si="83"/>
        <v>0.68643187755843382</v>
      </c>
      <c r="K293" s="13">
        <f t="shared" si="92"/>
        <v>1374754.6011697301</v>
      </c>
      <c r="L293" s="13">
        <f t="shared" si="100"/>
        <v>116786037.72005111</v>
      </c>
      <c r="M293" s="15">
        <f t="shared" si="93"/>
        <v>0.68643187755843382</v>
      </c>
      <c r="N293" s="13">
        <f t="shared" si="84"/>
        <v>0</v>
      </c>
      <c r="O293" s="13">
        <f t="shared" si="94"/>
        <v>-10682.361474477919</v>
      </c>
      <c r="P293" s="15">
        <f t="shared" si="85"/>
        <v>-5.3624367940151157E-3</v>
      </c>
      <c r="Q293" s="7">
        <f t="shared" si="95"/>
        <v>1992072.2396952522</v>
      </c>
      <c r="R293" s="7">
        <f t="shared" si="96"/>
        <v>2002754.6011697301</v>
      </c>
      <c r="S293" s="13">
        <f>IF('BANCO DE DADOS'!$AD$32="Sim",R293,Q293)</f>
        <v>2002754.6011697301</v>
      </c>
      <c r="T293" s="9">
        <f t="shared" si="97"/>
        <v>289</v>
      </c>
      <c r="U293" s="18">
        <f t="shared" ca="1" si="98"/>
        <v>53175</v>
      </c>
      <c r="V293" s="24"/>
      <c r="W293" s="24"/>
      <c r="X293" s="24"/>
    </row>
    <row r="294" spans="2:24" x14ac:dyDescent="0.2">
      <c r="B294" s="18">
        <f t="shared" ca="1" si="86"/>
        <v>53175</v>
      </c>
      <c r="C294" s="9">
        <f t="shared" si="99"/>
        <v>290</v>
      </c>
      <c r="D294" s="9"/>
      <c r="E294" s="13">
        <f t="shared" si="87"/>
        <v>2000</v>
      </c>
      <c r="F294" s="14">
        <f t="shared" si="88"/>
        <v>630000</v>
      </c>
      <c r="G294" s="15">
        <f t="shared" si="89"/>
        <v>0.31224393942649348</v>
      </c>
      <c r="H294" s="13">
        <f t="shared" si="90"/>
        <v>12817.052771501223</v>
      </c>
      <c r="I294" s="13">
        <f t="shared" si="91"/>
        <v>1376889.2924667525</v>
      </c>
      <c r="J294" s="15">
        <f t="shared" si="83"/>
        <v>0.68775606057350647</v>
      </c>
      <c r="K294" s="13">
        <f t="shared" si="92"/>
        <v>1387653.252636824</v>
      </c>
      <c r="L294" s="13">
        <f t="shared" si="100"/>
        <v>118173690.97268793</v>
      </c>
      <c r="M294" s="15">
        <f t="shared" si="93"/>
        <v>0.68775606057350658</v>
      </c>
      <c r="N294" s="13">
        <f t="shared" si="84"/>
        <v>0</v>
      </c>
      <c r="O294" s="13">
        <f t="shared" si="94"/>
        <v>-10763.960170070641</v>
      </c>
      <c r="P294" s="15">
        <f t="shared" si="85"/>
        <v>-5.3635047087426521E-3</v>
      </c>
      <c r="Q294" s="7">
        <f t="shared" si="95"/>
        <v>2006889.2924667534</v>
      </c>
      <c r="R294" s="7">
        <f t="shared" si="96"/>
        <v>2017653.252636824</v>
      </c>
      <c r="S294" s="13">
        <f>IF('BANCO DE DADOS'!$AD$32="Sim",R294,Q294)</f>
        <v>2017653.252636824</v>
      </c>
      <c r="T294" s="9">
        <f t="shared" si="97"/>
        <v>290</v>
      </c>
      <c r="U294" s="18">
        <f t="shared" ca="1" si="98"/>
        <v>53206</v>
      </c>
      <c r="V294" s="24"/>
      <c r="W294" s="24"/>
      <c r="X294" s="24"/>
    </row>
    <row r="295" spans="2:24" x14ac:dyDescent="0.2">
      <c r="B295" s="18">
        <f t="shared" ca="1" si="86"/>
        <v>53206</v>
      </c>
      <c r="C295" s="9">
        <f t="shared" si="99"/>
        <v>291</v>
      </c>
      <c r="D295" s="9"/>
      <c r="E295" s="13">
        <f t="shared" si="87"/>
        <v>2000</v>
      </c>
      <c r="F295" s="14">
        <f t="shared" si="88"/>
        <v>632000</v>
      </c>
      <c r="G295" s="15">
        <f t="shared" si="89"/>
        <v>0.31092450530146631</v>
      </c>
      <c r="H295" s="13">
        <f t="shared" si="90"/>
        <v>12912.386135174571</v>
      </c>
      <c r="I295" s="13">
        <f t="shared" si="91"/>
        <v>1389801.6786019271</v>
      </c>
      <c r="J295" s="15">
        <f t="shared" si="83"/>
        <v>0.68907549469853369</v>
      </c>
      <c r="K295" s="13">
        <f t="shared" si="92"/>
        <v>1400647.7624760557</v>
      </c>
      <c r="L295" s="13">
        <f t="shared" si="100"/>
        <v>119574338.73516399</v>
      </c>
      <c r="M295" s="15">
        <f t="shared" si="93"/>
        <v>0.68907549469853369</v>
      </c>
      <c r="N295" s="13">
        <f t="shared" si="84"/>
        <v>0</v>
      </c>
      <c r="O295" s="13">
        <f t="shared" si="94"/>
        <v>-10846.083874127595</v>
      </c>
      <c r="P295" s="15">
        <f t="shared" si="85"/>
        <v>-5.3645636903554457E-3</v>
      </c>
      <c r="Q295" s="7">
        <f t="shared" si="95"/>
        <v>2021801.6786019281</v>
      </c>
      <c r="R295" s="7">
        <f t="shared" si="96"/>
        <v>2032647.7624760557</v>
      </c>
      <c r="S295" s="13">
        <f>IF('BANCO DE DADOS'!$AD$32="Sim",R295,Q295)</f>
        <v>2032647.7624760557</v>
      </c>
      <c r="T295" s="9">
        <f t="shared" si="97"/>
        <v>291</v>
      </c>
      <c r="U295" s="18">
        <f t="shared" ca="1" si="98"/>
        <v>53236</v>
      </c>
      <c r="V295" s="24"/>
      <c r="W295" s="24"/>
      <c r="X295" s="24"/>
    </row>
    <row r="296" spans="2:24" x14ac:dyDescent="0.2">
      <c r="B296" s="18">
        <f t="shared" ca="1" si="86"/>
        <v>53236</v>
      </c>
      <c r="C296" s="9">
        <f t="shared" si="99"/>
        <v>292</v>
      </c>
      <c r="D296" s="9"/>
      <c r="E296" s="13">
        <f t="shared" si="87"/>
        <v>2000</v>
      </c>
      <c r="F296" s="14">
        <f t="shared" si="88"/>
        <v>634000</v>
      </c>
      <c r="G296" s="15">
        <f t="shared" si="89"/>
        <v>0.30960980779000652</v>
      </c>
      <c r="H296" s="13">
        <f t="shared" si="90"/>
        <v>13008.332876580283</v>
      </c>
      <c r="I296" s="13">
        <f t="shared" si="91"/>
        <v>1402810.0114785074</v>
      </c>
      <c r="J296" s="15">
        <f t="shared" si="83"/>
        <v>0.69039019220999354</v>
      </c>
      <c r="K296" s="13">
        <f t="shared" si="92"/>
        <v>1413738.7474430776</v>
      </c>
      <c r="L296" s="13">
        <f t="shared" si="100"/>
        <v>120988077.48260707</v>
      </c>
      <c r="M296" s="15">
        <f t="shared" si="93"/>
        <v>0.69039019220999343</v>
      </c>
      <c r="N296" s="13">
        <f t="shared" si="84"/>
        <v>0</v>
      </c>
      <c r="O296" s="13">
        <f t="shared" si="94"/>
        <v>-10928.735964569263</v>
      </c>
      <c r="P296" s="15">
        <f t="shared" si="85"/>
        <v>-5.365613828967857E-3</v>
      </c>
      <c r="Q296" s="7">
        <f t="shared" si="95"/>
        <v>2036810.0114785084</v>
      </c>
      <c r="R296" s="7">
        <f t="shared" si="96"/>
        <v>2047738.7474430776</v>
      </c>
      <c r="S296" s="13">
        <f>IF('BANCO DE DADOS'!$AD$32="Sim",R296,Q296)</f>
        <v>2047738.7474430776</v>
      </c>
      <c r="T296" s="9">
        <f t="shared" si="97"/>
        <v>292</v>
      </c>
      <c r="U296" s="18">
        <f t="shared" ca="1" si="98"/>
        <v>53267</v>
      </c>
      <c r="V296" s="24"/>
      <c r="W296" s="24"/>
      <c r="X296" s="24"/>
    </row>
    <row r="297" spans="2:24" x14ac:dyDescent="0.2">
      <c r="B297" s="18">
        <f t="shared" ca="1" si="86"/>
        <v>53267</v>
      </c>
      <c r="C297" s="9">
        <f t="shared" si="99"/>
        <v>293</v>
      </c>
      <c r="D297" s="9"/>
      <c r="E297" s="13">
        <f t="shared" si="87"/>
        <v>2000</v>
      </c>
      <c r="F297" s="14">
        <f t="shared" si="88"/>
        <v>636000</v>
      </c>
      <c r="G297" s="15">
        <f t="shared" si="89"/>
        <v>0.30829983462665855</v>
      </c>
      <c r="H297" s="13">
        <f t="shared" si="90"/>
        <v>13104.896942209156</v>
      </c>
      <c r="I297" s="13">
        <f t="shared" si="91"/>
        <v>1415914.9084207166</v>
      </c>
      <c r="J297" s="15">
        <f t="shared" si="83"/>
        <v>0.69170016537334145</v>
      </c>
      <c r="K297" s="13">
        <f t="shared" si="92"/>
        <v>1426926.828261767</v>
      </c>
      <c r="L297" s="13">
        <f t="shared" si="100"/>
        <v>122415004.31086883</v>
      </c>
      <c r="M297" s="15">
        <f t="shared" si="93"/>
        <v>0.69170016537334145</v>
      </c>
      <c r="N297" s="13">
        <f t="shared" si="84"/>
        <v>0</v>
      </c>
      <c r="O297" s="13">
        <f t="shared" si="94"/>
        <v>-11011.919841049472</v>
      </c>
      <c r="P297" s="15">
        <f t="shared" si="85"/>
        <v>-5.366655213556071E-3</v>
      </c>
      <c r="Q297" s="7">
        <f t="shared" si="95"/>
        <v>2051914.9084207176</v>
      </c>
      <c r="R297" s="7">
        <f t="shared" si="96"/>
        <v>2062926.828261767</v>
      </c>
      <c r="S297" s="13">
        <f>IF('BANCO DE DADOS'!$AD$32="Sim",R297,Q297)</f>
        <v>2062926.828261767</v>
      </c>
      <c r="T297" s="9">
        <f t="shared" si="97"/>
        <v>293</v>
      </c>
      <c r="U297" s="18">
        <f t="shared" ca="1" si="98"/>
        <v>53297</v>
      </c>
      <c r="V297" s="24"/>
      <c r="W297" s="24"/>
      <c r="X297" s="24"/>
    </row>
    <row r="298" spans="2:24" x14ac:dyDescent="0.2">
      <c r="B298" s="18">
        <f t="shared" ca="1" si="86"/>
        <v>53297</v>
      </c>
      <c r="C298" s="9">
        <f t="shared" si="99"/>
        <v>294</v>
      </c>
      <c r="D298" s="9"/>
      <c r="E298" s="13">
        <f t="shared" si="87"/>
        <v>2000</v>
      </c>
      <c r="F298" s="14">
        <f t="shared" si="88"/>
        <v>638000</v>
      </c>
      <c r="G298" s="15">
        <f t="shared" si="89"/>
        <v>0.30699457355695248</v>
      </c>
      <c r="H298" s="13">
        <f t="shared" si="90"/>
        <v>13202.082303943827</v>
      </c>
      <c r="I298" s="13">
        <f t="shared" si="91"/>
        <v>1429116.9907246605</v>
      </c>
      <c r="J298" s="15">
        <f t="shared" si="83"/>
        <v>0.69300542644304752</v>
      </c>
      <c r="K298" s="13">
        <f t="shared" si="92"/>
        <v>1440212.6296497572</v>
      </c>
      <c r="L298" s="13">
        <f t="shared" si="100"/>
        <v>123855216.94051859</v>
      </c>
      <c r="M298" s="15">
        <f t="shared" si="93"/>
        <v>0.69300542644304752</v>
      </c>
      <c r="N298" s="13">
        <f t="shared" si="84"/>
        <v>0</v>
      </c>
      <c r="O298" s="13">
        <f t="shared" si="94"/>
        <v>-11095.638925095787</v>
      </c>
      <c r="P298" s="15">
        <f t="shared" si="85"/>
        <v>-5.3676879319762309E-3</v>
      </c>
      <c r="Q298" s="7">
        <f t="shared" si="95"/>
        <v>2067116.9907246614</v>
      </c>
      <c r="R298" s="7">
        <f t="shared" si="96"/>
        <v>2078212.6296497572</v>
      </c>
      <c r="S298" s="13">
        <f>IF('BANCO DE DADOS'!$AD$32="Sim",R298,Q298)</f>
        <v>2078212.6296497572</v>
      </c>
      <c r="T298" s="9">
        <f t="shared" si="97"/>
        <v>294</v>
      </c>
      <c r="U298" s="18">
        <f t="shared" ca="1" si="98"/>
        <v>53328</v>
      </c>
      <c r="V298" s="24"/>
      <c r="W298" s="24"/>
      <c r="X298" s="24"/>
    </row>
    <row r="299" spans="2:24" x14ac:dyDescent="0.2">
      <c r="B299" s="18">
        <f t="shared" ca="1" si="86"/>
        <v>53328</v>
      </c>
      <c r="C299" s="9">
        <f t="shared" si="99"/>
        <v>295</v>
      </c>
      <c r="D299" s="9"/>
      <c r="E299" s="13">
        <f t="shared" si="87"/>
        <v>2000</v>
      </c>
      <c r="F299" s="14">
        <f t="shared" si="88"/>
        <v>640000</v>
      </c>
      <c r="G299" s="15">
        <f t="shared" si="89"/>
        <v>0.3056940123373712</v>
      </c>
      <c r="H299" s="13">
        <f t="shared" si="90"/>
        <v>13299.892959222152</v>
      </c>
      <c r="I299" s="13">
        <f t="shared" si="91"/>
        <v>1442416.8836838827</v>
      </c>
      <c r="J299" s="15">
        <f t="shared" si="83"/>
        <v>0.69430598766262874</v>
      </c>
      <c r="K299" s="13">
        <f t="shared" si="92"/>
        <v>1453596.780344133</v>
      </c>
      <c r="L299" s="13">
        <f t="shared" si="100"/>
        <v>125308813.72086272</v>
      </c>
      <c r="M299" s="15">
        <f t="shared" si="93"/>
        <v>0.69430598766262885</v>
      </c>
      <c r="N299" s="13">
        <f t="shared" si="84"/>
        <v>0</v>
      </c>
      <c r="O299" s="13">
        <f t="shared" si="94"/>
        <v>-11179.896660249447</v>
      </c>
      <c r="P299" s="15">
        <f t="shared" si="85"/>
        <v>-5.3687120709815499E-3</v>
      </c>
      <c r="Q299" s="7">
        <f t="shared" si="95"/>
        <v>2082416.8836838836</v>
      </c>
      <c r="R299" s="7">
        <f t="shared" si="96"/>
        <v>2093596.780344133</v>
      </c>
      <c r="S299" s="13">
        <f>IF('BANCO DE DADOS'!$AD$32="Sim",R299,Q299)</f>
        <v>2093596.780344133</v>
      </c>
      <c r="T299" s="9">
        <f t="shared" si="97"/>
        <v>295</v>
      </c>
      <c r="U299" s="18">
        <f t="shared" ca="1" si="98"/>
        <v>53359</v>
      </c>
      <c r="V299" s="24"/>
      <c r="W299" s="24"/>
      <c r="X299" s="24"/>
    </row>
    <row r="300" spans="2:24" x14ac:dyDescent="0.2">
      <c r="B300" s="18">
        <f t="shared" ca="1" si="86"/>
        <v>53359</v>
      </c>
      <c r="C300" s="9">
        <f t="shared" si="99"/>
        <v>296</v>
      </c>
      <c r="D300" s="9"/>
      <c r="E300" s="13">
        <f t="shared" si="87"/>
        <v>2000</v>
      </c>
      <c r="F300" s="14">
        <f t="shared" si="88"/>
        <v>642000</v>
      </c>
      <c r="G300" s="15">
        <f t="shared" si="89"/>
        <v>0.30439813873532073</v>
      </c>
      <c r="H300" s="13">
        <f t="shared" si="90"/>
        <v>13398.332931201618</v>
      </c>
      <c r="I300" s="13">
        <f t="shared" si="91"/>
        <v>1455815.2166150843</v>
      </c>
      <c r="J300" s="15">
        <f t="shared" si="83"/>
        <v>0.69560186126467927</v>
      </c>
      <c r="K300" s="13">
        <f t="shared" si="92"/>
        <v>1467079.9131272933</v>
      </c>
      <c r="L300" s="13">
        <f t="shared" si="100"/>
        <v>126775893.63399</v>
      </c>
      <c r="M300" s="15">
        <f t="shared" si="93"/>
        <v>0.69560186126467927</v>
      </c>
      <c r="N300" s="13">
        <f t="shared" si="84"/>
        <v>0</v>
      </c>
      <c r="O300" s="13">
        <f t="shared" si="94"/>
        <v>-11264.69651220832</v>
      </c>
      <c r="P300" s="15">
        <f t="shared" si="85"/>
        <v>-5.3697277162401327E-3</v>
      </c>
      <c r="Q300" s="7">
        <f t="shared" si="95"/>
        <v>2097815.216615085</v>
      </c>
      <c r="R300" s="7">
        <f t="shared" si="96"/>
        <v>2109079.9131272933</v>
      </c>
      <c r="S300" s="13">
        <f>IF('BANCO DE DADOS'!$AD$32="Sim",R300,Q300)</f>
        <v>2109079.9131272933</v>
      </c>
      <c r="T300" s="9">
        <f t="shared" si="97"/>
        <v>296</v>
      </c>
      <c r="U300" s="18">
        <f t="shared" ca="1" si="98"/>
        <v>53387</v>
      </c>
      <c r="V300" s="24"/>
      <c r="W300" s="24"/>
      <c r="X300" s="24"/>
    </row>
    <row r="301" spans="2:24" x14ac:dyDescent="0.2">
      <c r="B301" s="18">
        <f t="shared" ca="1" si="86"/>
        <v>53387</v>
      </c>
      <c r="C301" s="9">
        <f t="shared" si="99"/>
        <v>297</v>
      </c>
      <c r="D301" s="9"/>
      <c r="E301" s="13">
        <f t="shared" si="87"/>
        <v>2000</v>
      </c>
      <c r="F301" s="14">
        <f t="shared" si="88"/>
        <v>644000</v>
      </c>
      <c r="G301" s="15">
        <f t="shared" si="89"/>
        <v>0.30310694052910442</v>
      </c>
      <c r="H301" s="13">
        <f t="shared" si="90"/>
        <v>13497.406268924826</v>
      </c>
      <c r="I301" s="13">
        <f t="shared" si="91"/>
        <v>1469312.6228840093</v>
      </c>
      <c r="J301" s="15">
        <f t="shared" si="83"/>
        <v>0.69689305947089553</v>
      </c>
      <c r="K301" s="13">
        <f t="shared" si="92"/>
        <v>1480662.6648529777</v>
      </c>
      <c r="L301" s="13">
        <f t="shared" si="100"/>
        <v>128256556.29884298</v>
      </c>
      <c r="M301" s="15">
        <f t="shared" si="93"/>
        <v>0.69689305947089564</v>
      </c>
      <c r="N301" s="13">
        <f t="shared" si="84"/>
        <v>0</v>
      </c>
      <c r="O301" s="13">
        <f t="shared" si="94"/>
        <v>-11350.041968967766</v>
      </c>
      <c r="P301" s="15">
        <f t="shared" si="85"/>
        <v>-5.3707349523510212E-3</v>
      </c>
      <c r="Q301" s="7">
        <f t="shared" si="95"/>
        <v>2113312.62288401</v>
      </c>
      <c r="R301" s="7">
        <f t="shared" si="96"/>
        <v>2124662.6648529777</v>
      </c>
      <c r="S301" s="13">
        <f>IF('BANCO DE DADOS'!$AD$32="Sim",R301,Q301)</f>
        <v>2124662.6648529777</v>
      </c>
      <c r="T301" s="9">
        <f t="shared" si="97"/>
        <v>297</v>
      </c>
      <c r="U301" s="18">
        <f t="shared" ca="1" si="98"/>
        <v>53418</v>
      </c>
      <c r="V301" s="24"/>
      <c r="W301" s="24"/>
      <c r="X301" s="24"/>
    </row>
    <row r="302" spans="2:24" x14ac:dyDescent="0.2">
      <c r="B302" s="18">
        <f t="shared" ca="1" si="86"/>
        <v>53418</v>
      </c>
      <c r="C302" s="9">
        <f t="shared" si="99"/>
        <v>298</v>
      </c>
      <c r="D302" s="9"/>
      <c r="E302" s="13">
        <f t="shared" si="87"/>
        <v>2000</v>
      </c>
      <c r="F302" s="14">
        <f t="shared" si="88"/>
        <v>646000</v>
      </c>
      <c r="G302" s="15">
        <f t="shared" si="89"/>
        <v>0.30182040550790051</v>
      </c>
      <c r="H302" s="13">
        <f t="shared" si="90"/>
        <v>13597.117047486045</v>
      </c>
      <c r="I302" s="13">
        <f t="shared" si="91"/>
        <v>1482909.7399314954</v>
      </c>
      <c r="J302" s="15">
        <f t="shared" si="83"/>
        <v>0.69817959449209943</v>
      </c>
      <c r="K302" s="13">
        <f t="shared" si="92"/>
        <v>1494345.6764724618</v>
      </c>
      <c r="L302" s="13">
        <f t="shared" si="100"/>
        <v>129750901.97531544</v>
      </c>
      <c r="M302" s="15">
        <f t="shared" si="93"/>
        <v>0.69817959449209954</v>
      </c>
      <c r="N302" s="13">
        <f t="shared" si="84"/>
        <v>0</v>
      </c>
      <c r="O302" s="13">
        <f t="shared" si="94"/>
        <v>-11435.936540965922</v>
      </c>
      <c r="P302" s="15">
        <f t="shared" si="85"/>
        <v>-5.3717338628616112E-3</v>
      </c>
      <c r="Q302" s="7">
        <f t="shared" si="95"/>
        <v>2128909.7399314959</v>
      </c>
      <c r="R302" s="7">
        <f t="shared" si="96"/>
        <v>2140345.6764724618</v>
      </c>
      <c r="S302" s="13">
        <f>IF('BANCO DE DADOS'!$AD$32="Sim",R302,Q302)</f>
        <v>2140345.6764724618</v>
      </c>
      <c r="T302" s="9">
        <f t="shared" si="97"/>
        <v>298</v>
      </c>
      <c r="U302" s="18">
        <f t="shared" ca="1" si="98"/>
        <v>53448</v>
      </c>
      <c r="V302" s="24"/>
      <c r="W302" s="24"/>
      <c r="X302" s="24"/>
    </row>
    <row r="303" spans="2:24" x14ac:dyDescent="0.2">
      <c r="B303" s="18">
        <f t="shared" ca="1" si="86"/>
        <v>53448</v>
      </c>
      <c r="C303" s="9">
        <f t="shared" si="99"/>
        <v>299</v>
      </c>
      <c r="D303" s="9"/>
      <c r="E303" s="13">
        <f t="shared" si="87"/>
        <v>2000</v>
      </c>
      <c r="F303" s="14">
        <f t="shared" si="88"/>
        <v>648000</v>
      </c>
      <c r="G303" s="15">
        <f t="shared" si="89"/>
        <v>0.30053852147174287</v>
      </c>
      <c r="H303" s="13">
        <f t="shared" si="90"/>
        <v>13697.469368198816</v>
      </c>
      <c r="I303" s="13">
        <f t="shared" si="91"/>
        <v>1496607.2092996943</v>
      </c>
      <c r="J303" s="15">
        <f t="shared" si="83"/>
        <v>0.69946147852825713</v>
      </c>
      <c r="K303" s="13">
        <f t="shared" si="92"/>
        <v>1508129.5930609214</v>
      </c>
      <c r="L303" s="13">
        <f t="shared" si="100"/>
        <v>131259031.56837636</v>
      </c>
      <c r="M303" s="15">
        <f t="shared" si="93"/>
        <v>0.69946147852825713</v>
      </c>
      <c r="N303" s="13">
        <f t="shared" si="84"/>
        <v>0</v>
      </c>
      <c r="O303" s="13">
        <f t="shared" si="94"/>
        <v>-11522.383761226665</v>
      </c>
      <c r="P303" s="15">
        <f t="shared" si="85"/>
        <v>-5.372724530283199E-3</v>
      </c>
      <c r="Q303" s="7">
        <f t="shared" si="95"/>
        <v>2144607.2092996947</v>
      </c>
      <c r="R303" s="7">
        <f t="shared" si="96"/>
        <v>2156129.5930609214</v>
      </c>
      <c r="S303" s="13">
        <f>IF('BANCO DE DADOS'!$AD$32="Sim",R303,Q303)</f>
        <v>2156129.5930609214</v>
      </c>
      <c r="T303" s="9">
        <f t="shared" si="97"/>
        <v>299</v>
      </c>
      <c r="U303" s="18">
        <f t="shared" ca="1" si="98"/>
        <v>53479</v>
      </c>
      <c r="V303" s="24"/>
      <c r="W303" s="24"/>
      <c r="X303" s="24"/>
    </row>
    <row r="304" spans="2:24" x14ac:dyDescent="0.2">
      <c r="B304" s="18">
        <f t="shared" ca="1" si="86"/>
        <v>53479</v>
      </c>
      <c r="C304" s="9">
        <f t="shared" si="99"/>
        <v>300</v>
      </c>
      <c r="D304" s="9">
        <v>25</v>
      </c>
      <c r="E304" s="13">
        <f t="shared" si="87"/>
        <v>2000</v>
      </c>
      <c r="F304" s="14">
        <f t="shared" si="88"/>
        <v>650000</v>
      </c>
      <c r="G304" s="15">
        <f t="shared" si="89"/>
        <v>0.29926127623150561</v>
      </c>
      <c r="H304" s="13">
        <f t="shared" si="90"/>
        <v>13798.467358764665</v>
      </c>
      <c r="I304" s="13">
        <f t="shared" si="91"/>
        <v>1510405.676658459</v>
      </c>
      <c r="J304" s="15">
        <f t="shared" si="83"/>
        <v>0.70073872376849433</v>
      </c>
      <c r="K304" s="13">
        <f t="shared" si="92"/>
        <v>1522015.0638439646</v>
      </c>
      <c r="L304" s="13">
        <f t="shared" si="100"/>
        <v>132781046.63222033</v>
      </c>
      <c r="M304" s="15">
        <f t="shared" si="93"/>
        <v>0.70073872376849433</v>
      </c>
      <c r="N304" s="13">
        <f t="shared" si="84"/>
        <v>0</v>
      </c>
      <c r="O304" s="13">
        <f t="shared" si="94"/>
        <v>-11609.387185505126</v>
      </c>
      <c r="P304" s="15">
        <f t="shared" si="85"/>
        <v>-5.3737070361070264E-3</v>
      </c>
      <c r="Q304" s="7">
        <f t="shared" si="95"/>
        <v>2160405.6766584595</v>
      </c>
      <c r="R304" s="7">
        <f t="shared" si="96"/>
        <v>2172015.0638439646</v>
      </c>
      <c r="S304" s="13">
        <f>IF('BANCO DE DADOS'!$AD$32="Sim",R304,Q304)</f>
        <v>2172015.0638439646</v>
      </c>
      <c r="T304" s="9">
        <f t="shared" si="97"/>
        <v>300</v>
      </c>
      <c r="U304" s="18">
        <f t="shared" ca="1" si="98"/>
        <v>53509</v>
      </c>
      <c r="V304" s="24"/>
      <c r="W304" s="24"/>
      <c r="X304" s="24"/>
    </row>
    <row r="305" spans="2:24" x14ac:dyDescent="0.2">
      <c r="B305" s="18">
        <f t="shared" ca="1" si="86"/>
        <v>53509</v>
      </c>
      <c r="C305" s="9">
        <f t="shared" si="99"/>
        <v>301</v>
      </c>
      <c r="D305" s="9"/>
      <c r="E305" s="13">
        <f t="shared" si="87"/>
        <v>2000</v>
      </c>
      <c r="F305" s="14">
        <f t="shared" si="88"/>
        <v>652000</v>
      </c>
      <c r="G305" s="15">
        <f t="shared" si="89"/>
        <v>0.29798865760888976</v>
      </c>
      <c r="H305" s="13">
        <f t="shared" si="90"/>
        <v>13900.115173442864</v>
      </c>
      <c r="I305" s="13">
        <f t="shared" si="91"/>
        <v>1524305.7918319018</v>
      </c>
      <c r="J305" s="15">
        <f t="shared" si="83"/>
        <v>0.70201134239111029</v>
      </c>
      <c r="K305" s="13">
        <f t="shared" si="92"/>
        <v>1536002.7422243375</v>
      </c>
      <c r="L305" s="13">
        <f t="shared" si="100"/>
        <v>134317049.37444466</v>
      </c>
      <c r="M305" s="15">
        <f t="shared" si="93"/>
        <v>0.70201134239111029</v>
      </c>
      <c r="N305" s="13">
        <f t="shared" si="84"/>
        <v>0</v>
      </c>
      <c r="O305" s="13">
        <f t="shared" si="94"/>
        <v>-11696.950392435305</v>
      </c>
      <c r="P305" s="15">
        <f t="shared" si="85"/>
        <v>-5.3746814608205467E-3</v>
      </c>
      <c r="Q305" s="7">
        <f t="shared" si="95"/>
        <v>2176305.7918319022</v>
      </c>
      <c r="R305" s="7">
        <f t="shared" si="96"/>
        <v>2188002.7422243375</v>
      </c>
      <c r="S305" s="13">
        <f>IF('BANCO DE DADOS'!$AD$32="Sim",R305,Q305)</f>
        <v>2188002.7422243375</v>
      </c>
      <c r="T305" s="9">
        <f t="shared" si="97"/>
        <v>301</v>
      </c>
      <c r="U305" s="18">
        <f t="shared" ca="1" si="98"/>
        <v>53540</v>
      </c>
      <c r="V305" s="24"/>
      <c r="W305" s="24"/>
      <c r="X305" s="24"/>
    </row>
    <row r="306" spans="2:24" x14ac:dyDescent="0.2">
      <c r="B306" s="18">
        <f t="shared" ca="1" si="86"/>
        <v>53540</v>
      </c>
      <c r="C306" s="9">
        <f t="shared" si="99"/>
        <v>302</v>
      </c>
      <c r="D306" s="9"/>
      <c r="E306" s="13">
        <f t="shared" si="87"/>
        <v>2000</v>
      </c>
      <c r="F306" s="14">
        <f t="shared" si="88"/>
        <v>654000</v>
      </c>
      <c r="G306" s="15">
        <f t="shared" si="89"/>
        <v>0.29672065343641418</v>
      </c>
      <c r="H306" s="13">
        <f t="shared" si="90"/>
        <v>14002.416993221317</v>
      </c>
      <c r="I306" s="13">
        <f t="shared" si="91"/>
        <v>1538308.208825123</v>
      </c>
      <c r="J306" s="15">
        <f t="shared" si="83"/>
        <v>0.70327934656358582</v>
      </c>
      <c r="K306" s="13">
        <f t="shared" si="92"/>
        <v>1550093.2858087989</v>
      </c>
      <c r="L306" s="13">
        <f t="shared" si="100"/>
        <v>135867142.66025347</v>
      </c>
      <c r="M306" s="15">
        <f t="shared" si="93"/>
        <v>0.70327934656358582</v>
      </c>
      <c r="N306" s="13">
        <f t="shared" si="84"/>
        <v>0</v>
      </c>
      <c r="O306" s="13">
        <f t="shared" si="94"/>
        <v>-11785.076983675361</v>
      </c>
      <c r="P306" s="15">
        <f t="shared" si="85"/>
        <v>-5.3756478839218887E-3</v>
      </c>
      <c r="Q306" s="7">
        <f t="shared" si="95"/>
        <v>2192308.2088251235</v>
      </c>
      <c r="R306" s="7">
        <f t="shared" si="96"/>
        <v>2204093.2858087989</v>
      </c>
      <c r="S306" s="13">
        <f>IF('BANCO DE DADOS'!$AD$32="Sim",R306,Q306)</f>
        <v>2204093.2858087989</v>
      </c>
      <c r="T306" s="9">
        <f t="shared" si="97"/>
        <v>302</v>
      </c>
      <c r="U306" s="18">
        <f t="shared" ca="1" si="98"/>
        <v>53571</v>
      </c>
      <c r="V306" s="24"/>
      <c r="W306" s="24"/>
      <c r="X306" s="24"/>
    </row>
    <row r="307" spans="2:24" x14ac:dyDescent="0.2">
      <c r="B307" s="18">
        <f t="shared" ca="1" si="86"/>
        <v>53571</v>
      </c>
      <c r="C307" s="9">
        <f t="shared" si="99"/>
        <v>303</v>
      </c>
      <c r="D307" s="9"/>
      <c r="E307" s="13">
        <f t="shared" si="87"/>
        <v>2000</v>
      </c>
      <c r="F307" s="14">
        <f t="shared" si="88"/>
        <v>656000</v>
      </c>
      <c r="G307" s="15">
        <f t="shared" si="89"/>
        <v>0.29545725155740882</v>
      </c>
      <c r="H307" s="13">
        <f t="shared" si="90"/>
        <v>14105.377025988533</v>
      </c>
      <c r="I307" s="13">
        <f t="shared" si="91"/>
        <v>1552413.5858511114</v>
      </c>
      <c r="J307" s="15">
        <f t="shared" si="83"/>
        <v>0.70454274844259124</v>
      </c>
      <c r="K307" s="13">
        <f t="shared" si="92"/>
        <v>1564287.356435169</v>
      </c>
      <c r="L307" s="13">
        <f t="shared" si="100"/>
        <v>137431430.01668864</v>
      </c>
      <c r="M307" s="15">
        <f t="shared" si="93"/>
        <v>0.70454274844259113</v>
      </c>
      <c r="N307" s="13">
        <f t="shared" si="84"/>
        <v>0</v>
      </c>
      <c r="O307" s="13">
        <f t="shared" si="94"/>
        <v>-11873.770584057085</v>
      </c>
      <c r="P307" s="15">
        <f t="shared" si="85"/>
        <v>-5.3766063839355491E-3</v>
      </c>
      <c r="Q307" s="7">
        <f t="shared" si="95"/>
        <v>2208413.5858511119</v>
      </c>
      <c r="R307" s="7">
        <f t="shared" si="96"/>
        <v>2220287.356435169</v>
      </c>
      <c r="S307" s="13">
        <f>IF('BANCO DE DADOS'!$AD$32="Sim",R307,Q307)</f>
        <v>2220287.356435169</v>
      </c>
      <c r="T307" s="9">
        <f t="shared" si="97"/>
        <v>303</v>
      </c>
      <c r="U307" s="18">
        <f t="shared" ca="1" si="98"/>
        <v>53601</v>
      </c>
      <c r="V307" s="24"/>
      <c r="W307" s="24"/>
      <c r="X307" s="24"/>
    </row>
    <row r="308" spans="2:24" x14ac:dyDescent="0.2">
      <c r="B308" s="18">
        <f t="shared" ca="1" si="86"/>
        <v>53601</v>
      </c>
      <c r="C308" s="9">
        <f t="shared" si="99"/>
        <v>304</v>
      </c>
      <c r="D308" s="9"/>
      <c r="E308" s="13">
        <f t="shared" si="87"/>
        <v>2000</v>
      </c>
      <c r="F308" s="14">
        <f t="shared" si="88"/>
        <v>658000</v>
      </c>
      <c r="G308" s="15">
        <f t="shared" si="89"/>
        <v>0.29419843982601118</v>
      </c>
      <c r="H308" s="13">
        <f t="shared" si="90"/>
        <v>14208.999506706699</v>
      </c>
      <c r="I308" s="13">
        <f t="shared" si="91"/>
        <v>1566622.5853578181</v>
      </c>
      <c r="J308" s="15">
        <f t="shared" si="83"/>
        <v>0.70580156017398887</v>
      </c>
      <c r="K308" s="13">
        <f t="shared" si="92"/>
        <v>1578585.6201995527</v>
      </c>
      <c r="L308" s="13">
        <f t="shared" si="100"/>
        <v>139010015.63688821</v>
      </c>
      <c r="M308" s="15">
        <f t="shared" si="93"/>
        <v>0.70580156017398887</v>
      </c>
      <c r="N308" s="13">
        <f t="shared" si="84"/>
        <v>0</v>
      </c>
      <c r="O308" s="13">
        <f t="shared" si="94"/>
        <v>-11963.034841733985</v>
      </c>
      <c r="P308" s="15">
        <f t="shared" si="85"/>
        <v>-5.37755703842672E-3</v>
      </c>
      <c r="Q308" s="7">
        <f t="shared" si="95"/>
        <v>2224622.5853578188</v>
      </c>
      <c r="R308" s="7">
        <f t="shared" si="96"/>
        <v>2236585.6201995527</v>
      </c>
      <c r="S308" s="13">
        <f>IF('BANCO DE DADOS'!$AD$32="Sim",R308,Q308)</f>
        <v>2236585.6201995527</v>
      </c>
      <c r="T308" s="9">
        <f t="shared" si="97"/>
        <v>304</v>
      </c>
      <c r="U308" s="18">
        <f t="shared" ca="1" si="98"/>
        <v>53632</v>
      </c>
      <c r="V308" s="24"/>
      <c r="W308" s="24"/>
      <c r="X308" s="24"/>
    </row>
    <row r="309" spans="2:24" x14ac:dyDescent="0.2">
      <c r="B309" s="18">
        <f t="shared" ca="1" si="86"/>
        <v>53632</v>
      </c>
      <c r="C309" s="9">
        <f t="shared" si="99"/>
        <v>305</v>
      </c>
      <c r="D309" s="9"/>
      <c r="E309" s="13">
        <f t="shared" si="87"/>
        <v>2000</v>
      </c>
      <c r="F309" s="14">
        <f t="shared" si="88"/>
        <v>660000</v>
      </c>
      <c r="G309" s="15">
        <f t="shared" si="89"/>
        <v>0.29294420610716526</v>
      </c>
      <c r="H309" s="13">
        <f t="shared" si="90"/>
        <v>14313.288697585882</v>
      </c>
      <c r="I309" s="13">
        <f t="shared" si="91"/>
        <v>1580935.874055404</v>
      </c>
      <c r="J309" s="15">
        <f t="shared" si="83"/>
        <v>0.70705579389283479</v>
      </c>
      <c r="K309" s="13">
        <f t="shared" si="92"/>
        <v>1592988.7474837373</v>
      </c>
      <c r="L309" s="13">
        <f t="shared" si="100"/>
        <v>140603004.38437194</v>
      </c>
      <c r="M309" s="15">
        <f t="shared" si="93"/>
        <v>0.70705579389283479</v>
      </c>
      <c r="N309" s="13">
        <f t="shared" si="84"/>
        <v>0</v>
      </c>
      <c r="O309" s="13">
        <f t="shared" si="94"/>
        <v>-12052.873428332619</v>
      </c>
      <c r="P309" s="15">
        <f t="shared" si="85"/>
        <v>-5.3784999240164E-3</v>
      </c>
      <c r="Q309" s="7">
        <f t="shared" si="95"/>
        <v>2240935.8740554047</v>
      </c>
      <c r="R309" s="7">
        <f t="shared" si="96"/>
        <v>2252988.7474837373</v>
      </c>
      <c r="S309" s="13">
        <f>IF('BANCO DE DADOS'!$AD$32="Sim",R309,Q309)</f>
        <v>2252988.7474837373</v>
      </c>
      <c r="T309" s="9">
        <f t="shared" si="97"/>
        <v>305</v>
      </c>
      <c r="U309" s="18">
        <f t="shared" ca="1" si="98"/>
        <v>53662</v>
      </c>
      <c r="V309" s="24"/>
      <c r="W309" s="24"/>
      <c r="X309" s="24"/>
    </row>
    <row r="310" spans="2:24" x14ac:dyDescent="0.2">
      <c r="B310" s="18">
        <f t="shared" ca="1" si="86"/>
        <v>53662</v>
      </c>
      <c r="C310" s="9">
        <f t="shared" si="99"/>
        <v>306</v>
      </c>
      <c r="D310" s="9"/>
      <c r="E310" s="13">
        <f t="shared" si="87"/>
        <v>2000</v>
      </c>
      <c r="F310" s="14">
        <f t="shared" si="88"/>
        <v>662000</v>
      </c>
      <c r="G310" s="15">
        <f t="shared" si="89"/>
        <v>0.29169453827662367</v>
      </c>
      <c r="H310" s="13">
        <f t="shared" si="90"/>
        <v>14418.248888259328</v>
      </c>
      <c r="I310" s="13">
        <f t="shared" si="91"/>
        <v>1595354.1229436633</v>
      </c>
      <c r="J310" s="15">
        <f t="shared" si="83"/>
        <v>0.70830546172337638</v>
      </c>
      <c r="K310" s="13">
        <f t="shared" si="92"/>
        <v>1607497.4129827665</v>
      </c>
      <c r="L310" s="13">
        <f t="shared" si="100"/>
        <v>142210501.7973547</v>
      </c>
      <c r="M310" s="15">
        <f t="shared" si="93"/>
        <v>0.70830546172337627</v>
      </c>
      <c r="N310" s="13">
        <f t="shared" si="84"/>
        <v>0</v>
      </c>
      <c r="O310" s="13">
        <f t="shared" si="94"/>
        <v>-12143.290039102547</v>
      </c>
      <c r="P310" s="15">
        <f t="shared" si="85"/>
        <v>-5.3794351163951619E-3</v>
      </c>
      <c r="Q310" s="7">
        <f t="shared" si="95"/>
        <v>2257354.122943664</v>
      </c>
      <c r="R310" s="7">
        <f t="shared" si="96"/>
        <v>2269497.4129827665</v>
      </c>
      <c r="S310" s="13">
        <f>IF('BANCO DE DADOS'!$AD$32="Sim",R310,Q310)</f>
        <v>2269497.4129827665</v>
      </c>
      <c r="T310" s="9">
        <f t="shared" si="97"/>
        <v>306</v>
      </c>
      <c r="U310" s="18">
        <f t="shared" ca="1" si="98"/>
        <v>53693</v>
      </c>
      <c r="V310" s="24"/>
      <c r="W310" s="24"/>
      <c r="X310" s="24"/>
    </row>
    <row r="311" spans="2:24" x14ac:dyDescent="0.2">
      <c r="B311" s="18">
        <f t="shared" ca="1" si="86"/>
        <v>53693</v>
      </c>
      <c r="C311" s="9">
        <f t="shared" si="99"/>
        <v>307</v>
      </c>
      <c r="D311" s="9"/>
      <c r="E311" s="13">
        <f t="shared" si="87"/>
        <v>2000</v>
      </c>
      <c r="F311" s="14">
        <f t="shared" si="88"/>
        <v>664000</v>
      </c>
      <c r="G311" s="15">
        <f t="shared" si="89"/>
        <v>0.29044942422095232</v>
      </c>
      <c r="H311" s="13">
        <f t="shared" si="90"/>
        <v>14523.88439595992</v>
      </c>
      <c r="I311" s="13">
        <f t="shared" si="91"/>
        <v>1609878.0073396233</v>
      </c>
      <c r="J311" s="15">
        <f t="shared" si="83"/>
        <v>0.70955057577904768</v>
      </c>
      <c r="K311" s="13">
        <f t="shared" si="92"/>
        <v>1622112.2957326923</v>
      </c>
      <c r="L311" s="13">
        <f t="shared" si="100"/>
        <v>143832614.0930874</v>
      </c>
      <c r="M311" s="15">
        <f t="shared" si="93"/>
        <v>0.70955057577904768</v>
      </c>
      <c r="N311" s="13">
        <f t="shared" si="84"/>
        <v>0</v>
      </c>
      <c r="O311" s="13">
        <f t="shared" si="94"/>
        <v>-12234.288393068593</v>
      </c>
      <c r="P311" s="15">
        <f t="shared" si="85"/>
        <v>-5.3803626903372809E-3</v>
      </c>
      <c r="Q311" s="7">
        <f t="shared" si="95"/>
        <v>2273878.0073396238</v>
      </c>
      <c r="R311" s="7">
        <f t="shared" si="96"/>
        <v>2286112.2957326923</v>
      </c>
      <c r="S311" s="13">
        <f>IF('BANCO DE DADOS'!$AD$32="Sim",R311,Q311)</f>
        <v>2286112.2957326923</v>
      </c>
      <c r="T311" s="9">
        <f t="shared" si="97"/>
        <v>307</v>
      </c>
      <c r="U311" s="18">
        <f t="shared" ca="1" si="98"/>
        <v>53724</v>
      </c>
      <c r="V311" s="24"/>
      <c r="W311" s="24"/>
      <c r="X311" s="24"/>
    </row>
    <row r="312" spans="2:24" x14ac:dyDescent="0.2">
      <c r="B312" s="18">
        <f t="shared" ca="1" si="86"/>
        <v>53724</v>
      </c>
      <c r="C312" s="9">
        <f t="shared" si="99"/>
        <v>308</v>
      </c>
      <c r="D312" s="9"/>
      <c r="E312" s="13">
        <f t="shared" si="87"/>
        <v>2000</v>
      </c>
      <c r="F312" s="14">
        <f t="shared" si="88"/>
        <v>666000</v>
      </c>
      <c r="G312" s="15">
        <f t="shared" si="89"/>
        <v>0.28920885183753742</v>
      </c>
      <c r="H312" s="13">
        <f t="shared" si="90"/>
        <v>14630.19956569774</v>
      </c>
      <c r="I312" s="13">
        <f t="shared" si="91"/>
        <v>1624508.206905321</v>
      </c>
      <c r="J312" s="15">
        <f t="shared" si="83"/>
        <v>0.71079114816246258</v>
      </c>
      <c r="K312" s="13">
        <f t="shared" si="92"/>
        <v>1636834.0791385057</v>
      </c>
      <c r="L312" s="13">
        <f t="shared" si="100"/>
        <v>145469448.17222592</v>
      </c>
      <c r="M312" s="15">
        <f t="shared" si="93"/>
        <v>0.71079114816246258</v>
      </c>
      <c r="N312" s="13">
        <f t="shared" si="84"/>
        <v>0</v>
      </c>
      <c r="O312" s="13">
        <f t="shared" si="94"/>
        <v>-12325.872233184054</v>
      </c>
      <c r="P312" s="15">
        <f t="shared" si="85"/>
        <v>-5.3812827197145885E-3</v>
      </c>
      <c r="Q312" s="7">
        <f t="shared" si="95"/>
        <v>2290508.2069053217</v>
      </c>
      <c r="R312" s="7">
        <f t="shared" si="96"/>
        <v>2302834.0791385057</v>
      </c>
      <c r="S312" s="13">
        <f>IF('BANCO DE DADOS'!$AD$32="Sim",R312,Q312)</f>
        <v>2302834.0791385057</v>
      </c>
      <c r="T312" s="9">
        <f t="shared" si="97"/>
        <v>308</v>
      </c>
      <c r="U312" s="18">
        <f t="shared" ca="1" si="98"/>
        <v>53752</v>
      </c>
      <c r="V312" s="24"/>
      <c r="W312" s="24"/>
      <c r="X312" s="24"/>
    </row>
    <row r="313" spans="2:24" x14ac:dyDescent="0.2">
      <c r="B313" s="18">
        <f t="shared" ca="1" si="86"/>
        <v>53752</v>
      </c>
      <c r="C313" s="9">
        <f t="shared" si="99"/>
        <v>309</v>
      </c>
      <c r="D313" s="9"/>
      <c r="E313" s="13">
        <f t="shared" si="87"/>
        <v>2000</v>
      </c>
      <c r="F313" s="14">
        <f t="shared" si="88"/>
        <v>668000</v>
      </c>
      <c r="G313" s="15">
        <f t="shared" si="89"/>
        <v>0.28797280903459538</v>
      </c>
      <c r="H313" s="13">
        <f t="shared" si="90"/>
        <v>14737.198770438807</v>
      </c>
      <c r="I313" s="13">
        <f t="shared" si="91"/>
        <v>1639245.4056757598</v>
      </c>
      <c r="J313" s="15">
        <f t="shared" si="83"/>
        <v>0.71202719096540457</v>
      </c>
      <c r="K313" s="13">
        <f t="shared" si="92"/>
        <v>1651663.4510022448</v>
      </c>
      <c r="L313" s="13">
        <f t="shared" si="100"/>
        <v>147121111.62322816</v>
      </c>
      <c r="M313" s="15">
        <f t="shared" si="93"/>
        <v>0.71202719096540457</v>
      </c>
      <c r="N313" s="13">
        <f t="shared" si="84"/>
        <v>0</v>
      </c>
      <c r="O313" s="13">
        <f t="shared" si="94"/>
        <v>-12418.045326484367</v>
      </c>
      <c r="P313" s="15">
        <f t="shared" si="85"/>
        <v>-5.382195277509846E-3</v>
      </c>
      <c r="Q313" s="7">
        <f t="shared" si="95"/>
        <v>2307245.4056757605</v>
      </c>
      <c r="R313" s="7">
        <f t="shared" si="96"/>
        <v>2319663.4510022448</v>
      </c>
      <c r="S313" s="13">
        <f>IF('BANCO DE DADOS'!$AD$32="Sim",R313,Q313)</f>
        <v>2319663.4510022448</v>
      </c>
      <c r="T313" s="9">
        <f t="shared" si="97"/>
        <v>309</v>
      </c>
      <c r="U313" s="18">
        <f t="shared" ca="1" si="98"/>
        <v>53783</v>
      </c>
      <c r="V313" s="24"/>
      <c r="W313" s="24"/>
      <c r="X313" s="24"/>
    </row>
    <row r="314" spans="2:24" x14ac:dyDescent="0.2">
      <c r="B314" s="18">
        <f t="shared" ca="1" si="86"/>
        <v>53783</v>
      </c>
      <c r="C314" s="9">
        <f t="shared" si="99"/>
        <v>310</v>
      </c>
      <c r="D314" s="9"/>
      <c r="E314" s="13">
        <f t="shared" si="87"/>
        <v>2000</v>
      </c>
      <c r="F314" s="14">
        <f t="shared" si="88"/>
        <v>670000</v>
      </c>
      <c r="G314" s="15">
        <f t="shared" si="89"/>
        <v>0.28674128373118513</v>
      </c>
      <c r="H314" s="13">
        <f t="shared" si="90"/>
        <v>14844.886411284922</v>
      </c>
      <c r="I314" s="13">
        <f t="shared" si="91"/>
        <v>1654090.2920870448</v>
      </c>
      <c r="J314" s="15">
        <f t="shared" si="83"/>
        <v>0.71325871626881487</v>
      </c>
      <c r="K314" s="13">
        <f t="shared" si="92"/>
        <v>1666601.1035512877</v>
      </c>
      <c r="L314" s="13">
        <f t="shared" si="100"/>
        <v>148787712.72677946</v>
      </c>
      <c r="M314" s="15">
        <f t="shared" si="93"/>
        <v>0.71325871626881487</v>
      </c>
      <c r="N314" s="13">
        <f t="shared" si="84"/>
        <v>0</v>
      </c>
      <c r="O314" s="13">
        <f t="shared" si="94"/>
        <v>-12510.811464242171</v>
      </c>
      <c r="P314" s="15">
        <f t="shared" si="85"/>
        <v>-5.3831004358300535E-3</v>
      </c>
      <c r="Q314" s="7">
        <f t="shared" si="95"/>
        <v>2324090.2920870455</v>
      </c>
      <c r="R314" s="7">
        <f t="shared" si="96"/>
        <v>2336601.1035512877</v>
      </c>
      <c r="S314" s="13">
        <f>IF('BANCO DE DADOS'!$AD$32="Sim",R314,Q314)</f>
        <v>2336601.1035512877</v>
      </c>
      <c r="T314" s="9">
        <f t="shared" si="97"/>
        <v>310</v>
      </c>
      <c r="U314" s="18">
        <f t="shared" ca="1" si="98"/>
        <v>53813</v>
      </c>
      <c r="V314" s="24"/>
      <c r="W314" s="24"/>
      <c r="X314" s="24"/>
    </row>
    <row r="315" spans="2:24" x14ac:dyDescent="0.2">
      <c r="B315" s="18">
        <f t="shared" ca="1" si="86"/>
        <v>53813</v>
      </c>
      <c r="C315" s="9">
        <f t="shared" si="99"/>
        <v>311</v>
      </c>
      <c r="D315" s="9"/>
      <c r="E315" s="13">
        <f t="shared" si="87"/>
        <v>2000</v>
      </c>
      <c r="F315" s="14">
        <f t="shared" si="88"/>
        <v>672000</v>
      </c>
      <c r="G315" s="15">
        <f t="shared" si="89"/>
        <v>0.28551426385722228</v>
      </c>
      <c r="H315" s="13">
        <f t="shared" si="90"/>
        <v>14953.266917654717</v>
      </c>
      <c r="I315" s="13">
        <f t="shared" si="91"/>
        <v>1669043.5590046996</v>
      </c>
      <c r="J315" s="15">
        <f t="shared" si="83"/>
        <v>0.71448573614277766</v>
      </c>
      <c r="K315" s="13">
        <f t="shared" si="92"/>
        <v>1681647.7334668241</v>
      </c>
      <c r="L315" s="13">
        <f t="shared" si="100"/>
        <v>150469360.46024629</v>
      </c>
      <c r="M315" s="15">
        <f t="shared" si="93"/>
        <v>0.71448573614277766</v>
      </c>
      <c r="N315" s="13">
        <f t="shared" si="84"/>
        <v>0</v>
      </c>
      <c r="O315" s="13">
        <f t="shared" si="94"/>
        <v>-12604.174462123774</v>
      </c>
      <c r="P315" s="15">
        <f t="shared" si="85"/>
        <v>-5.3839982659196935E-3</v>
      </c>
      <c r="Q315" s="7">
        <f t="shared" si="95"/>
        <v>2341043.5590047003</v>
      </c>
      <c r="R315" s="7">
        <f t="shared" si="96"/>
        <v>2353647.7334668241</v>
      </c>
      <c r="S315" s="13">
        <f>IF('BANCO DE DADOS'!$AD$32="Sim",R315,Q315)</f>
        <v>2353647.7334668241</v>
      </c>
      <c r="T315" s="9">
        <f t="shared" si="97"/>
        <v>311</v>
      </c>
      <c r="U315" s="18">
        <f t="shared" ca="1" si="98"/>
        <v>53844</v>
      </c>
      <c r="V315" s="24"/>
      <c r="W315" s="24"/>
      <c r="X315" s="24"/>
    </row>
    <row r="316" spans="2:24" x14ac:dyDescent="0.2">
      <c r="B316" s="18">
        <f t="shared" ca="1" si="86"/>
        <v>53844</v>
      </c>
      <c r="C316" s="9">
        <f t="shared" si="99"/>
        <v>312</v>
      </c>
      <c r="D316" s="9">
        <v>26</v>
      </c>
      <c r="E316" s="13">
        <f t="shared" si="87"/>
        <v>2000</v>
      </c>
      <c r="F316" s="14">
        <f t="shared" si="88"/>
        <v>674000</v>
      </c>
      <c r="G316" s="15">
        <f t="shared" si="89"/>
        <v>0.28429173735349672</v>
      </c>
      <c r="H316" s="13">
        <f t="shared" si="90"/>
        <v>15062.344747465833</v>
      </c>
      <c r="I316" s="13">
        <f t="shared" si="91"/>
        <v>1684105.9037521654</v>
      </c>
      <c r="J316" s="15">
        <f t="shared" si="83"/>
        <v>0.71570826264650322</v>
      </c>
      <c r="K316" s="13">
        <f t="shared" si="92"/>
        <v>1696804.041912511</v>
      </c>
      <c r="L316" s="13">
        <f t="shared" si="100"/>
        <v>152166164.50215882</v>
      </c>
      <c r="M316" s="15">
        <f t="shared" si="93"/>
        <v>0.71570826264650333</v>
      </c>
      <c r="N316" s="13">
        <f t="shared" si="84"/>
        <v>0</v>
      </c>
      <c r="O316" s="13">
        <f t="shared" si="94"/>
        <v>-12698.138160344679</v>
      </c>
      <c r="P316" s="15">
        <f t="shared" si="85"/>
        <v>-5.3848888381729087E-3</v>
      </c>
      <c r="Q316" s="7">
        <f t="shared" si="95"/>
        <v>2358105.9037521663</v>
      </c>
      <c r="R316" s="7">
        <f t="shared" si="96"/>
        <v>2370804.041912511</v>
      </c>
      <c r="S316" s="13">
        <f>IF('BANCO DE DADOS'!$AD$32="Sim",R316,Q316)</f>
        <v>2370804.041912511</v>
      </c>
      <c r="T316" s="9">
        <f t="shared" si="97"/>
        <v>312</v>
      </c>
      <c r="U316" s="18">
        <f t="shared" ca="1" si="98"/>
        <v>53874</v>
      </c>
      <c r="V316" s="24"/>
      <c r="W316" s="24"/>
      <c r="X316" s="24"/>
    </row>
    <row r="317" spans="2:24" x14ac:dyDescent="0.2">
      <c r="B317" s="18">
        <f t="shared" ca="1" si="86"/>
        <v>53874</v>
      </c>
      <c r="C317" s="9">
        <f t="shared" si="99"/>
        <v>313</v>
      </c>
      <c r="D317" s="9"/>
      <c r="E317" s="13">
        <f t="shared" si="87"/>
        <v>2000</v>
      </c>
      <c r="F317" s="14">
        <f t="shared" si="88"/>
        <v>676000</v>
      </c>
      <c r="G317" s="15">
        <f t="shared" si="89"/>
        <v>0.2830736921716912</v>
      </c>
      <c r="H317" s="13">
        <f t="shared" si="90"/>
        <v>15172.124387318288</v>
      </c>
      <c r="I317" s="13">
        <f t="shared" si="91"/>
        <v>1699278.0281394836</v>
      </c>
      <c r="J317" s="15">
        <f t="shared" si="83"/>
        <v>0.7169263078283088</v>
      </c>
      <c r="K317" s="13">
        <f t="shared" si="92"/>
        <v>1712070.7345633139</v>
      </c>
      <c r="L317" s="13">
        <f t="shared" si="100"/>
        <v>153878235.23672214</v>
      </c>
      <c r="M317" s="15">
        <f t="shared" si="93"/>
        <v>0.7169263078283088</v>
      </c>
      <c r="N317" s="13">
        <f t="shared" si="84"/>
        <v>0</v>
      </c>
      <c r="O317" s="13">
        <f t="shared" si="94"/>
        <v>-12792.70642382931</v>
      </c>
      <c r="P317" s="15">
        <f t="shared" si="85"/>
        <v>-5.3857722221468205E-3</v>
      </c>
      <c r="Q317" s="7">
        <f t="shared" si="95"/>
        <v>2375278.0281394846</v>
      </c>
      <c r="R317" s="7">
        <f t="shared" si="96"/>
        <v>2388070.7345633139</v>
      </c>
      <c r="S317" s="13">
        <f>IF('BANCO DE DADOS'!$AD$32="Sim",R317,Q317)</f>
        <v>2388070.7345633139</v>
      </c>
      <c r="T317" s="9">
        <f t="shared" si="97"/>
        <v>313</v>
      </c>
      <c r="U317" s="18">
        <f t="shared" ca="1" si="98"/>
        <v>53905</v>
      </c>
      <c r="V317" s="24"/>
      <c r="W317" s="24"/>
      <c r="X317" s="24"/>
    </row>
    <row r="318" spans="2:24" x14ac:dyDescent="0.2">
      <c r="B318" s="18">
        <f t="shared" ca="1" si="86"/>
        <v>53905</v>
      </c>
      <c r="C318" s="9">
        <f t="shared" si="99"/>
        <v>314</v>
      </c>
      <c r="D318" s="9"/>
      <c r="E318" s="13">
        <f t="shared" si="87"/>
        <v>2000</v>
      </c>
      <c r="F318" s="14">
        <f t="shared" si="88"/>
        <v>678000</v>
      </c>
      <c r="G318" s="15">
        <f t="shared" si="89"/>
        <v>0.28186011627440299</v>
      </c>
      <c r="H318" s="13">
        <f t="shared" si="90"/>
        <v>15282.610352679019</v>
      </c>
      <c r="I318" s="13">
        <f t="shared" si="91"/>
        <v>1714560.6384921626</v>
      </c>
      <c r="J318" s="15">
        <f t="shared" si="83"/>
        <v>0.71813988372559701</v>
      </c>
      <c r="K318" s="13">
        <f t="shared" si="92"/>
        <v>1727448.5216345321</v>
      </c>
      <c r="L318" s="13">
        <f t="shared" si="100"/>
        <v>155605683.75835666</v>
      </c>
      <c r="M318" s="15">
        <f t="shared" si="93"/>
        <v>0.71813988372559701</v>
      </c>
      <c r="N318" s="13">
        <f t="shared" si="84"/>
        <v>0</v>
      </c>
      <c r="O318" s="13">
        <f t="shared" si="94"/>
        <v>-12887.883142368402</v>
      </c>
      <c r="P318" s="15">
        <f t="shared" si="85"/>
        <v>-5.3866484865731914E-3</v>
      </c>
      <c r="Q318" s="7">
        <f t="shared" si="95"/>
        <v>2392560.6384921637</v>
      </c>
      <c r="R318" s="7">
        <f t="shared" si="96"/>
        <v>2405448.5216345321</v>
      </c>
      <c r="S318" s="13">
        <f>IF('BANCO DE DADOS'!$AD$32="Sim",R318,Q318)</f>
        <v>2405448.5216345321</v>
      </c>
      <c r="T318" s="9">
        <f t="shared" si="97"/>
        <v>314</v>
      </c>
      <c r="U318" s="18">
        <f t="shared" ca="1" si="98"/>
        <v>53936</v>
      </c>
      <c r="V318" s="24"/>
      <c r="W318" s="24"/>
      <c r="X318" s="24"/>
    </row>
    <row r="319" spans="2:24" x14ac:dyDescent="0.2">
      <c r="B319" s="18">
        <f t="shared" ca="1" si="86"/>
        <v>53936</v>
      </c>
      <c r="C319" s="9">
        <f t="shared" si="99"/>
        <v>315</v>
      </c>
      <c r="D319" s="9"/>
      <c r="E319" s="13">
        <f t="shared" si="87"/>
        <v>2000</v>
      </c>
      <c r="F319" s="14">
        <f t="shared" si="88"/>
        <v>680000</v>
      </c>
      <c r="G319" s="15">
        <f t="shared" si="89"/>
        <v>0.28065099763516727</v>
      </c>
      <c r="H319" s="13">
        <f t="shared" si="90"/>
        <v>15393.807188067614</v>
      </c>
      <c r="I319" s="13">
        <f t="shared" si="91"/>
        <v>1729954.4456802302</v>
      </c>
      <c r="J319" s="15">
        <f t="shared" si="83"/>
        <v>0.71934900236483279</v>
      </c>
      <c r="K319" s="13">
        <f t="shared" si="92"/>
        <v>1742938.1179110119</v>
      </c>
      <c r="L319" s="13">
        <f t="shared" si="100"/>
        <v>157348621.87626767</v>
      </c>
      <c r="M319" s="15">
        <f t="shared" si="93"/>
        <v>0.71934900236483279</v>
      </c>
      <c r="N319" s="13">
        <f t="shared" si="84"/>
        <v>0</v>
      </c>
      <c r="O319" s="13">
        <f t="shared" si="94"/>
        <v>-12983.67223078059</v>
      </c>
      <c r="P319" s="15">
        <f t="shared" si="85"/>
        <v>-5.3875176993712142E-3</v>
      </c>
      <c r="Q319" s="7">
        <f t="shared" si="95"/>
        <v>2409954.4456802313</v>
      </c>
      <c r="R319" s="7">
        <f t="shared" si="96"/>
        <v>2422938.1179110119</v>
      </c>
      <c r="S319" s="13">
        <f>IF('BANCO DE DADOS'!$AD$32="Sim",R319,Q319)</f>
        <v>2422938.1179110119</v>
      </c>
      <c r="T319" s="9">
        <f t="shared" si="97"/>
        <v>315</v>
      </c>
      <c r="U319" s="18">
        <f t="shared" ca="1" si="98"/>
        <v>53966</v>
      </c>
      <c r="V319" s="24"/>
      <c r="W319" s="24"/>
      <c r="X319" s="24"/>
    </row>
    <row r="320" spans="2:24" x14ac:dyDescent="0.2">
      <c r="B320" s="18">
        <f t="shared" ca="1" si="86"/>
        <v>53966</v>
      </c>
      <c r="C320" s="9">
        <f t="shared" si="99"/>
        <v>316</v>
      </c>
      <c r="D320" s="9"/>
      <c r="E320" s="13">
        <f t="shared" si="87"/>
        <v>2000</v>
      </c>
      <c r="F320" s="14">
        <f t="shared" si="88"/>
        <v>682000</v>
      </c>
      <c r="G320" s="15">
        <f t="shared" si="89"/>
        <v>0.27944632423848265</v>
      </c>
      <c r="H320" s="13">
        <f t="shared" si="90"/>
        <v>15505.719467243234</v>
      </c>
      <c r="I320" s="13">
        <f t="shared" si="91"/>
        <v>1745460.1651474733</v>
      </c>
      <c r="J320" s="15">
        <f t="shared" si="83"/>
        <v>0.72055367576151741</v>
      </c>
      <c r="K320" s="13">
        <f t="shared" si="92"/>
        <v>1758540.2427765466</v>
      </c>
      <c r="L320" s="13">
        <f t="shared" si="100"/>
        <v>159107162.11904421</v>
      </c>
      <c r="M320" s="15">
        <f t="shared" si="93"/>
        <v>0.72055367576151741</v>
      </c>
      <c r="N320" s="13">
        <f t="shared" si="84"/>
        <v>0</v>
      </c>
      <c r="O320" s="13">
        <f t="shared" si="94"/>
        <v>-13080.077629072126</v>
      </c>
      <c r="P320" s="15">
        <f t="shared" si="85"/>
        <v>-5.3883799276588651E-3</v>
      </c>
      <c r="Q320" s="7">
        <f t="shared" si="95"/>
        <v>2427460.1651474745</v>
      </c>
      <c r="R320" s="7">
        <f t="shared" si="96"/>
        <v>2440540.2427765466</v>
      </c>
      <c r="S320" s="13">
        <f>IF('BANCO DE DADOS'!$AD$32="Sim",R320,Q320)</f>
        <v>2440540.2427765466</v>
      </c>
      <c r="T320" s="9">
        <f t="shared" si="97"/>
        <v>316</v>
      </c>
      <c r="U320" s="18">
        <f t="shared" ca="1" si="98"/>
        <v>53997</v>
      </c>
      <c r="V320" s="24"/>
      <c r="W320" s="24"/>
      <c r="X320" s="24"/>
    </row>
    <row r="321" spans="2:24" x14ac:dyDescent="0.2">
      <c r="B321" s="18">
        <f t="shared" ca="1" si="86"/>
        <v>53997</v>
      </c>
      <c r="C321" s="9">
        <f t="shared" si="99"/>
        <v>317</v>
      </c>
      <c r="D321" s="9"/>
      <c r="E321" s="13">
        <f t="shared" si="87"/>
        <v>2000</v>
      </c>
      <c r="F321" s="14">
        <f t="shared" si="88"/>
        <v>684000</v>
      </c>
      <c r="G321" s="15">
        <f t="shared" si="89"/>
        <v>0.27824608407983892</v>
      </c>
      <c r="H321" s="13">
        <f t="shared" si="90"/>
        <v>15618.351793392751</v>
      </c>
      <c r="I321" s="13">
        <f t="shared" si="91"/>
        <v>1761078.5169408661</v>
      </c>
      <c r="J321" s="15">
        <f t="shared" si="83"/>
        <v>0.72175391592016114</v>
      </c>
      <c r="K321" s="13">
        <f t="shared" si="92"/>
        <v>1774255.620243466</v>
      </c>
      <c r="L321" s="13">
        <f t="shared" si="100"/>
        <v>160881417.73928767</v>
      </c>
      <c r="M321" s="15">
        <f t="shared" si="93"/>
        <v>0.72175391592016114</v>
      </c>
      <c r="N321" s="13">
        <f t="shared" si="84"/>
        <v>0</v>
      </c>
      <c r="O321" s="13">
        <f t="shared" si="94"/>
        <v>-13177.103302598931</v>
      </c>
      <c r="P321" s="15">
        <f t="shared" si="85"/>
        <v>-5.3892352377646006E-3</v>
      </c>
      <c r="Q321" s="7">
        <f t="shared" si="95"/>
        <v>2445078.5169408671</v>
      </c>
      <c r="R321" s="7">
        <f t="shared" si="96"/>
        <v>2458255.620243466</v>
      </c>
      <c r="S321" s="13">
        <f>IF('BANCO DE DADOS'!$AD$32="Sim",R321,Q321)</f>
        <v>2458255.620243466</v>
      </c>
      <c r="T321" s="9">
        <f t="shared" si="97"/>
        <v>317</v>
      </c>
      <c r="U321" s="18">
        <f t="shared" ca="1" si="98"/>
        <v>54027</v>
      </c>
      <c r="V321" s="24"/>
      <c r="W321" s="24"/>
      <c r="X321" s="24"/>
    </row>
    <row r="322" spans="2:24" x14ac:dyDescent="0.2">
      <c r="B322" s="18">
        <f t="shared" ca="1" si="86"/>
        <v>54027</v>
      </c>
      <c r="C322" s="9">
        <f t="shared" si="99"/>
        <v>318</v>
      </c>
      <c r="D322" s="9"/>
      <c r="E322" s="13">
        <f t="shared" si="87"/>
        <v>2000</v>
      </c>
      <c r="F322" s="14">
        <f t="shared" si="88"/>
        <v>686000</v>
      </c>
      <c r="G322" s="15">
        <f t="shared" si="89"/>
        <v>0.27705026516574621</v>
      </c>
      <c r="H322" s="13">
        <f t="shared" si="90"/>
        <v>15731.708799320071</v>
      </c>
      <c r="I322" s="13">
        <f t="shared" si="91"/>
        <v>1776810.2257401862</v>
      </c>
      <c r="J322" s="15">
        <f t="shared" si="83"/>
        <v>0.72294973483425373</v>
      </c>
      <c r="K322" s="13">
        <f t="shared" si="92"/>
        <v>1790084.9789824178</v>
      </c>
      <c r="L322" s="13">
        <f t="shared" si="100"/>
        <v>162671502.71827009</v>
      </c>
      <c r="M322" s="15">
        <f t="shared" si="93"/>
        <v>0.72294973483425384</v>
      </c>
      <c r="N322" s="13">
        <f t="shared" si="84"/>
        <v>0</v>
      </c>
      <c r="O322" s="13">
        <f t="shared" si="94"/>
        <v>-13274.753242230508</v>
      </c>
      <c r="P322" s="15">
        <f t="shared" si="85"/>
        <v>-5.39008369523918E-3</v>
      </c>
      <c r="Q322" s="7">
        <f t="shared" si="95"/>
        <v>2462810.2257401873</v>
      </c>
      <c r="R322" s="7">
        <f t="shared" si="96"/>
        <v>2476084.9789824178</v>
      </c>
      <c r="S322" s="13">
        <f>IF('BANCO DE DADOS'!$AD$32="Sim",R322,Q322)</f>
        <v>2476084.9789824178</v>
      </c>
      <c r="T322" s="9">
        <f t="shared" si="97"/>
        <v>318</v>
      </c>
      <c r="U322" s="18">
        <f t="shared" ca="1" si="98"/>
        <v>54058</v>
      </c>
      <c r="V322" s="24"/>
      <c r="W322" s="24"/>
      <c r="X322" s="24"/>
    </row>
    <row r="323" spans="2:24" x14ac:dyDescent="0.2">
      <c r="B323" s="18">
        <f t="shared" ca="1" si="86"/>
        <v>54058</v>
      </c>
      <c r="C323" s="9">
        <f t="shared" si="99"/>
        <v>319</v>
      </c>
      <c r="D323" s="9"/>
      <c r="E323" s="13">
        <f t="shared" si="87"/>
        <v>2000</v>
      </c>
      <c r="F323" s="14">
        <f t="shared" si="88"/>
        <v>688000</v>
      </c>
      <c r="G323" s="15">
        <f t="shared" si="89"/>
        <v>0.27585885551376665</v>
      </c>
      <c r="H323" s="13">
        <f t="shared" si="90"/>
        <v>15845.795147636711</v>
      </c>
      <c r="I323" s="13">
        <f t="shared" si="91"/>
        <v>1792656.0208878228</v>
      </c>
      <c r="J323" s="15">
        <f t="shared" si="83"/>
        <v>0.72414114448623335</v>
      </c>
      <c r="K323" s="13">
        <f t="shared" si="92"/>
        <v>1806029.0523523381</v>
      </c>
      <c r="L323" s="13">
        <f t="shared" si="100"/>
        <v>164477531.77062243</v>
      </c>
      <c r="M323" s="15">
        <f t="shared" si="93"/>
        <v>0.72414114448623335</v>
      </c>
      <c r="N323" s="13">
        <f t="shared" si="84"/>
        <v>0</v>
      </c>
      <c r="O323" s="13">
        <f t="shared" si="94"/>
        <v>-13373.031464513857</v>
      </c>
      <c r="P323" s="15">
        <f t="shared" si="85"/>
        <v>-5.3909253648668559E-3</v>
      </c>
      <c r="Q323" s="7">
        <f t="shared" si="95"/>
        <v>2480656.0208878242</v>
      </c>
      <c r="R323" s="7">
        <f t="shared" si="96"/>
        <v>2494029.0523523381</v>
      </c>
      <c r="S323" s="13">
        <f>IF('BANCO DE DADOS'!$AD$32="Sim",R323,Q323)</f>
        <v>2494029.0523523381</v>
      </c>
      <c r="T323" s="9">
        <f t="shared" si="97"/>
        <v>319</v>
      </c>
      <c r="U323" s="18">
        <f t="shared" ca="1" si="98"/>
        <v>54089</v>
      </c>
      <c r="V323" s="24"/>
      <c r="W323" s="24"/>
      <c r="X323" s="24"/>
    </row>
    <row r="324" spans="2:24" x14ac:dyDescent="0.2">
      <c r="B324" s="18">
        <f t="shared" ca="1" si="86"/>
        <v>54089</v>
      </c>
      <c r="C324" s="9">
        <f t="shared" si="99"/>
        <v>320</v>
      </c>
      <c r="D324" s="9"/>
      <c r="E324" s="13">
        <f t="shared" si="87"/>
        <v>2000</v>
      </c>
      <c r="F324" s="14">
        <f t="shared" si="88"/>
        <v>690000</v>
      </c>
      <c r="G324" s="15">
        <f t="shared" si="89"/>
        <v>0.27467184315254739</v>
      </c>
      <c r="H324" s="13">
        <f t="shared" si="90"/>
        <v>15960.615530953559</v>
      </c>
      <c r="I324" s="13">
        <f t="shared" si="91"/>
        <v>1808616.6364187764</v>
      </c>
      <c r="J324" s="15">
        <f t="shared" si="83"/>
        <v>0.72532815684745255</v>
      </c>
      <c r="K324" s="13">
        <f t="shared" si="92"/>
        <v>1822088.5784306163</v>
      </c>
      <c r="L324" s="13">
        <f t="shared" si="100"/>
        <v>166299620.34905306</v>
      </c>
      <c r="M324" s="15">
        <f t="shared" si="93"/>
        <v>0.72532815684745255</v>
      </c>
      <c r="N324" s="13">
        <f t="shared" si="84"/>
        <v>0</v>
      </c>
      <c r="O324" s="13">
        <f t="shared" si="94"/>
        <v>-13471.942011838313</v>
      </c>
      <c r="P324" s="15">
        <f t="shared" si="85"/>
        <v>-5.3917603106763126E-3</v>
      </c>
      <c r="Q324" s="7">
        <f t="shared" si="95"/>
        <v>2498616.636418778</v>
      </c>
      <c r="R324" s="7">
        <f t="shared" si="96"/>
        <v>2512088.5784306163</v>
      </c>
      <c r="S324" s="13">
        <f>IF('BANCO DE DADOS'!$AD$32="Sim",R324,Q324)</f>
        <v>2512088.5784306163</v>
      </c>
      <c r="T324" s="9">
        <f t="shared" si="97"/>
        <v>320</v>
      </c>
      <c r="U324" s="18">
        <f t="shared" ca="1" si="98"/>
        <v>54118</v>
      </c>
      <c r="V324" s="24"/>
      <c r="W324" s="24"/>
      <c r="X324" s="24"/>
    </row>
    <row r="325" spans="2:24" x14ac:dyDescent="0.2">
      <c r="B325" s="18">
        <f t="shared" ca="1" si="86"/>
        <v>54118</v>
      </c>
      <c r="C325" s="9">
        <f t="shared" si="99"/>
        <v>321</v>
      </c>
      <c r="D325" s="9"/>
      <c r="E325" s="13">
        <f t="shared" si="87"/>
        <v>2000</v>
      </c>
      <c r="F325" s="14">
        <f t="shared" si="88"/>
        <v>692000</v>
      </c>
      <c r="G325" s="15">
        <f t="shared" si="89"/>
        <v>0.27348921612185562</v>
      </c>
      <c r="H325" s="13">
        <f t="shared" si="90"/>
        <v>16076.17467207391</v>
      </c>
      <c r="I325" s="13">
        <f t="shared" si="91"/>
        <v>1824692.8110908503</v>
      </c>
      <c r="J325" s="15">
        <f t="shared" ref="J325:J364" si="101">1-G325</f>
        <v>0.72651078387814438</v>
      </c>
      <c r="K325" s="13">
        <f t="shared" si="92"/>
        <v>1838264.3000434544</v>
      </c>
      <c r="L325" s="13">
        <f t="shared" si="100"/>
        <v>168137884.64909652</v>
      </c>
      <c r="M325" s="15">
        <f t="shared" si="93"/>
        <v>0.72651078387814438</v>
      </c>
      <c r="N325" s="13">
        <f t="shared" ref="N325:N364" si="102">Q325*Inflação</f>
        <v>0</v>
      </c>
      <c r="O325" s="13">
        <f t="shared" si="94"/>
        <v>-13571.488952602725</v>
      </c>
      <c r="P325" s="15">
        <f t="shared" ref="P325:P364" si="103">O325/Q325</f>
        <v>-5.3925885959519278E-3</v>
      </c>
      <c r="Q325" s="7">
        <f t="shared" si="95"/>
        <v>2516692.8110908517</v>
      </c>
      <c r="R325" s="7">
        <f t="shared" si="96"/>
        <v>2530264.3000434544</v>
      </c>
      <c r="S325" s="13">
        <f>IF('BANCO DE DADOS'!$AD$32="Sim",R325,Q325)</f>
        <v>2530264.3000434544</v>
      </c>
      <c r="T325" s="9">
        <f t="shared" si="97"/>
        <v>321</v>
      </c>
      <c r="U325" s="18">
        <f t="shared" ca="1" si="98"/>
        <v>54149</v>
      </c>
      <c r="V325" s="24"/>
      <c r="W325" s="24"/>
      <c r="X325" s="24"/>
    </row>
    <row r="326" spans="2:24" x14ac:dyDescent="0.2">
      <c r="B326" s="18">
        <f t="shared" ref="B326:B389" ca="1" si="104">DATE(YEAR(B325),MONTH(B325)+1,1)</f>
        <v>54149</v>
      </c>
      <c r="C326" s="9">
        <f t="shared" si="99"/>
        <v>322</v>
      </c>
      <c r="D326" s="9"/>
      <c r="E326" s="13">
        <f t="shared" ref="E326:E389" si="105">IF($AE$33,IF($AE$34,$E325*(1+Inflação)*(1+Crescimento_Salário),$E325*(1+Inflação)),IF($AE$34,$E325*(1+Crescimento_Salário),$E325))</f>
        <v>2000</v>
      </c>
      <c r="F326" s="14">
        <f t="shared" ref="F326:F364" si="106">F325+E326</f>
        <v>694000</v>
      </c>
      <c r="G326" s="15">
        <f t="shared" ref="G326:G364" si="107">IF(F326&lt;=0,0,F326/S326)</f>
        <v>0.2723109624726151</v>
      </c>
      <c r="H326" s="13">
        <f t="shared" ref="H326:H364" si="108">Q325*Taxa</f>
        <v>16192.477324187714</v>
      </c>
      <c r="I326" s="13">
        <f t="shared" ref="I326:I364" si="109">I325+H326</f>
        <v>1840885.288415038</v>
      </c>
      <c r="J326" s="15">
        <f t="shared" si="101"/>
        <v>0.7276890375273849</v>
      </c>
      <c r="K326" s="13">
        <f t="shared" ref="K326:K364" si="110">R326-F326</f>
        <v>1854556.9647964207</v>
      </c>
      <c r="L326" s="13">
        <f t="shared" si="100"/>
        <v>169992441.61389294</v>
      </c>
      <c r="M326" s="15">
        <f t="shared" ref="M326:M364" si="111">K326/R326</f>
        <v>0.7276890375273849</v>
      </c>
      <c r="N326" s="13">
        <f t="shared" si="102"/>
        <v>0</v>
      </c>
      <c r="O326" s="13">
        <f t="shared" ref="O326:O364" si="112">Q326-R326</f>
        <v>-13671.676381381229</v>
      </c>
      <c r="P326" s="15">
        <f t="shared" si="103"/>
        <v>-5.3934102832438506E-3</v>
      </c>
      <c r="Q326" s="7">
        <f t="shared" ref="Q326:Q364" si="113">Q325+E326+H326</f>
        <v>2534885.2884150394</v>
      </c>
      <c r="R326" s="7">
        <f t="shared" ref="R326:R364" si="114">(R325+E326)*(1+((1+Taxa)/(1+Inflação)-1))</f>
        <v>2548556.9647964207</v>
      </c>
      <c r="S326" s="13">
        <f>IF('BANCO DE DADOS'!$AD$32="Sim",R326,Q326)</f>
        <v>2548556.9647964207</v>
      </c>
      <c r="T326" s="9">
        <f t="shared" ref="T326:T364" si="115">C326</f>
        <v>322</v>
      </c>
      <c r="U326" s="18">
        <f t="shared" ref="U326:U389" ca="1" si="116">DATE(YEAR(U325),MONTH(U325)+1,1)</f>
        <v>54179</v>
      </c>
      <c r="V326" s="24"/>
      <c r="W326" s="24"/>
      <c r="X326" s="24"/>
    </row>
    <row r="327" spans="2:24" x14ac:dyDescent="0.2">
      <c r="B327" s="18">
        <f t="shared" ca="1" si="104"/>
        <v>54179</v>
      </c>
      <c r="C327" s="9">
        <f t="shared" ref="C327:C390" si="117">C326+1</f>
        <v>323</v>
      </c>
      <c r="D327" s="9"/>
      <c r="E327" s="13">
        <f t="shared" si="105"/>
        <v>2000</v>
      </c>
      <c r="F327" s="14">
        <f t="shared" si="106"/>
        <v>696000</v>
      </c>
      <c r="G327" s="15">
        <f t="shared" si="107"/>
        <v>0.27113707026694489</v>
      </c>
      <c r="H327" s="13">
        <f t="shared" si="108"/>
        <v>16309.528271067093</v>
      </c>
      <c r="I327" s="13">
        <f t="shared" si="109"/>
        <v>1857194.8166861052</v>
      </c>
      <c r="J327" s="15">
        <f t="shared" si="101"/>
        <v>0.72886292973305511</v>
      </c>
      <c r="K327" s="13">
        <f t="shared" si="110"/>
        <v>1870967.3251051996</v>
      </c>
      <c r="L327" s="13">
        <f t="shared" ref="L327:L364" si="118">L326+K327</f>
        <v>171863408.93899813</v>
      </c>
      <c r="M327" s="15">
        <f t="shared" si="111"/>
        <v>0.72886292973305511</v>
      </c>
      <c r="N327" s="13">
        <f t="shared" si="102"/>
        <v>0</v>
      </c>
      <c r="O327" s="13">
        <f t="shared" si="112"/>
        <v>-13772.50841909321</v>
      </c>
      <c r="P327" s="15">
        <f t="shared" si="103"/>
        <v>-5.3942254343791515E-3</v>
      </c>
      <c r="Q327" s="7">
        <f t="shared" si="113"/>
        <v>2553194.8166861064</v>
      </c>
      <c r="R327" s="7">
        <f t="shared" si="114"/>
        <v>2566967.3251051996</v>
      </c>
      <c r="S327" s="13">
        <f>IF('BANCO DE DADOS'!$AD$32="Sim",R327,Q327)</f>
        <v>2566967.3251051996</v>
      </c>
      <c r="T327" s="9">
        <f t="shared" si="115"/>
        <v>323</v>
      </c>
      <c r="U327" s="18">
        <f t="shared" ca="1" si="116"/>
        <v>54210</v>
      </c>
      <c r="V327" s="24"/>
      <c r="W327" s="24"/>
      <c r="X327" s="24"/>
    </row>
    <row r="328" spans="2:24" x14ac:dyDescent="0.2">
      <c r="B328" s="18">
        <f t="shared" ca="1" si="104"/>
        <v>54210</v>
      </c>
      <c r="C328" s="9">
        <f t="shared" si="117"/>
        <v>324</v>
      </c>
      <c r="D328" s="9">
        <v>27</v>
      </c>
      <c r="E328" s="13">
        <f t="shared" si="105"/>
        <v>2000</v>
      </c>
      <c r="F328" s="14">
        <f t="shared" si="106"/>
        <v>698000</v>
      </c>
      <c r="G328" s="15">
        <f t="shared" si="107"/>
        <v>0.2699675275781987</v>
      </c>
      <c r="H328" s="13">
        <f t="shared" si="108"/>
        <v>16427.332327263099</v>
      </c>
      <c r="I328" s="13">
        <f t="shared" si="109"/>
        <v>1873622.1490133684</v>
      </c>
      <c r="J328" s="15">
        <f t="shared" si="101"/>
        <v>0.73003247242180125</v>
      </c>
      <c r="K328" s="13">
        <f t="shared" si="110"/>
        <v>1887496.1382265412</v>
      </c>
      <c r="L328" s="13">
        <f t="shared" si="118"/>
        <v>173750905.07722467</v>
      </c>
      <c r="M328" s="15">
        <f t="shared" si="111"/>
        <v>0.73003247242180125</v>
      </c>
      <c r="N328" s="13">
        <f t="shared" si="102"/>
        <v>0</v>
      </c>
      <c r="O328" s="13">
        <f t="shared" si="112"/>
        <v>-13873.989213171881</v>
      </c>
      <c r="P328" s="15">
        <f t="shared" si="103"/>
        <v>-5.3950341104717844E-3</v>
      </c>
      <c r="Q328" s="7">
        <f t="shared" si="113"/>
        <v>2571622.1490133693</v>
      </c>
      <c r="R328" s="7">
        <f t="shared" si="114"/>
        <v>2585496.1382265412</v>
      </c>
      <c r="S328" s="13">
        <f>IF('BANCO DE DADOS'!$AD$32="Sim",R328,Q328)</f>
        <v>2585496.1382265412</v>
      </c>
      <c r="T328" s="9">
        <f t="shared" si="115"/>
        <v>324</v>
      </c>
      <c r="U328" s="18">
        <f t="shared" ca="1" si="116"/>
        <v>54240</v>
      </c>
      <c r="V328" s="24"/>
      <c r="W328" s="24"/>
      <c r="X328" s="24"/>
    </row>
    <row r="329" spans="2:24" x14ac:dyDescent="0.2">
      <c r="B329" s="18">
        <f t="shared" ca="1" si="104"/>
        <v>54240</v>
      </c>
      <c r="C329" s="9">
        <f t="shared" si="117"/>
        <v>325</v>
      </c>
      <c r="D329" s="9"/>
      <c r="E329" s="13">
        <f t="shared" si="105"/>
        <v>2000</v>
      </c>
      <c r="F329" s="14">
        <f t="shared" si="106"/>
        <v>700000</v>
      </c>
      <c r="G329" s="15">
        <f t="shared" si="107"/>
        <v>0.268802322491007</v>
      </c>
      <c r="H329" s="13">
        <f t="shared" si="108"/>
        <v>16545.894338303748</v>
      </c>
      <c r="I329" s="13">
        <f t="shared" si="109"/>
        <v>1890168.0433516721</v>
      </c>
      <c r="J329" s="15">
        <f t="shared" si="101"/>
        <v>0.731197677508993</v>
      </c>
      <c r="K329" s="13">
        <f t="shared" si="110"/>
        <v>1904144.1662894082</v>
      </c>
      <c r="L329" s="13">
        <f t="shared" si="118"/>
        <v>175655049.24351409</v>
      </c>
      <c r="M329" s="15">
        <f t="shared" si="111"/>
        <v>0.731197677508993</v>
      </c>
      <c r="N329" s="13">
        <f t="shared" si="102"/>
        <v>0</v>
      </c>
      <c r="O329" s="13">
        <f t="shared" si="112"/>
        <v>-13976.12293773517</v>
      </c>
      <c r="P329" s="15">
        <f t="shared" si="103"/>
        <v>-5.3958363719328771E-3</v>
      </c>
      <c r="Q329" s="7">
        <f t="shared" si="113"/>
        <v>2590168.0433516731</v>
      </c>
      <c r="R329" s="7">
        <f t="shared" si="114"/>
        <v>2604144.1662894082</v>
      </c>
      <c r="S329" s="13">
        <f>IF('BANCO DE DADOS'!$AD$32="Sim",R329,Q329)</f>
        <v>2604144.1662894082</v>
      </c>
      <c r="T329" s="9">
        <f t="shared" si="115"/>
        <v>325</v>
      </c>
      <c r="U329" s="18">
        <f t="shared" ca="1" si="116"/>
        <v>54271</v>
      </c>
      <c r="V329" s="24"/>
      <c r="W329" s="24"/>
      <c r="X329" s="24"/>
    </row>
    <row r="330" spans="2:24" x14ac:dyDescent="0.2">
      <c r="B330" s="18">
        <f t="shared" ca="1" si="104"/>
        <v>54271</v>
      </c>
      <c r="C330" s="9">
        <f t="shared" si="117"/>
        <v>326</v>
      </c>
      <c r="D330" s="9"/>
      <c r="E330" s="13">
        <f t="shared" si="105"/>
        <v>2000</v>
      </c>
      <c r="F330" s="14">
        <f t="shared" si="106"/>
        <v>702000</v>
      </c>
      <c r="G330" s="15">
        <f t="shared" si="107"/>
        <v>0.26764144310131949</v>
      </c>
      <c r="H330" s="13">
        <f t="shared" si="108"/>
        <v>16665.219180893335</v>
      </c>
      <c r="I330" s="13">
        <f t="shared" si="109"/>
        <v>1906833.2625325655</v>
      </c>
      <c r="J330" s="15">
        <f t="shared" si="101"/>
        <v>0.73235855689868057</v>
      </c>
      <c r="K330" s="13">
        <f t="shared" si="110"/>
        <v>1920912.1763263242</v>
      </c>
      <c r="L330" s="13">
        <f t="shared" si="118"/>
        <v>177575961.41984043</v>
      </c>
      <c r="M330" s="15">
        <f t="shared" si="111"/>
        <v>0.73235855689868046</v>
      </c>
      <c r="N330" s="13">
        <f t="shared" si="102"/>
        <v>0</v>
      </c>
      <c r="O330" s="13">
        <f t="shared" si="112"/>
        <v>-14078.913793758024</v>
      </c>
      <c r="P330" s="15">
        <f t="shared" si="103"/>
        <v>-5.3966322784809537E-3</v>
      </c>
      <c r="Q330" s="7">
        <f t="shared" si="113"/>
        <v>2608833.2625325662</v>
      </c>
      <c r="R330" s="7">
        <f t="shared" si="114"/>
        <v>2622912.1763263242</v>
      </c>
      <c r="S330" s="13">
        <f>IF('BANCO DE DADOS'!$AD$32="Sim",R330,Q330)</f>
        <v>2622912.1763263242</v>
      </c>
      <c r="T330" s="9">
        <f t="shared" si="115"/>
        <v>326</v>
      </c>
      <c r="U330" s="18">
        <f t="shared" ca="1" si="116"/>
        <v>54302</v>
      </c>
      <c r="V330" s="24"/>
      <c r="W330" s="24"/>
      <c r="X330" s="24"/>
    </row>
    <row r="331" spans="2:24" x14ac:dyDescent="0.2">
      <c r="B331" s="18">
        <f t="shared" ca="1" si="104"/>
        <v>54302</v>
      </c>
      <c r="C331" s="9">
        <f t="shared" si="117"/>
        <v>327</v>
      </c>
      <c r="D331" s="9"/>
      <c r="E331" s="13">
        <f t="shared" si="105"/>
        <v>2000</v>
      </c>
      <c r="F331" s="14">
        <f t="shared" si="106"/>
        <v>704000</v>
      </c>
      <c r="G331" s="15">
        <f t="shared" si="107"/>
        <v>0.26648487751645011</v>
      </c>
      <c r="H331" s="13">
        <f t="shared" si="108"/>
        <v>16785.311763113015</v>
      </c>
      <c r="I331" s="13">
        <f t="shared" si="109"/>
        <v>1923618.5742956786</v>
      </c>
      <c r="J331" s="15">
        <f t="shared" si="101"/>
        <v>0.73351512248354989</v>
      </c>
      <c r="K331" s="13">
        <f t="shared" si="110"/>
        <v>1937800.9403049224</v>
      </c>
      <c r="L331" s="13">
        <f t="shared" si="118"/>
        <v>179513762.36014536</v>
      </c>
      <c r="M331" s="15">
        <f t="shared" si="111"/>
        <v>0.73351512248354989</v>
      </c>
      <c r="N331" s="13">
        <f t="shared" si="102"/>
        <v>0</v>
      </c>
      <c r="O331" s="13">
        <f t="shared" si="112"/>
        <v>-14182.366009243298</v>
      </c>
      <c r="P331" s="15">
        <f t="shared" si="103"/>
        <v>-5.3974218891510214E-3</v>
      </c>
      <c r="Q331" s="7">
        <f t="shared" si="113"/>
        <v>2627618.5742956791</v>
      </c>
      <c r="R331" s="7">
        <f t="shared" si="114"/>
        <v>2641800.9403049224</v>
      </c>
      <c r="S331" s="13">
        <f>IF('BANCO DE DADOS'!$AD$32="Sim",R331,Q331)</f>
        <v>2641800.9403049224</v>
      </c>
      <c r="T331" s="9">
        <f t="shared" si="115"/>
        <v>327</v>
      </c>
      <c r="U331" s="18">
        <f t="shared" ca="1" si="116"/>
        <v>54332</v>
      </c>
      <c r="V331" s="24"/>
      <c r="W331" s="24"/>
      <c r="X331" s="24"/>
    </row>
    <row r="332" spans="2:24" x14ac:dyDescent="0.2">
      <c r="B332" s="18">
        <f t="shared" ca="1" si="104"/>
        <v>54332</v>
      </c>
      <c r="C332" s="9">
        <f t="shared" si="117"/>
        <v>328</v>
      </c>
      <c r="D332" s="9"/>
      <c r="E332" s="13">
        <f t="shared" si="105"/>
        <v>2000</v>
      </c>
      <c r="F332" s="14">
        <f t="shared" si="106"/>
        <v>706000</v>
      </c>
      <c r="G332" s="15">
        <f t="shared" si="107"/>
        <v>0.26533261385512241</v>
      </c>
      <c r="H332" s="13">
        <f t="shared" si="108"/>
        <v>16906.177024622684</v>
      </c>
      <c r="I332" s="13">
        <f t="shared" si="109"/>
        <v>1940524.7513203013</v>
      </c>
      <c r="J332" s="15">
        <f t="shared" si="101"/>
        <v>0.73466738614487759</v>
      </c>
      <c r="K332" s="13">
        <f t="shared" si="110"/>
        <v>1954811.2351596998</v>
      </c>
      <c r="L332" s="13">
        <f t="shared" si="118"/>
        <v>181468573.59530506</v>
      </c>
      <c r="M332" s="15">
        <f t="shared" si="111"/>
        <v>0.73466738614487759</v>
      </c>
      <c r="N332" s="13">
        <f t="shared" si="102"/>
        <v>0</v>
      </c>
      <c r="O332" s="13">
        <f t="shared" si="112"/>
        <v>-14286.483839397784</v>
      </c>
      <c r="P332" s="15">
        <f t="shared" si="103"/>
        <v>-5.3982052623050376E-3</v>
      </c>
      <c r="Q332" s="7">
        <f t="shared" si="113"/>
        <v>2646524.751320302</v>
      </c>
      <c r="R332" s="7">
        <f t="shared" si="114"/>
        <v>2660811.2351596998</v>
      </c>
      <c r="S332" s="13">
        <f>IF('BANCO DE DADOS'!$AD$32="Sim",R332,Q332)</f>
        <v>2660811.2351596998</v>
      </c>
      <c r="T332" s="9">
        <f t="shared" si="115"/>
        <v>328</v>
      </c>
      <c r="U332" s="18">
        <f t="shared" ca="1" si="116"/>
        <v>54363</v>
      </c>
      <c r="V332" s="24"/>
      <c r="W332" s="24"/>
      <c r="X332" s="24"/>
    </row>
    <row r="333" spans="2:24" x14ac:dyDescent="0.2">
      <c r="B333" s="18">
        <f t="shared" ca="1" si="104"/>
        <v>54363</v>
      </c>
      <c r="C333" s="9">
        <f t="shared" si="117"/>
        <v>329</v>
      </c>
      <c r="D333" s="9"/>
      <c r="E333" s="13">
        <f t="shared" si="105"/>
        <v>2000</v>
      </c>
      <c r="F333" s="14">
        <f t="shared" si="106"/>
        <v>708000</v>
      </c>
      <c r="G333" s="15">
        <f t="shared" si="107"/>
        <v>0.2641846402475172</v>
      </c>
      <c r="H333" s="13">
        <f t="shared" si="108"/>
        <v>17027.819936864165</v>
      </c>
      <c r="I333" s="13">
        <f t="shared" si="109"/>
        <v>1957552.5712571654</v>
      </c>
      <c r="J333" s="15">
        <f t="shared" si="101"/>
        <v>0.7358153597524828</v>
      </c>
      <c r="K333" s="13">
        <f t="shared" si="110"/>
        <v>1971943.8428239729</v>
      </c>
      <c r="L333" s="13">
        <f t="shared" si="118"/>
        <v>183440517.43812904</v>
      </c>
      <c r="M333" s="15">
        <f t="shared" si="111"/>
        <v>0.7358153597524828</v>
      </c>
      <c r="N333" s="13">
        <f t="shared" si="102"/>
        <v>0</v>
      </c>
      <c r="O333" s="13">
        <f t="shared" si="112"/>
        <v>-14391.271566806827</v>
      </c>
      <c r="P333" s="15">
        <f t="shared" si="103"/>
        <v>-5.3989824556412366E-3</v>
      </c>
      <c r="Q333" s="7">
        <f t="shared" si="113"/>
        <v>2665552.5712571661</v>
      </c>
      <c r="R333" s="7">
        <f t="shared" si="114"/>
        <v>2679943.8428239729</v>
      </c>
      <c r="S333" s="13">
        <f>IF('BANCO DE DADOS'!$AD$32="Sim",R333,Q333)</f>
        <v>2679943.8428239729</v>
      </c>
      <c r="T333" s="9">
        <f t="shared" si="115"/>
        <v>329</v>
      </c>
      <c r="U333" s="18">
        <f t="shared" ca="1" si="116"/>
        <v>54393</v>
      </c>
      <c r="V333" s="24"/>
      <c r="W333" s="24"/>
      <c r="X333" s="24"/>
    </row>
    <row r="334" spans="2:24" x14ac:dyDescent="0.2">
      <c r="B334" s="18">
        <f t="shared" ca="1" si="104"/>
        <v>54393</v>
      </c>
      <c r="C334" s="9">
        <f t="shared" si="117"/>
        <v>330</v>
      </c>
      <c r="D334" s="9"/>
      <c r="E334" s="13">
        <f t="shared" si="105"/>
        <v>2000</v>
      </c>
      <c r="F334" s="14">
        <f t="shared" si="106"/>
        <v>710000</v>
      </c>
      <c r="G334" s="15">
        <f t="shared" si="107"/>
        <v>0.26304094483532076</v>
      </c>
      <c r="H334" s="13">
        <f t="shared" si="108"/>
        <v>17150.245503265673</v>
      </c>
      <c r="I334" s="13">
        <f t="shared" si="109"/>
        <v>1974702.816760431</v>
      </c>
      <c r="J334" s="15">
        <f t="shared" si="101"/>
        <v>0.73695905516467919</v>
      </c>
      <c r="K334" s="13">
        <f t="shared" si="110"/>
        <v>1989199.5502620405</v>
      </c>
      <c r="L334" s="13">
        <f t="shared" si="118"/>
        <v>185429716.98839107</v>
      </c>
      <c r="M334" s="15">
        <f t="shared" si="111"/>
        <v>0.73695905516467919</v>
      </c>
      <c r="N334" s="13">
        <f t="shared" si="102"/>
        <v>0</v>
      </c>
      <c r="O334" s="13">
        <f t="shared" si="112"/>
        <v>-14496.733501608483</v>
      </c>
      <c r="P334" s="15">
        <f t="shared" si="103"/>
        <v>-5.3997535262027075E-3</v>
      </c>
      <c r="Q334" s="7">
        <f t="shared" si="113"/>
        <v>2684702.816760432</v>
      </c>
      <c r="R334" s="7">
        <f t="shared" si="114"/>
        <v>2699199.5502620405</v>
      </c>
      <c r="S334" s="13">
        <f>IF('BANCO DE DADOS'!$AD$32="Sim",R334,Q334)</f>
        <v>2699199.5502620405</v>
      </c>
      <c r="T334" s="9">
        <f t="shared" si="115"/>
        <v>330</v>
      </c>
      <c r="U334" s="18">
        <f t="shared" ca="1" si="116"/>
        <v>54424</v>
      </c>
      <c r="V334" s="24"/>
      <c r="W334" s="24"/>
      <c r="X334" s="24"/>
    </row>
    <row r="335" spans="2:24" x14ac:dyDescent="0.2">
      <c r="B335" s="18">
        <f t="shared" ca="1" si="104"/>
        <v>54424</v>
      </c>
      <c r="C335" s="9">
        <f t="shared" si="117"/>
        <v>331</v>
      </c>
      <c r="D335" s="9"/>
      <c r="E335" s="13">
        <f t="shared" si="105"/>
        <v>2000</v>
      </c>
      <c r="F335" s="14">
        <f t="shared" si="106"/>
        <v>712000</v>
      </c>
      <c r="G335" s="15">
        <f t="shared" si="107"/>
        <v>0.26190151577177501</v>
      </c>
      <c r="H335" s="13">
        <f t="shared" si="108"/>
        <v>17273.45875944764</v>
      </c>
      <c r="I335" s="13">
        <f t="shared" si="109"/>
        <v>1991976.2755198786</v>
      </c>
      <c r="J335" s="15">
        <f t="shared" si="101"/>
        <v>0.73809848422822499</v>
      </c>
      <c r="K335" s="13">
        <f t="shared" si="110"/>
        <v>2006579.1495015542</v>
      </c>
      <c r="L335" s="13">
        <f t="shared" si="118"/>
        <v>187436296.13789263</v>
      </c>
      <c r="M335" s="15">
        <f t="shared" si="111"/>
        <v>0.73809848422822499</v>
      </c>
      <c r="N335" s="13">
        <f t="shared" si="102"/>
        <v>0</v>
      </c>
      <c r="O335" s="13">
        <f t="shared" si="112"/>
        <v>-14602.873981674667</v>
      </c>
      <c r="P335" s="15">
        <f t="shared" si="103"/>
        <v>-5.4005185303880113E-3</v>
      </c>
      <c r="Q335" s="7">
        <f t="shared" si="113"/>
        <v>2703976.2755198795</v>
      </c>
      <c r="R335" s="7">
        <f t="shared" si="114"/>
        <v>2718579.1495015542</v>
      </c>
      <c r="S335" s="13">
        <f>IF('BANCO DE DADOS'!$AD$32="Sim",R335,Q335)</f>
        <v>2718579.1495015542</v>
      </c>
      <c r="T335" s="9">
        <f t="shared" si="115"/>
        <v>331</v>
      </c>
      <c r="U335" s="18">
        <f t="shared" ca="1" si="116"/>
        <v>54455</v>
      </c>
      <c r="V335" s="24"/>
      <c r="W335" s="24"/>
      <c r="X335" s="24"/>
    </row>
    <row r="336" spans="2:24" x14ac:dyDescent="0.2">
      <c r="B336" s="18">
        <f t="shared" ca="1" si="104"/>
        <v>54455</v>
      </c>
      <c r="C336" s="9">
        <f t="shared" si="117"/>
        <v>332</v>
      </c>
      <c r="D336" s="9"/>
      <c r="E336" s="13">
        <f t="shared" si="105"/>
        <v>2000</v>
      </c>
      <c r="F336" s="14">
        <f t="shared" si="106"/>
        <v>714000</v>
      </c>
      <c r="G336" s="15">
        <f t="shared" si="107"/>
        <v>0.26076634122172843</v>
      </c>
      <c r="H336" s="13">
        <f t="shared" si="108"/>
        <v>17397.464773429838</v>
      </c>
      <c r="I336" s="13">
        <f t="shared" si="109"/>
        <v>2009373.7402933084</v>
      </c>
      <c r="J336" s="15">
        <f t="shared" si="101"/>
        <v>0.73923365877827152</v>
      </c>
      <c r="K336" s="13">
        <f t="shared" si="110"/>
        <v>2024083.4376660949</v>
      </c>
      <c r="L336" s="13">
        <f t="shared" si="118"/>
        <v>189460379.57555872</v>
      </c>
      <c r="M336" s="15">
        <f t="shared" si="111"/>
        <v>0.73923365877827163</v>
      </c>
      <c r="N336" s="13">
        <f t="shared" si="102"/>
        <v>0</v>
      </c>
      <c r="O336" s="13">
        <f t="shared" si="112"/>
        <v>-14709.697372785304</v>
      </c>
      <c r="P336" s="15">
        <f t="shared" si="103"/>
        <v>-5.4012775239585947E-3</v>
      </c>
      <c r="Q336" s="7">
        <f t="shared" si="113"/>
        <v>2723373.7402933096</v>
      </c>
      <c r="R336" s="7">
        <f t="shared" si="114"/>
        <v>2738083.4376660949</v>
      </c>
      <c r="S336" s="13">
        <f>IF('BANCO DE DADOS'!$AD$32="Sim",R336,Q336)</f>
        <v>2738083.4376660949</v>
      </c>
      <c r="T336" s="9">
        <f t="shared" si="115"/>
        <v>332</v>
      </c>
      <c r="U336" s="18">
        <f t="shared" ca="1" si="116"/>
        <v>54483</v>
      </c>
      <c r="V336" s="24"/>
      <c r="W336" s="24"/>
      <c r="X336" s="24"/>
    </row>
    <row r="337" spans="2:24" x14ac:dyDescent="0.2">
      <c r="B337" s="18">
        <f t="shared" ca="1" si="104"/>
        <v>54483</v>
      </c>
      <c r="C337" s="9">
        <f t="shared" si="117"/>
        <v>333</v>
      </c>
      <c r="D337" s="9"/>
      <c r="E337" s="13">
        <f t="shared" si="105"/>
        <v>2000</v>
      </c>
      <c r="F337" s="14">
        <f t="shared" si="106"/>
        <v>716000</v>
      </c>
      <c r="G337" s="15">
        <f t="shared" si="107"/>
        <v>0.25963540936168827</v>
      </c>
      <c r="H337" s="13">
        <f t="shared" si="108"/>
        <v>17522.268645839817</v>
      </c>
      <c r="I337" s="13">
        <f t="shared" si="109"/>
        <v>2026896.0089391482</v>
      </c>
      <c r="J337" s="15">
        <f t="shared" si="101"/>
        <v>0.74036459063831173</v>
      </c>
      <c r="K337" s="13">
        <f t="shared" si="110"/>
        <v>2041713.2170079602</v>
      </c>
      <c r="L337" s="13">
        <f t="shared" si="118"/>
        <v>191502092.79256669</v>
      </c>
      <c r="M337" s="15">
        <f t="shared" si="111"/>
        <v>0.74036459063831173</v>
      </c>
      <c r="N337" s="13">
        <f t="shared" si="102"/>
        <v>0</v>
      </c>
      <c r="O337" s="13">
        <f t="shared" si="112"/>
        <v>-14817.208068810869</v>
      </c>
      <c r="P337" s="15">
        <f t="shared" si="103"/>
        <v>-5.4020305620487655E-3</v>
      </c>
      <c r="Q337" s="7">
        <f t="shared" si="113"/>
        <v>2742896.0089391493</v>
      </c>
      <c r="R337" s="7">
        <f t="shared" si="114"/>
        <v>2757713.2170079602</v>
      </c>
      <c r="S337" s="13">
        <f>IF('BANCO DE DADOS'!$AD$32="Sim",R337,Q337)</f>
        <v>2757713.2170079602</v>
      </c>
      <c r="T337" s="9">
        <f t="shared" si="115"/>
        <v>333</v>
      </c>
      <c r="U337" s="18">
        <f t="shared" ca="1" si="116"/>
        <v>54514</v>
      </c>
      <c r="V337" s="24"/>
      <c r="W337" s="24"/>
      <c r="X337" s="24"/>
    </row>
    <row r="338" spans="2:24" x14ac:dyDescent="0.2">
      <c r="B338" s="18">
        <f t="shared" ca="1" si="104"/>
        <v>54514</v>
      </c>
      <c r="C338" s="9">
        <f t="shared" si="117"/>
        <v>334</v>
      </c>
      <c r="D338" s="9"/>
      <c r="E338" s="13">
        <f t="shared" si="105"/>
        <v>2000</v>
      </c>
      <c r="F338" s="14">
        <f t="shared" si="106"/>
        <v>718000</v>
      </c>
      <c r="G338" s="15">
        <f t="shared" si="107"/>
        <v>0.25850870837987416</v>
      </c>
      <c r="H338" s="13">
        <f t="shared" si="108"/>
        <v>17647.875510122725</v>
      </c>
      <c r="I338" s="13">
        <f t="shared" si="109"/>
        <v>2044543.8844492708</v>
      </c>
      <c r="J338" s="15">
        <f t="shared" si="101"/>
        <v>0.74149129162012584</v>
      </c>
      <c r="K338" s="13">
        <f t="shared" si="110"/>
        <v>2059469.2949411636</v>
      </c>
      <c r="L338" s="13">
        <f t="shared" si="118"/>
        <v>193561562.08750784</v>
      </c>
      <c r="M338" s="15">
        <f t="shared" si="111"/>
        <v>0.74149129162012584</v>
      </c>
      <c r="N338" s="13">
        <f t="shared" si="102"/>
        <v>0</v>
      </c>
      <c r="O338" s="13">
        <f t="shared" si="112"/>
        <v>-14925.410491891671</v>
      </c>
      <c r="P338" s="15">
        <f t="shared" si="103"/>
        <v>-5.4027776991738656E-3</v>
      </c>
      <c r="Q338" s="7">
        <f t="shared" si="113"/>
        <v>2762543.884449272</v>
      </c>
      <c r="R338" s="7">
        <f t="shared" si="114"/>
        <v>2777469.2949411636</v>
      </c>
      <c r="S338" s="13">
        <f>IF('BANCO DE DADOS'!$AD$32="Sim",R338,Q338)</f>
        <v>2777469.2949411636</v>
      </c>
      <c r="T338" s="9">
        <f t="shared" si="115"/>
        <v>334</v>
      </c>
      <c r="U338" s="18">
        <f t="shared" ca="1" si="116"/>
        <v>54544</v>
      </c>
      <c r="V338" s="24"/>
      <c r="W338" s="24"/>
      <c r="X338" s="24"/>
    </row>
    <row r="339" spans="2:24" x14ac:dyDescent="0.2">
      <c r="B339" s="18">
        <f t="shared" ca="1" si="104"/>
        <v>54544</v>
      </c>
      <c r="C339" s="9">
        <f t="shared" si="117"/>
        <v>335</v>
      </c>
      <c r="D339" s="9"/>
      <c r="E339" s="13">
        <f t="shared" si="105"/>
        <v>2000</v>
      </c>
      <c r="F339" s="14">
        <f t="shared" si="106"/>
        <v>720000</v>
      </c>
      <c r="G339" s="15">
        <f t="shared" si="107"/>
        <v>0.25738622647627246</v>
      </c>
      <c r="H339" s="13">
        <f t="shared" si="108"/>
        <v>17774.290532752453</v>
      </c>
      <c r="I339" s="13">
        <f t="shared" si="109"/>
        <v>2062318.1749820232</v>
      </c>
      <c r="J339" s="15">
        <f t="shared" si="101"/>
        <v>0.74261377352372748</v>
      </c>
      <c r="K339" s="13">
        <f t="shared" si="110"/>
        <v>2077352.4840746452</v>
      </c>
      <c r="L339" s="13">
        <f t="shared" si="118"/>
        <v>195638914.5715825</v>
      </c>
      <c r="M339" s="15">
        <f t="shared" si="111"/>
        <v>0.74261377352372748</v>
      </c>
      <c r="N339" s="13">
        <f t="shared" si="102"/>
        <v>0</v>
      </c>
      <c r="O339" s="13">
        <f t="shared" si="112"/>
        <v>-15034.309092620853</v>
      </c>
      <c r="P339" s="15">
        <f t="shared" si="103"/>
        <v>-5.4035189892392465E-3</v>
      </c>
      <c r="Q339" s="7">
        <f t="shared" si="113"/>
        <v>2782318.1749820244</v>
      </c>
      <c r="R339" s="7">
        <f t="shared" si="114"/>
        <v>2797352.4840746452</v>
      </c>
      <c r="S339" s="13">
        <f>IF('BANCO DE DADOS'!$AD$32="Sim",R339,Q339)</f>
        <v>2797352.4840746452</v>
      </c>
      <c r="T339" s="9">
        <f t="shared" si="115"/>
        <v>335</v>
      </c>
      <c r="U339" s="18">
        <f t="shared" ca="1" si="116"/>
        <v>54575</v>
      </c>
      <c r="V339" s="24"/>
      <c r="W339" s="24"/>
      <c r="X339" s="24"/>
    </row>
    <row r="340" spans="2:24" x14ac:dyDescent="0.2">
      <c r="B340" s="18">
        <f t="shared" ca="1" si="104"/>
        <v>54575</v>
      </c>
      <c r="C340" s="9">
        <f t="shared" si="117"/>
        <v>336</v>
      </c>
      <c r="D340" s="9">
        <v>28</v>
      </c>
      <c r="E340" s="13">
        <f t="shared" si="105"/>
        <v>2000</v>
      </c>
      <c r="F340" s="14">
        <f t="shared" si="106"/>
        <v>722000</v>
      </c>
      <c r="G340" s="15">
        <f t="shared" si="107"/>
        <v>0.25626795186269197</v>
      </c>
      <c r="H340" s="13">
        <f t="shared" si="108"/>
        <v>17901.518913444139</v>
      </c>
      <c r="I340" s="13">
        <f t="shared" si="109"/>
        <v>2080219.6938954673</v>
      </c>
      <c r="J340" s="15">
        <f t="shared" si="101"/>
        <v>0.74373204813730798</v>
      </c>
      <c r="K340" s="13">
        <f t="shared" si="110"/>
        <v>2095363.6022456945</v>
      </c>
      <c r="L340" s="13">
        <f t="shared" si="118"/>
        <v>197734278.17382818</v>
      </c>
      <c r="M340" s="15">
        <f t="shared" si="111"/>
        <v>0.74373204813730809</v>
      </c>
      <c r="N340" s="13">
        <f t="shared" si="102"/>
        <v>0</v>
      </c>
      <c r="O340" s="13">
        <f t="shared" si="112"/>
        <v>-15143.908350226004</v>
      </c>
      <c r="P340" s="15">
        <f t="shared" si="103"/>
        <v>-5.4042544855481692E-3</v>
      </c>
      <c r="Q340" s="7">
        <f t="shared" si="113"/>
        <v>2802219.6938954685</v>
      </c>
      <c r="R340" s="7">
        <f t="shared" si="114"/>
        <v>2817363.6022456945</v>
      </c>
      <c r="S340" s="13">
        <f>IF('BANCO DE DADOS'!$AD$32="Sim",R340,Q340)</f>
        <v>2817363.6022456945</v>
      </c>
      <c r="T340" s="9">
        <f t="shared" si="115"/>
        <v>336</v>
      </c>
      <c r="U340" s="18">
        <f t="shared" ca="1" si="116"/>
        <v>54605</v>
      </c>
      <c r="V340" s="24"/>
      <c r="W340" s="24"/>
      <c r="X340" s="24"/>
    </row>
    <row r="341" spans="2:24" x14ac:dyDescent="0.2">
      <c r="B341" s="18">
        <f t="shared" ca="1" si="104"/>
        <v>54605</v>
      </c>
      <c r="C341" s="9">
        <f t="shared" si="117"/>
        <v>337</v>
      </c>
      <c r="D341" s="9"/>
      <c r="E341" s="13">
        <f t="shared" si="105"/>
        <v>2000</v>
      </c>
      <c r="F341" s="14">
        <f t="shared" si="106"/>
        <v>724000</v>
      </c>
      <c r="G341" s="15">
        <f t="shared" si="107"/>
        <v>0.25515387276282037</v>
      </c>
      <c r="H341" s="13">
        <f t="shared" si="108"/>
        <v>18029.56588536804</v>
      </c>
      <c r="I341" s="13">
        <f t="shared" si="109"/>
        <v>2098249.2597808354</v>
      </c>
      <c r="J341" s="15">
        <f t="shared" si="101"/>
        <v>0.74484612723717958</v>
      </c>
      <c r="K341" s="13">
        <f t="shared" si="110"/>
        <v>2113503.4725535912</v>
      </c>
      <c r="L341" s="13">
        <f t="shared" si="118"/>
        <v>199847781.64638177</v>
      </c>
      <c r="M341" s="15">
        <f t="shared" si="111"/>
        <v>0.74484612723717958</v>
      </c>
      <c r="N341" s="13">
        <f t="shared" si="102"/>
        <v>0</v>
      </c>
      <c r="O341" s="13">
        <f t="shared" si="112"/>
        <v>-15254.212772754487</v>
      </c>
      <c r="P341" s="15">
        <f t="shared" si="103"/>
        <v>-5.4049842408104877E-3</v>
      </c>
      <c r="Q341" s="7">
        <f t="shared" si="113"/>
        <v>2822249.2597808368</v>
      </c>
      <c r="R341" s="7">
        <f t="shared" si="114"/>
        <v>2837503.4725535912</v>
      </c>
      <c r="S341" s="13">
        <f>IF('BANCO DE DADOS'!$AD$32="Sim",R341,Q341)</f>
        <v>2837503.4725535912</v>
      </c>
      <c r="T341" s="9">
        <f t="shared" si="115"/>
        <v>337</v>
      </c>
      <c r="U341" s="18">
        <f t="shared" ca="1" si="116"/>
        <v>54636</v>
      </c>
      <c r="V341" s="24"/>
      <c r="W341" s="24"/>
      <c r="X341" s="24"/>
    </row>
    <row r="342" spans="2:24" x14ac:dyDescent="0.2">
      <c r="B342" s="18">
        <f t="shared" ca="1" si="104"/>
        <v>54636</v>
      </c>
      <c r="C342" s="9">
        <f t="shared" si="117"/>
        <v>338</v>
      </c>
      <c r="D342" s="9"/>
      <c r="E342" s="13">
        <f t="shared" si="105"/>
        <v>2000</v>
      </c>
      <c r="F342" s="14">
        <f t="shared" si="106"/>
        <v>726000</v>
      </c>
      <c r="G342" s="15">
        <f t="shared" si="107"/>
        <v>0.25404397741228224</v>
      </c>
      <c r="H342" s="13">
        <f t="shared" si="108"/>
        <v>18158.436715364798</v>
      </c>
      <c r="I342" s="13">
        <f t="shared" si="109"/>
        <v>2116407.6964962003</v>
      </c>
      <c r="J342" s="15">
        <f t="shared" si="101"/>
        <v>0.74595602258771776</v>
      </c>
      <c r="K342" s="13">
        <f t="shared" si="110"/>
        <v>2131772.9233934605</v>
      </c>
      <c r="L342" s="13">
        <f t="shared" si="118"/>
        <v>201979554.56977522</v>
      </c>
      <c r="M342" s="15">
        <f t="shared" si="111"/>
        <v>0.74595602258771776</v>
      </c>
      <c r="N342" s="13">
        <f t="shared" si="102"/>
        <v>0</v>
      </c>
      <c r="O342" s="13">
        <f t="shared" si="112"/>
        <v>-15365.226897258777</v>
      </c>
      <c r="P342" s="15">
        <f t="shared" si="103"/>
        <v>-5.4057083071507609E-3</v>
      </c>
      <c r="Q342" s="7">
        <f t="shared" si="113"/>
        <v>2842407.6964962017</v>
      </c>
      <c r="R342" s="7">
        <f t="shared" si="114"/>
        <v>2857772.9233934605</v>
      </c>
      <c r="S342" s="13">
        <f>IF('BANCO DE DADOS'!$AD$32="Sim",R342,Q342)</f>
        <v>2857772.9233934605</v>
      </c>
      <c r="T342" s="9">
        <f t="shared" si="115"/>
        <v>338</v>
      </c>
      <c r="U342" s="18">
        <f t="shared" ca="1" si="116"/>
        <v>54667</v>
      </c>
      <c r="V342" s="24"/>
      <c r="W342" s="24"/>
      <c r="X342" s="24"/>
    </row>
    <row r="343" spans="2:24" x14ac:dyDescent="0.2">
      <c r="B343" s="18">
        <f t="shared" ca="1" si="104"/>
        <v>54667</v>
      </c>
      <c r="C343" s="9">
        <f t="shared" si="117"/>
        <v>339</v>
      </c>
      <c r="D343" s="9"/>
      <c r="E343" s="13">
        <f t="shared" si="105"/>
        <v>2000</v>
      </c>
      <c r="F343" s="14">
        <f t="shared" si="106"/>
        <v>728000</v>
      </c>
      <c r="G343" s="15">
        <f t="shared" si="107"/>
        <v>0.25293825405869713</v>
      </c>
      <c r="H343" s="13">
        <f t="shared" si="108"/>
        <v>18288.136704162054</v>
      </c>
      <c r="I343" s="13">
        <f t="shared" si="109"/>
        <v>2134695.8332003625</v>
      </c>
      <c r="J343" s="15">
        <f t="shared" si="101"/>
        <v>0.74706174594130292</v>
      </c>
      <c r="K343" s="13">
        <f t="shared" si="110"/>
        <v>2150172.7884903466</v>
      </c>
      <c r="L343" s="13">
        <f t="shared" si="118"/>
        <v>204129727.35826558</v>
      </c>
      <c r="M343" s="15">
        <f t="shared" si="111"/>
        <v>0.74706174594130292</v>
      </c>
      <c r="N343" s="13">
        <f t="shared" si="102"/>
        <v>0</v>
      </c>
      <c r="O343" s="13">
        <f t="shared" si="112"/>
        <v>-15476.955289982725</v>
      </c>
      <c r="P343" s="15">
        <f t="shared" si="103"/>
        <v>-5.4064267361161426E-3</v>
      </c>
      <c r="Q343" s="7">
        <f t="shared" si="113"/>
        <v>2862695.8332003639</v>
      </c>
      <c r="R343" s="7">
        <f t="shared" si="114"/>
        <v>2878172.7884903466</v>
      </c>
      <c r="S343" s="13">
        <f>IF('BANCO DE DADOS'!$AD$32="Sim",R343,Q343)</f>
        <v>2878172.7884903466</v>
      </c>
      <c r="T343" s="9">
        <f t="shared" si="115"/>
        <v>339</v>
      </c>
      <c r="U343" s="18">
        <f t="shared" ca="1" si="116"/>
        <v>54697</v>
      </c>
      <c r="V343" s="24"/>
      <c r="W343" s="24"/>
      <c r="X343" s="24"/>
    </row>
    <row r="344" spans="2:24" x14ac:dyDescent="0.2">
      <c r="B344" s="18">
        <f t="shared" ca="1" si="104"/>
        <v>54697</v>
      </c>
      <c r="C344" s="9">
        <f t="shared" si="117"/>
        <v>340</v>
      </c>
      <c r="D344" s="9"/>
      <c r="E344" s="13">
        <f t="shared" si="105"/>
        <v>2000</v>
      </c>
      <c r="F344" s="14">
        <f t="shared" si="106"/>
        <v>730000</v>
      </c>
      <c r="G344" s="15">
        <f t="shared" si="107"/>
        <v>0.25183669096173944</v>
      </c>
      <c r="H344" s="13">
        <f t="shared" si="108"/>
        <v>18418.671186592499</v>
      </c>
      <c r="I344" s="13">
        <f t="shared" si="109"/>
        <v>2153114.5043869549</v>
      </c>
      <c r="J344" s="15">
        <f t="shared" si="101"/>
        <v>0.74816330903826056</v>
      </c>
      <c r="K344" s="13">
        <f t="shared" si="110"/>
        <v>2168703.906933506</v>
      </c>
      <c r="L344" s="13">
        <f t="shared" si="118"/>
        <v>206298431.2651991</v>
      </c>
      <c r="M344" s="15">
        <f t="shared" si="111"/>
        <v>0.74816330903826056</v>
      </c>
      <c r="N344" s="13">
        <f t="shared" si="102"/>
        <v>0</v>
      </c>
      <c r="O344" s="13">
        <f t="shared" si="112"/>
        <v>-15589.402546549682</v>
      </c>
      <c r="P344" s="15">
        <f t="shared" si="103"/>
        <v>-5.4071395786843696E-3</v>
      </c>
      <c r="Q344" s="7">
        <f t="shared" si="113"/>
        <v>2883114.5043869563</v>
      </c>
      <c r="R344" s="7">
        <f t="shared" si="114"/>
        <v>2898703.906933506</v>
      </c>
      <c r="S344" s="13">
        <f>IF('BANCO DE DADOS'!$AD$32="Sim",R344,Q344)</f>
        <v>2898703.906933506</v>
      </c>
      <c r="T344" s="9">
        <f t="shared" si="115"/>
        <v>340</v>
      </c>
      <c r="U344" s="18">
        <f t="shared" ca="1" si="116"/>
        <v>54728</v>
      </c>
      <c r="V344" s="24"/>
      <c r="W344" s="24"/>
      <c r="X344" s="24"/>
    </row>
    <row r="345" spans="2:24" x14ac:dyDescent="0.2">
      <c r="B345" s="18">
        <f t="shared" ca="1" si="104"/>
        <v>54728</v>
      </c>
      <c r="C345" s="9">
        <f t="shared" si="117"/>
        <v>341</v>
      </c>
      <c r="D345" s="9"/>
      <c r="E345" s="13">
        <f t="shared" si="105"/>
        <v>2000</v>
      </c>
      <c r="F345" s="14">
        <f t="shared" si="106"/>
        <v>732000</v>
      </c>
      <c r="G345" s="15">
        <f t="shared" si="107"/>
        <v>0.25073927639319854</v>
      </c>
      <c r="H345" s="13">
        <f t="shared" si="108"/>
        <v>18550.045531813295</v>
      </c>
      <c r="I345" s="13">
        <f t="shared" si="109"/>
        <v>2171664.5499187685</v>
      </c>
      <c r="J345" s="15">
        <f t="shared" si="101"/>
        <v>0.7492607236068014</v>
      </c>
      <c r="K345" s="13">
        <f t="shared" si="110"/>
        <v>2187367.123210921</v>
      </c>
      <c r="L345" s="13">
        <f t="shared" si="118"/>
        <v>208485798.38841</v>
      </c>
      <c r="M345" s="15">
        <f t="shared" si="111"/>
        <v>0.74926072360680152</v>
      </c>
      <c r="N345" s="13">
        <f t="shared" si="102"/>
        <v>0</v>
      </c>
      <c r="O345" s="13">
        <f t="shared" si="112"/>
        <v>-15702.573292151093</v>
      </c>
      <c r="P345" s="15">
        <f t="shared" si="103"/>
        <v>-5.4078468852713632E-3</v>
      </c>
      <c r="Q345" s="7">
        <f t="shared" si="113"/>
        <v>2903664.5499187699</v>
      </c>
      <c r="R345" s="7">
        <f t="shared" si="114"/>
        <v>2919367.123210921</v>
      </c>
      <c r="S345" s="13">
        <f>IF('BANCO DE DADOS'!$AD$32="Sim",R345,Q345)</f>
        <v>2919367.123210921</v>
      </c>
      <c r="T345" s="9">
        <f t="shared" si="115"/>
        <v>341</v>
      </c>
      <c r="U345" s="18">
        <f t="shared" ca="1" si="116"/>
        <v>54758</v>
      </c>
      <c r="V345" s="24"/>
      <c r="W345" s="24"/>
      <c r="X345" s="24"/>
    </row>
    <row r="346" spans="2:24" x14ac:dyDescent="0.2">
      <c r="B346" s="18">
        <f t="shared" ca="1" si="104"/>
        <v>54758</v>
      </c>
      <c r="C346" s="9">
        <f t="shared" si="117"/>
        <v>342</v>
      </c>
      <c r="D346" s="9"/>
      <c r="E346" s="13">
        <f t="shared" si="105"/>
        <v>2000</v>
      </c>
      <c r="F346" s="14">
        <f t="shared" si="106"/>
        <v>734000</v>
      </c>
      <c r="G346" s="15">
        <f t="shared" si="107"/>
        <v>0.24964599863704029</v>
      </c>
      <c r="H346" s="13">
        <f t="shared" si="108"/>
        <v>18682.265143526925</v>
      </c>
      <c r="I346" s="13">
        <f t="shared" si="109"/>
        <v>2190346.8150622952</v>
      </c>
      <c r="J346" s="15">
        <f t="shared" si="101"/>
        <v>0.75035400136295971</v>
      </c>
      <c r="K346" s="13">
        <f t="shared" si="110"/>
        <v>2206163.287244034</v>
      </c>
      <c r="L346" s="13">
        <f t="shared" si="118"/>
        <v>210691961.67565402</v>
      </c>
      <c r="M346" s="15">
        <f t="shared" si="111"/>
        <v>0.75035400136295971</v>
      </c>
      <c r="N346" s="13">
        <f t="shared" si="102"/>
        <v>0</v>
      </c>
      <c r="O346" s="13">
        <f t="shared" si="112"/>
        <v>-15816.472181737423</v>
      </c>
      <c r="P346" s="15">
        <f t="shared" si="103"/>
        <v>-5.408548705739093E-3</v>
      </c>
      <c r="Q346" s="7">
        <f t="shared" si="113"/>
        <v>2924346.8150622966</v>
      </c>
      <c r="R346" s="7">
        <f t="shared" si="114"/>
        <v>2940163.287244034</v>
      </c>
      <c r="S346" s="13">
        <f>IF('BANCO DE DADOS'!$AD$32="Sim",R346,Q346)</f>
        <v>2940163.287244034</v>
      </c>
      <c r="T346" s="9">
        <f t="shared" si="115"/>
        <v>342</v>
      </c>
      <c r="U346" s="18">
        <f t="shared" ca="1" si="116"/>
        <v>54789</v>
      </c>
      <c r="V346" s="24"/>
      <c r="W346" s="24"/>
      <c r="X346" s="24"/>
    </row>
    <row r="347" spans="2:24" x14ac:dyDescent="0.2">
      <c r="B347" s="18">
        <f t="shared" ca="1" si="104"/>
        <v>54789</v>
      </c>
      <c r="C347" s="9">
        <f t="shared" si="117"/>
        <v>343</v>
      </c>
      <c r="D347" s="9"/>
      <c r="E347" s="13">
        <f t="shared" si="105"/>
        <v>2000</v>
      </c>
      <c r="F347" s="14">
        <f t="shared" si="106"/>
        <v>736000</v>
      </c>
      <c r="G347" s="15">
        <f t="shared" si="107"/>
        <v>0.24855684598946873</v>
      </c>
      <c r="H347" s="13">
        <f t="shared" si="108"/>
        <v>18815.335460203449</v>
      </c>
      <c r="I347" s="13">
        <f t="shared" si="109"/>
        <v>2209162.1505224984</v>
      </c>
      <c r="J347" s="15">
        <f t="shared" si="101"/>
        <v>0.7514431540105313</v>
      </c>
      <c r="K347" s="13">
        <f t="shared" si="110"/>
        <v>2225093.2544227089</v>
      </c>
      <c r="L347" s="13">
        <f t="shared" si="118"/>
        <v>212917054.93007672</v>
      </c>
      <c r="M347" s="15">
        <f t="shared" si="111"/>
        <v>0.7514431540105313</v>
      </c>
      <c r="N347" s="13">
        <f t="shared" si="102"/>
        <v>0</v>
      </c>
      <c r="O347" s="13">
        <f t="shared" si="112"/>
        <v>-15931.103900209069</v>
      </c>
      <c r="P347" s="15">
        <f t="shared" si="103"/>
        <v>-5.4092450894028836E-3</v>
      </c>
      <c r="Q347" s="7">
        <f t="shared" si="113"/>
        <v>2945162.1505224998</v>
      </c>
      <c r="R347" s="7">
        <f t="shared" si="114"/>
        <v>2961093.2544227089</v>
      </c>
      <c r="S347" s="13">
        <f>IF('BANCO DE DADOS'!$AD$32="Sim",R347,Q347)</f>
        <v>2961093.2544227089</v>
      </c>
      <c r="T347" s="9">
        <f t="shared" si="115"/>
        <v>343</v>
      </c>
      <c r="U347" s="18">
        <f t="shared" ca="1" si="116"/>
        <v>54820</v>
      </c>
      <c r="V347" s="24"/>
      <c r="W347" s="24"/>
      <c r="X347" s="24"/>
    </row>
    <row r="348" spans="2:24" x14ac:dyDescent="0.2">
      <c r="B348" s="18">
        <f t="shared" ca="1" si="104"/>
        <v>54820</v>
      </c>
      <c r="C348" s="9">
        <f t="shared" si="117"/>
        <v>344</v>
      </c>
      <c r="D348" s="9"/>
      <c r="E348" s="13">
        <f t="shared" si="105"/>
        <v>2000</v>
      </c>
      <c r="F348" s="14">
        <f t="shared" si="106"/>
        <v>738000</v>
      </c>
      <c r="G348" s="15">
        <f t="shared" si="107"/>
        <v>0.24747180675898919</v>
      </c>
      <c r="H348" s="13">
        <f t="shared" si="108"/>
        <v>18949.26195530422</v>
      </c>
      <c r="I348" s="13">
        <f t="shared" si="109"/>
        <v>2228111.4124778025</v>
      </c>
      <c r="J348" s="15">
        <f t="shared" si="101"/>
        <v>0.75252819324101083</v>
      </c>
      <c r="K348" s="13">
        <f t="shared" si="110"/>
        <v>2244157.8856404126</v>
      </c>
      <c r="L348" s="13">
        <f t="shared" si="118"/>
        <v>215161212.81571713</v>
      </c>
      <c r="M348" s="15">
        <f t="shared" si="111"/>
        <v>0.75252819324101083</v>
      </c>
      <c r="N348" s="13">
        <f t="shared" si="102"/>
        <v>0</v>
      </c>
      <c r="O348" s="13">
        <f t="shared" si="112"/>
        <v>-16046.473162608687</v>
      </c>
      <c r="P348" s="15">
        <f t="shared" si="103"/>
        <v>-5.4099360850386686E-3</v>
      </c>
      <c r="Q348" s="7">
        <f t="shared" si="113"/>
        <v>2966111.4124778039</v>
      </c>
      <c r="R348" s="7">
        <f t="shared" si="114"/>
        <v>2982157.8856404126</v>
      </c>
      <c r="S348" s="13">
        <f>IF('BANCO DE DADOS'!$AD$32="Sim",R348,Q348)</f>
        <v>2982157.8856404126</v>
      </c>
      <c r="T348" s="9">
        <f t="shared" si="115"/>
        <v>344</v>
      </c>
      <c r="U348" s="18">
        <f t="shared" ca="1" si="116"/>
        <v>54848</v>
      </c>
      <c r="V348" s="24"/>
      <c r="W348" s="24"/>
      <c r="X348" s="24"/>
    </row>
    <row r="349" spans="2:24" x14ac:dyDescent="0.2">
      <c r="B349" s="18">
        <f t="shared" ca="1" si="104"/>
        <v>54848</v>
      </c>
      <c r="C349" s="9">
        <f t="shared" si="117"/>
        <v>345</v>
      </c>
      <c r="D349" s="9"/>
      <c r="E349" s="13">
        <f t="shared" si="105"/>
        <v>2000</v>
      </c>
      <c r="F349" s="14">
        <f t="shared" si="106"/>
        <v>740000</v>
      </c>
      <c r="G349" s="15">
        <f t="shared" si="107"/>
        <v>0.24639086926647175</v>
      </c>
      <c r="H349" s="13">
        <f t="shared" si="108"/>
        <v>19084.050137506994</v>
      </c>
      <c r="I349" s="13">
        <f t="shared" si="109"/>
        <v>2247195.4626153093</v>
      </c>
      <c r="J349" s="15">
        <f t="shared" si="101"/>
        <v>0.7536091307335282</v>
      </c>
      <c r="K349" s="13">
        <f t="shared" si="110"/>
        <v>2263358.047329627</v>
      </c>
      <c r="L349" s="13">
        <f t="shared" si="118"/>
        <v>217424570.86304677</v>
      </c>
      <c r="M349" s="15">
        <f t="shared" si="111"/>
        <v>0.7536091307335282</v>
      </c>
      <c r="N349" s="13">
        <f t="shared" si="102"/>
        <v>0</v>
      </c>
      <c r="O349" s="13">
        <f t="shared" si="112"/>
        <v>-16162.584714316297</v>
      </c>
      <c r="P349" s="15">
        <f t="shared" si="103"/>
        <v>-5.4106217408906483E-3</v>
      </c>
      <c r="Q349" s="7">
        <f t="shared" si="113"/>
        <v>2987195.4626153107</v>
      </c>
      <c r="R349" s="7">
        <f t="shared" si="114"/>
        <v>3003358.047329627</v>
      </c>
      <c r="S349" s="13">
        <f>IF('BANCO DE DADOS'!$AD$32="Sim",R349,Q349)</f>
        <v>3003358.047329627</v>
      </c>
      <c r="T349" s="9">
        <f t="shared" si="115"/>
        <v>345</v>
      </c>
      <c r="U349" s="18">
        <f t="shared" ca="1" si="116"/>
        <v>54879</v>
      </c>
      <c r="V349" s="24"/>
      <c r="W349" s="24"/>
      <c r="X349" s="24"/>
    </row>
    <row r="350" spans="2:24" x14ac:dyDescent="0.2">
      <c r="B350" s="18">
        <f t="shared" ca="1" si="104"/>
        <v>54879</v>
      </c>
      <c r="C350" s="9">
        <f t="shared" si="117"/>
        <v>346</v>
      </c>
      <c r="D350" s="9"/>
      <c r="E350" s="13">
        <f t="shared" si="105"/>
        <v>2000</v>
      </c>
      <c r="F350" s="14">
        <f t="shared" si="106"/>
        <v>742000</v>
      </c>
      <c r="G350" s="15">
        <f t="shared" si="107"/>
        <v>0.24531402184521545</v>
      </c>
      <c r="H350" s="13">
        <f t="shared" si="108"/>
        <v>19219.705550932536</v>
      </c>
      <c r="I350" s="13">
        <f t="shared" si="109"/>
        <v>2266415.1681662416</v>
      </c>
      <c r="J350" s="15">
        <f t="shared" si="101"/>
        <v>0.75468597815478455</v>
      </c>
      <c r="K350" s="13">
        <f t="shared" si="110"/>
        <v>2282694.6114974869</v>
      </c>
      <c r="L350" s="13">
        <f t="shared" si="118"/>
        <v>219707265.47454426</v>
      </c>
      <c r="M350" s="15">
        <f t="shared" si="111"/>
        <v>0.75468597815478455</v>
      </c>
      <c r="N350" s="13">
        <f t="shared" si="102"/>
        <v>0</v>
      </c>
      <c r="O350" s="13">
        <f t="shared" si="112"/>
        <v>-16279.443331243936</v>
      </c>
      <c r="P350" s="15">
        <f t="shared" si="103"/>
        <v>-5.4113021046782415E-3</v>
      </c>
      <c r="Q350" s="7">
        <f t="shared" si="113"/>
        <v>3008415.168166243</v>
      </c>
      <c r="R350" s="7">
        <f t="shared" si="114"/>
        <v>3024694.6114974869</v>
      </c>
      <c r="S350" s="13">
        <f>IF('BANCO DE DADOS'!$AD$32="Sim",R350,Q350)</f>
        <v>3024694.6114974869</v>
      </c>
      <c r="T350" s="9">
        <f t="shared" si="115"/>
        <v>346</v>
      </c>
      <c r="U350" s="18">
        <f t="shared" ca="1" si="116"/>
        <v>54909</v>
      </c>
      <c r="V350" s="24"/>
      <c r="W350" s="24"/>
      <c r="X350" s="24"/>
    </row>
    <row r="351" spans="2:24" x14ac:dyDescent="0.2">
      <c r="B351" s="18">
        <f t="shared" ca="1" si="104"/>
        <v>54909</v>
      </c>
      <c r="C351" s="9">
        <f t="shared" si="117"/>
        <v>347</v>
      </c>
      <c r="D351" s="9"/>
      <c r="E351" s="13">
        <f t="shared" si="105"/>
        <v>2000</v>
      </c>
      <c r="F351" s="14">
        <f t="shared" si="106"/>
        <v>744000</v>
      </c>
      <c r="G351" s="15">
        <f t="shared" si="107"/>
        <v>0.2442412528410135</v>
      </c>
      <c r="H351" s="13">
        <f t="shared" si="108"/>
        <v>19356.233775372642</v>
      </c>
      <c r="I351" s="13">
        <f t="shared" si="109"/>
        <v>2285771.4019416142</v>
      </c>
      <c r="J351" s="15">
        <f t="shared" si="101"/>
        <v>0.7557587471589865</v>
      </c>
      <c r="K351" s="13">
        <f t="shared" si="110"/>
        <v>2302168.4557616469</v>
      </c>
      <c r="L351" s="13">
        <f t="shared" si="118"/>
        <v>222009433.9303059</v>
      </c>
      <c r="M351" s="15">
        <f t="shared" si="111"/>
        <v>0.7557587471589865</v>
      </c>
      <c r="N351" s="13">
        <f t="shared" si="102"/>
        <v>0</v>
      </c>
      <c r="O351" s="13">
        <f t="shared" si="112"/>
        <v>-16397.053820031229</v>
      </c>
      <c r="P351" s="15">
        <f t="shared" si="103"/>
        <v>-5.4119772236028265E-3</v>
      </c>
      <c r="Q351" s="7">
        <f t="shared" si="113"/>
        <v>3029771.4019416156</v>
      </c>
      <c r="R351" s="7">
        <f t="shared" si="114"/>
        <v>3046168.4557616469</v>
      </c>
      <c r="S351" s="13">
        <f>IF('BANCO DE DADOS'!$AD$32="Sim",R351,Q351)</f>
        <v>3046168.4557616469</v>
      </c>
      <c r="T351" s="9">
        <f t="shared" si="115"/>
        <v>347</v>
      </c>
      <c r="U351" s="18">
        <f t="shared" ca="1" si="116"/>
        <v>54940</v>
      </c>
      <c r="V351" s="24"/>
      <c r="W351" s="24"/>
      <c r="X351" s="24"/>
    </row>
    <row r="352" spans="2:24" x14ac:dyDescent="0.2">
      <c r="B352" s="18">
        <f t="shared" ca="1" si="104"/>
        <v>54940</v>
      </c>
      <c r="C352" s="9">
        <f t="shared" si="117"/>
        <v>348</v>
      </c>
      <c r="D352" s="9">
        <v>29</v>
      </c>
      <c r="E352" s="13">
        <f t="shared" si="105"/>
        <v>2000</v>
      </c>
      <c r="F352" s="14">
        <f t="shared" si="106"/>
        <v>746000</v>
      </c>
      <c r="G352" s="15">
        <f t="shared" si="107"/>
        <v>0.24317255061221862</v>
      </c>
      <c r="H352" s="13">
        <f t="shared" si="108"/>
        <v>19493.640426519662</v>
      </c>
      <c r="I352" s="13">
        <f t="shared" si="109"/>
        <v>2305265.042368134</v>
      </c>
      <c r="J352" s="15">
        <f t="shared" si="101"/>
        <v>0.75682744938778135</v>
      </c>
      <c r="K352" s="13">
        <f t="shared" si="110"/>
        <v>2321780.4633863801</v>
      </c>
      <c r="L352" s="13">
        <f t="shared" si="118"/>
        <v>224331214.39369228</v>
      </c>
      <c r="M352" s="15">
        <f t="shared" si="111"/>
        <v>0.75682744938778135</v>
      </c>
      <c r="N352" s="13">
        <f t="shared" si="102"/>
        <v>0</v>
      </c>
      <c r="O352" s="13">
        <f t="shared" si="112"/>
        <v>-16515.421018244699</v>
      </c>
      <c r="P352" s="15">
        <f t="shared" si="103"/>
        <v>-5.412647144355188E-3</v>
      </c>
      <c r="Q352" s="7">
        <f t="shared" si="113"/>
        <v>3051265.0423681354</v>
      </c>
      <c r="R352" s="7">
        <f t="shared" si="114"/>
        <v>3067780.4633863801</v>
      </c>
      <c r="S352" s="13">
        <f>IF('BANCO DE DADOS'!$AD$32="Sim",R352,Q352)</f>
        <v>3067780.4633863801</v>
      </c>
      <c r="T352" s="9">
        <f t="shared" si="115"/>
        <v>348</v>
      </c>
      <c r="U352" s="18">
        <f t="shared" ca="1" si="116"/>
        <v>54970</v>
      </c>
      <c r="V352" s="24"/>
      <c r="W352" s="24"/>
      <c r="X352" s="24"/>
    </row>
    <row r="353" spans="2:24" x14ac:dyDescent="0.2">
      <c r="B353" s="18">
        <f t="shared" ca="1" si="104"/>
        <v>54970</v>
      </c>
      <c r="C353" s="9">
        <f t="shared" si="117"/>
        <v>349</v>
      </c>
      <c r="D353" s="9"/>
      <c r="E353" s="13">
        <f t="shared" si="105"/>
        <v>2000</v>
      </c>
      <c r="F353" s="14">
        <f t="shared" si="106"/>
        <v>748000</v>
      </c>
      <c r="G353" s="15">
        <f t="shared" si="107"/>
        <v>0.24210790352980963</v>
      </c>
      <c r="H353" s="13">
        <f t="shared" si="108"/>
        <v>19631.931156197476</v>
      </c>
      <c r="I353" s="13">
        <f t="shared" si="109"/>
        <v>2324896.9735243316</v>
      </c>
      <c r="J353" s="15">
        <f t="shared" si="101"/>
        <v>0.7578920964701904</v>
      </c>
      <c r="K353" s="13">
        <f t="shared" si="110"/>
        <v>2341531.5233189082</v>
      </c>
      <c r="L353" s="13">
        <f t="shared" si="118"/>
        <v>226672745.9170112</v>
      </c>
      <c r="M353" s="15">
        <f t="shared" si="111"/>
        <v>0.7578920964701904</v>
      </c>
      <c r="N353" s="13">
        <f t="shared" si="102"/>
        <v>0</v>
      </c>
      <c r="O353" s="13">
        <f t="shared" si="112"/>
        <v>-16634.549794575199</v>
      </c>
      <c r="P353" s="15">
        <f t="shared" si="103"/>
        <v>-5.4133119131218009E-3</v>
      </c>
      <c r="Q353" s="7">
        <f t="shared" si="113"/>
        <v>3072896.973524333</v>
      </c>
      <c r="R353" s="7">
        <f t="shared" si="114"/>
        <v>3089531.5233189082</v>
      </c>
      <c r="S353" s="13">
        <f>IF('BANCO DE DADOS'!$AD$32="Sim",R353,Q353)</f>
        <v>3089531.5233189082</v>
      </c>
      <c r="T353" s="9">
        <f t="shared" si="115"/>
        <v>349</v>
      </c>
      <c r="U353" s="18">
        <f t="shared" ca="1" si="116"/>
        <v>55001</v>
      </c>
      <c r="V353" s="24"/>
      <c r="W353" s="24"/>
      <c r="X353" s="24"/>
    </row>
    <row r="354" spans="2:24" x14ac:dyDescent="0.2">
      <c r="B354" s="18">
        <f t="shared" ca="1" si="104"/>
        <v>55001</v>
      </c>
      <c r="C354" s="9">
        <f t="shared" si="117"/>
        <v>350</v>
      </c>
      <c r="D354" s="9"/>
      <c r="E354" s="13">
        <f t="shared" si="105"/>
        <v>2000</v>
      </c>
      <c r="F354" s="14">
        <f t="shared" si="106"/>
        <v>750000</v>
      </c>
      <c r="G354" s="15">
        <f t="shared" si="107"/>
        <v>0.24104729997745802</v>
      </c>
      <c r="H354" s="13">
        <f t="shared" si="108"/>
        <v>19771.111652593972</v>
      </c>
      <c r="I354" s="13">
        <f t="shared" si="109"/>
        <v>2344668.0851769256</v>
      </c>
      <c r="J354" s="15">
        <f t="shared" si="101"/>
        <v>0.758952700022542</v>
      </c>
      <c r="K354" s="13">
        <f t="shared" si="110"/>
        <v>2361422.5302259666</v>
      </c>
      <c r="L354" s="13">
        <f t="shared" si="118"/>
        <v>229034168.44723716</v>
      </c>
      <c r="M354" s="15">
        <f t="shared" si="111"/>
        <v>0.758952700022542</v>
      </c>
      <c r="N354" s="13">
        <f t="shared" si="102"/>
        <v>0</v>
      </c>
      <c r="O354" s="13">
        <f t="shared" si="112"/>
        <v>-16754.445049039554</v>
      </c>
      <c r="P354" s="15">
        <f t="shared" si="103"/>
        <v>-5.413971575591983E-3</v>
      </c>
      <c r="Q354" s="7">
        <f t="shared" si="113"/>
        <v>3094668.085176927</v>
      </c>
      <c r="R354" s="7">
        <f t="shared" si="114"/>
        <v>3111422.5302259666</v>
      </c>
      <c r="S354" s="13">
        <f>IF('BANCO DE DADOS'!$AD$32="Sim",R354,Q354)</f>
        <v>3111422.5302259666</v>
      </c>
      <c r="T354" s="9">
        <f t="shared" si="115"/>
        <v>350</v>
      </c>
      <c r="U354" s="18">
        <f t="shared" ca="1" si="116"/>
        <v>55032</v>
      </c>
      <c r="V354" s="24"/>
      <c r="W354" s="24"/>
      <c r="X354" s="24"/>
    </row>
    <row r="355" spans="2:24" x14ac:dyDescent="0.2">
      <c r="B355" s="18">
        <f t="shared" ca="1" si="104"/>
        <v>55032</v>
      </c>
      <c r="C355" s="9">
        <f t="shared" si="117"/>
        <v>351</v>
      </c>
      <c r="D355" s="9"/>
      <c r="E355" s="13">
        <f t="shared" si="105"/>
        <v>2000</v>
      </c>
      <c r="F355" s="14">
        <f t="shared" si="106"/>
        <v>752000</v>
      </c>
      <c r="G355" s="15">
        <f t="shared" si="107"/>
        <v>0.23999072835159552</v>
      </c>
      <c r="H355" s="13">
        <f t="shared" si="108"/>
        <v>19911.187640495009</v>
      </c>
      <c r="I355" s="13">
        <f t="shared" si="109"/>
        <v>2364579.2728174208</v>
      </c>
      <c r="J355" s="15">
        <f t="shared" si="101"/>
        <v>0.76000927164840448</v>
      </c>
      <c r="K355" s="13">
        <f t="shared" si="110"/>
        <v>2381454.3845306034</v>
      </c>
      <c r="L355" s="13">
        <f t="shared" si="118"/>
        <v>231415622.83176777</v>
      </c>
      <c r="M355" s="15">
        <f t="shared" si="111"/>
        <v>0.76000927164840448</v>
      </c>
      <c r="N355" s="13">
        <f t="shared" si="102"/>
        <v>0</v>
      </c>
      <c r="O355" s="13">
        <f t="shared" si="112"/>
        <v>-16875.11171318125</v>
      </c>
      <c r="P355" s="15">
        <f t="shared" si="103"/>
        <v>-5.4146261769641947E-3</v>
      </c>
      <c r="Q355" s="7">
        <f t="shared" si="113"/>
        <v>3116579.2728174222</v>
      </c>
      <c r="R355" s="7">
        <f t="shared" si="114"/>
        <v>3133454.3845306034</v>
      </c>
      <c r="S355" s="13">
        <f>IF('BANCO DE DADOS'!$AD$32="Sim",R355,Q355)</f>
        <v>3133454.3845306034</v>
      </c>
      <c r="T355" s="9">
        <f t="shared" si="115"/>
        <v>351</v>
      </c>
      <c r="U355" s="18">
        <f t="shared" ca="1" si="116"/>
        <v>55062</v>
      </c>
      <c r="V355" s="24"/>
      <c r="W355" s="24"/>
      <c r="X355" s="24"/>
    </row>
    <row r="356" spans="2:24" x14ac:dyDescent="0.2">
      <c r="B356" s="18">
        <f t="shared" ca="1" si="104"/>
        <v>55062</v>
      </c>
      <c r="C356" s="9">
        <f t="shared" si="117"/>
        <v>352</v>
      </c>
      <c r="D356" s="9"/>
      <c r="E356" s="13">
        <f t="shared" si="105"/>
        <v>2000</v>
      </c>
      <c r="F356" s="14">
        <f t="shared" si="106"/>
        <v>754000</v>
      </c>
      <c r="G356" s="15">
        <f t="shared" si="107"/>
        <v>0.2389381770614821</v>
      </c>
      <c r="H356" s="13">
        <f t="shared" si="108"/>
        <v>20052.16488151989</v>
      </c>
      <c r="I356" s="13">
        <f t="shared" si="109"/>
        <v>2384631.4376989407</v>
      </c>
      <c r="J356" s="15">
        <f t="shared" si="101"/>
        <v>0.76106182293851787</v>
      </c>
      <c r="K356" s="13">
        <f t="shared" si="110"/>
        <v>2401627.9924492156</v>
      </c>
      <c r="L356" s="13">
        <f t="shared" si="118"/>
        <v>233817250.82421699</v>
      </c>
      <c r="M356" s="15">
        <f t="shared" si="111"/>
        <v>0.76106182293851787</v>
      </c>
      <c r="N356" s="13">
        <f t="shared" si="102"/>
        <v>0</v>
      </c>
      <c r="O356" s="13">
        <f t="shared" si="112"/>
        <v>-16996.55475027347</v>
      </c>
      <c r="P356" s="15">
        <f t="shared" si="103"/>
        <v>-5.4152757619525833E-3</v>
      </c>
      <c r="Q356" s="7">
        <f t="shared" si="113"/>
        <v>3138631.4376989421</v>
      </c>
      <c r="R356" s="7">
        <f t="shared" si="114"/>
        <v>3155627.9924492156</v>
      </c>
      <c r="S356" s="13">
        <f>IF('BANCO DE DADOS'!$AD$32="Sim",R356,Q356)</f>
        <v>3155627.9924492156</v>
      </c>
      <c r="T356" s="9">
        <f t="shared" si="115"/>
        <v>352</v>
      </c>
      <c r="U356" s="18">
        <f t="shared" ca="1" si="116"/>
        <v>55093</v>
      </c>
      <c r="V356" s="24"/>
      <c r="W356" s="24"/>
      <c r="X356" s="24"/>
    </row>
    <row r="357" spans="2:24" x14ac:dyDescent="0.2">
      <c r="B357" s="18">
        <f t="shared" ca="1" si="104"/>
        <v>55093</v>
      </c>
      <c r="C357" s="9">
        <f t="shared" si="117"/>
        <v>353</v>
      </c>
      <c r="D357" s="9"/>
      <c r="E357" s="13">
        <f t="shared" si="105"/>
        <v>2000</v>
      </c>
      <c r="F357" s="14">
        <f t="shared" si="106"/>
        <v>756000</v>
      </c>
      <c r="G357" s="15">
        <f t="shared" si="107"/>
        <v>0.23788963452927442</v>
      </c>
      <c r="H357" s="13">
        <f t="shared" si="108"/>
        <v>20194.049174358348</v>
      </c>
      <c r="I357" s="13">
        <f t="shared" si="109"/>
        <v>2404825.4868732989</v>
      </c>
      <c r="J357" s="15">
        <f t="shared" si="101"/>
        <v>0.76211036547072553</v>
      </c>
      <c r="K357" s="13">
        <f t="shared" si="110"/>
        <v>2421944.2660288233</v>
      </c>
      <c r="L357" s="13">
        <f t="shared" si="118"/>
        <v>236239195.09024581</v>
      </c>
      <c r="M357" s="15">
        <f t="shared" si="111"/>
        <v>0.76211036547072564</v>
      </c>
      <c r="N357" s="13">
        <f t="shared" si="102"/>
        <v>0</v>
      </c>
      <c r="O357" s="13">
        <f t="shared" si="112"/>
        <v>-17118.779155523051</v>
      </c>
      <c r="P357" s="15">
        <f t="shared" si="103"/>
        <v>-5.4159203747932974E-3</v>
      </c>
      <c r="Q357" s="7">
        <f t="shared" si="113"/>
        <v>3160825.4868733003</v>
      </c>
      <c r="R357" s="7">
        <f t="shared" si="114"/>
        <v>3177944.2660288233</v>
      </c>
      <c r="S357" s="13">
        <f>IF('BANCO DE DADOS'!$AD$32="Sim",R357,Q357)</f>
        <v>3177944.2660288233</v>
      </c>
      <c r="T357" s="9">
        <f t="shared" si="115"/>
        <v>353</v>
      </c>
      <c r="U357" s="18">
        <f t="shared" ca="1" si="116"/>
        <v>55123</v>
      </c>
      <c r="V357" s="24"/>
      <c r="W357" s="24"/>
      <c r="X357" s="24"/>
    </row>
    <row r="358" spans="2:24" x14ac:dyDescent="0.2">
      <c r="B358" s="18">
        <f t="shared" ca="1" si="104"/>
        <v>55123</v>
      </c>
      <c r="C358" s="9">
        <f t="shared" si="117"/>
        <v>354</v>
      </c>
      <c r="D358" s="9"/>
      <c r="E358" s="13">
        <f t="shared" si="105"/>
        <v>2000</v>
      </c>
      <c r="F358" s="14">
        <f t="shared" si="106"/>
        <v>758000</v>
      </c>
      <c r="G358" s="15">
        <f t="shared" si="107"/>
        <v>0.2368450891900947</v>
      </c>
      <c r="H358" s="13">
        <f t="shared" si="108"/>
        <v>20336.846355009067</v>
      </c>
      <c r="I358" s="13">
        <f t="shared" si="109"/>
        <v>2425162.3332283078</v>
      </c>
      <c r="J358" s="15">
        <f t="shared" si="101"/>
        <v>0.76315491080990527</v>
      </c>
      <c r="K358" s="13">
        <f t="shared" si="110"/>
        <v>2442404.1231845855</v>
      </c>
      <c r="L358" s="13">
        <f t="shared" si="118"/>
        <v>238681599.2134304</v>
      </c>
      <c r="M358" s="15">
        <f t="shared" si="111"/>
        <v>0.76315491080990527</v>
      </c>
      <c r="N358" s="13">
        <f t="shared" si="102"/>
        <v>0</v>
      </c>
      <c r="O358" s="13">
        <f t="shared" si="112"/>
        <v>-17241.789956276305</v>
      </c>
      <c r="P358" s="15">
        <f t="shared" si="103"/>
        <v>-5.4165600592508819E-3</v>
      </c>
      <c r="Q358" s="7">
        <f t="shared" si="113"/>
        <v>3183162.3332283092</v>
      </c>
      <c r="R358" s="7">
        <f t="shared" si="114"/>
        <v>3200404.1231845855</v>
      </c>
      <c r="S358" s="13">
        <f>IF('BANCO DE DADOS'!$AD$32="Sim",R358,Q358)</f>
        <v>3200404.1231845855</v>
      </c>
      <c r="T358" s="9">
        <f t="shared" si="115"/>
        <v>354</v>
      </c>
      <c r="U358" s="18">
        <f t="shared" ca="1" si="116"/>
        <v>55154</v>
      </c>
      <c r="V358" s="24"/>
      <c r="W358" s="24"/>
      <c r="X358" s="24"/>
    </row>
    <row r="359" spans="2:24" x14ac:dyDescent="0.2">
      <c r="B359" s="18">
        <f t="shared" ca="1" si="104"/>
        <v>55154</v>
      </c>
      <c r="C359" s="9">
        <f t="shared" si="117"/>
        <v>355</v>
      </c>
      <c r="D359" s="9"/>
      <c r="E359" s="13">
        <f t="shared" si="105"/>
        <v>2000</v>
      </c>
      <c r="F359" s="14">
        <f t="shared" si="106"/>
        <v>760000</v>
      </c>
      <c r="G359" s="15">
        <f t="shared" si="107"/>
        <v>0.2358045294921004</v>
      </c>
      <c r="H359" s="13">
        <f t="shared" si="108"/>
        <v>20480.562297019715</v>
      </c>
      <c r="I359" s="13">
        <f t="shared" si="109"/>
        <v>2445642.8955253274</v>
      </c>
      <c r="J359" s="15">
        <f t="shared" si="101"/>
        <v>0.7641954705078996</v>
      </c>
      <c r="K359" s="13">
        <f t="shared" si="110"/>
        <v>2463008.4877375541</v>
      </c>
      <c r="L359" s="13">
        <f t="shared" si="118"/>
        <v>241144607.70116797</v>
      </c>
      <c r="M359" s="15">
        <f t="shared" si="111"/>
        <v>0.7641954705078996</v>
      </c>
      <c r="N359" s="13">
        <f t="shared" si="102"/>
        <v>0</v>
      </c>
      <c r="O359" s="13">
        <f t="shared" si="112"/>
        <v>-17365.592212225311</v>
      </c>
      <c r="P359" s="15">
        <f t="shared" si="103"/>
        <v>-5.4171948586242951E-3</v>
      </c>
      <c r="Q359" s="7">
        <f t="shared" si="113"/>
        <v>3205642.8955253288</v>
      </c>
      <c r="R359" s="7">
        <f t="shared" si="114"/>
        <v>3223008.4877375541</v>
      </c>
      <c r="S359" s="13">
        <f>IF('BANCO DE DADOS'!$AD$32="Sim",R359,Q359)</f>
        <v>3223008.4877375541</v>
      </c>
      <c r="T359" s="9">
        <f t="shared" si="115"/>
        <v>355</v>
      </c>
      <c r="U359" s="18">
        <f t="shared" ca="1" si="116"/>
        <v>55185</v>
      </c>
      <c r="V359" s="24"/>
      <c r="W359" s="24"/>
      <c r="X359" s="24"/>
    </row>
    <row r="360" spans="2:24" x14ac:dyDescent="0.2">
      <c r="B360" s="18">
        <f t="shared" ca="1" si="104"/>
        <v>55185</v>
      </c>
      <c r="C360" s="9">
        <f t="shared" si="117"/>
        <v>356</v>
      </c>
      <c r="D360" s="9"/>
      <c r="E360" s="13">
        <f t="shared" si="105"/>
        <v>2000</v>
      </c>
      <c r="F360" s="14">
        <f t="shared" si="106"/>
        <v>762000</v>
      </c>
      <c r="G360" s="15">
        <f t="shared" si="107"/>
        <v>0.23476794389655384</v>
      </c>
      <c r="H360" s="13">
        <f t="shared" si="108"/>
        <v>20625.202911728546</v>
      </c>
      <c r="I360" s="13">
        <f t="shared" si="109"/>
        <v>2466268.0984370559</v>
      </c>
      <c r="J360" s="15">
        <f t="shared" si="101"/>
        <v>0.76523205610344613</v>
      </c>
      <c r="K360" s="13">
        <f t="shared" si="110"/>
        <v>2483758.2894526743</v>
      </c>
      <c r="L360" s="13">
        <f t="shared" si="118"/>
        <v>243628365.99062064</v>
      </c>
      <c r="M360" s="15">
        <f t="shared" si="111"/>
        <v>0.76523205610344613</v>
      </c>
      <c r="N360" s="13">
        <f t="shared" si="102"/>
        <v>0</v>
      </c>
      <c r="O360" s="13">
        <f t="shared" si="112"/>
        <v>-17490.191015616991</v>
      </c>
      <c r="P360" s="15">
        <f t="shared" si="103"/>
        <v>-5.4178248157532955E-3</v>
      </c>
      <c r="Q360" s="7">
        <f t="shared" si="113"/>
        <v>3228268.0984370573</v>
      </c>
      <c r="R360" s="7">
        <f t="shared" si="114"/>
        <v>3245758.2894526743</v>
      </c>
      <c r="S360" s="13">
        <f>IF('BANCO DE DADOS'!$AD$32="Sim",R360,Q360)</f>
        <v>3245758.2894526743</v>
      </c>
      <c r="T360" s="9">
        <f t="shared" si="115"/>
        <v>356</v>
      </c>
      <c r="U360" s="18">
        <f t="shared" ca="1" si="116"/>
        <v>55213</v>
      </c>
      <c r="V360" s="24"/>
      <c r="W360" s="24"/>
      <c r="X360" s="24"/>
    </row>
    <row r="361" spans="2:24" x14ac:dyDescent="0.2">
      <c r="B361" s="18">
        <f t="shared" ca="1" si="104"/>
        <v>55213</v>
      </c>
      <c r="C361" s="9">
        <f t="shared" si="117"/>
        <v>357</v>
      </c>
      <c r="D361" s="9"/>
      <c r="E361" s="13">
        <f t="shared" si="105"/>
        <v>2000</v>
      </c>
      <c r="F361" s="14">
        <f t="shared" si="106"/>
        <v>764000</v>
      </c>
      <c r="G361" s="15">
        <f t="shared" si="107"/>
        <v>0.23373532087789267</v>
      </c>
      <c r="H361" s="13">
        <f t="shared" si="108"/>
        <v>20770.774148507546</v>
      </c>
      <c r="I361" s="13">
        <f t="shared" si="109"/>
        <v>2487038.8725855635</v>
      </c>
      <c r="J361" s="15">
        <f t="shared" si="101"/>
        <v>0.76626467912210727</v>
      </c>
      <c r="K361" s="13">
        <f t="shared" si="110"/>
        <v>2504654.4640770261</v>
      </c>
      <c r="L361" s="13">
        <f t="shared" si="118"/>
        <v>246133020.45469767</v>
      </c>
      <c r="M361" s="15">
        <f t="shared" si="111"/>
        <v>0.76626467912210738</v>
      </c>
      <c r="N361" s="13">
        <f t="shared" si="102"/>
        <v>0</v>
      </c>
      <c r="O361" s="13">
        <f t="shared" si="112"/>
        <v>-17615.591491461266</v>
      </c>
      <c r="P361" s="15">
        <f t="shared" si="103"/>
        <v>-5.4184499730240109E-3</v>
      </c>
      <c r="Q361" s="7">
        <f t="shared" si="113"/>
        <v>3251038.8725855649</v>
      </c>
      <c r="R361" s="7">
        <f t="shared" si="114"/>
        <v>3268654.4640770261</v>
      </c>
      <c r="S361" s="13">
        <f>IF('BANCO DE DADOS'!$AD$32="Sim",R361,Q361)</f>
        <v>3268654.4640770261</v>
      </c>
      <c r="T361" s="9">
        <f t="shared" si="115"/>
        <v>357</v>
      </c>
      <c r="U361" s="18">
        <f t="shared" ca="1" si="116"/>
        <v>55244</v>
      </c>
      <c r="V361" s="24"/>
      <c r="W361" s="24"/>
      <c r="X361" s="24"/>
    </row>
    <row r="362" spans="2:24" x14ac:dyDescent="0.2">
      <c r="B362" s="18">
        <f t="shared" ca="1" si="104"/>
        <v>55244</v>
      </c>
      <c r="C362" s="9">
        <f t="shared" si="117"/>
        <v>358</v>
      </c>
      <c r="D362" s="9"/>
      <c r="E362" s="13">
        <f t="shared" si="105"/>
        <v>2000</v>
      </c>
      <c r="F362" s="14">
        <f t="shared" si="106"/>
        <v>766000</v>
      </c>
      <c r="G362" s="15">
        <f t="shared" si="107"/>
        <v>0.23270664892380047</v>
      </c>
      <c r="H362" s="13">
        <f t="shared" si="108"/>
        <v>20917.281995007128</v>
      </c>
      <c r="I362" s="13">
        <f t="shared" si="109"/>
        <v>2507956.1545805708</v>
      </c>
      <c r="J362" s="15">
        <f t="shared" si="101"/>
        <v>0.76729335107619956</v>
      </c>
      <c r="K362" s="13">
        <f t="shared" si="110"/>
        <v>2525697.9533783146</v>
      </c>
      <c r="L362" s="13">
        <f t="shared" si="118"/>
        <v>248658718.40807599</v>
      </c>
      <c r="M362" s="15">
        <f t="shared" si="111"/>
        <v>0.76729335107619956</v>
      </c>
      <c r="N362" s="13">
        <f t="shared" si="102"/>
        <v>0</v>
      </c>
      <c r="O362" s="13">
        <f t="shared" si="112"/>
        <v>-17741.798797742464</v>
      </c>
      <c r="P362" s="15">
        <f t="shared" si="103"/>
        <v>-5.4190703723750308E-3</v>
      </c>
      <c r="Q362" s="7">
        <f t="shared" si="113"/>
        <v>3273956.1545805722</v>
      </c>
      <c r="R362" s="7">
        <f t="shared" si="114"/>
        <v>3291697.9533783146</v>
      </c>
      <c r="S362" s="13">
        <f>IF('BANCO DE DADOS'!$AD$32="Sim",R362,Q362)</f>
        <v>3291697.9533783146</v>
      </c>
      <c r="T362" s="9">
        <f t="shared" si="115"/>
        <v>358</v>
      </c>
      <c r="U362" s="18">
        <f t="shared" ca="1" si="116"/>
        <v>55274</v>
      </c>
      <c r="V362" s="24"/>
      <c r="W362" s="24"/>
      <c r="X362" s="24"/>
    </row>
    <row r="363" spans="2:24" x14ac:dyDescent="0.2">
      <c r="B363" s="18">
        <f t="shared" ca="1" si="104"/>
        <v>55274</v>
      </c>
      <c r="C363" s="9">
        <f t="shared" si="117"/>
        <v>359</v>
      </c>
      <c r="D363" s="9"/>
      <c r="E363" s="13">
        <f t="shared" si="105"/>
        <v>2000</v>
      </c>
      <c r="F363" s="14">
        <f t="shared" si="106"/>
        <v>768000</v>
      </c>
      <c r="G363" s="15">
        <f t="shared" si="107"/>
        <v>0.23168191653527775</v>
      </c>
      <c r="H363" s="13">
        <f t="shared" si="108"/>
        <v>21064.732477402446</v>
      </c>
      <c r="I363" s="13">
        <f t="shared" si="109"/>
        <v>2529020.8870579731</v>
      </c>
      <c r="J363" s="15">
        <f t="shared" si="101"/>
        <v>0.7683180834647223</v>
      </c>
      <c r="K363" s="13">
        <f t="shared" si="110"/>
        <v>2546889.7051836075</v>
      </c>
      <c r="L363" s="13">
        <f t="shared" si="118"/>
        <v>251205608.11325958</v>
      </c>
      <c r="M363" s="15">
        <f t="shared" si="111"/>
        <v>0.7683180834647223</v>
      </c>
      <c r="N363" s="13">
        <f t="shared" si="102"/>
        <v>0</v>
      </c>
      <c r="O363" s="13">
        <f t="shared" si="112"/>
        <v>-17868.818125633057</v>
      </c>
      <c r="P363" s="15">
        <f t="shared" si="103"/>
        <v>-5.4196860553036748E-3</v>
      </c>
      <c r="Q363" s="7">
        <f t="shared" si="113"/>
        <v>3297020.8870579745</v>
      </c>
      <c r="R363" s="7">
        <f t="shared" si="114"/>
        <v>3314889.7051836075</v>
      </c>
      <c r="S363" s="13">
        <f>IF('BANCO DE DADOS'!$AD$32="Sim",R363,Q363)</f>
        <v>3314889.7051836075</v>
      </c>
      <c r="T363" s="9">
        <f t="shared" si="115"/>
        <v>359</v>
      </c>
      <c r="U363" s="18">
        <f t="shared" ca="1" si="116"/>
        <v>55305</v>
      </c>
      <c r="V363" s="24"/>
      <c r="W363" s="24"/>
      <c r="X363" s="24"/>
    </row>
    <row r="364" spans="2:24" x14ac:dyDescent="0.2">
      <c r="B364" s="18">
        <f t="shared" ca="1" si="104"/>
        <v>55305</v>
      </c>
      <c r="C364" s="9">
        <f>C363+1</f>
        <v>360</v>
      </c>
      <c r="D364" s="9">
        <v>30</v>
      </c>
      <c r="E364" s="13">
        <f t="shared" si="105"/>
        <v>2000</v>
      </c>
      <c r="F364" s="14">
        <f t="shared" si="106"/>
        <v>770000</v>
      </c>
      <c r="G364" s="15">
        <f t="shared" si="107"/>
        <v>0.2306611122267134</v>
      </c>
      <c r="H364" s="13">
        <f t="shared" si="108"/>
        <v>21213.131660641226</v>
      </c>
      <c r="I364" s="13">
        <f t="shared" si="109"/>
        <v>2550234.0187186142</v>
      </c>
      <c r="J364" s="15">
        <f t="shared" si="101"/>
        <v>0.76933888777328663</v>
      </c>
      <c r="K364" s="13">
        <f t="shared" si="110"/>
        <v>2568230.6734183193</v>
      </c>
      <c r="L364" s="13">
        <f t="shared" si="118"/>
        <v>253773838.7866779</v>
      </c>
      <c r="M364" s="15">
        <f t="shared" si="111"/>
        <v>0.76933888777328663</v>
      </c>
      <c r="N364" s="13">
        <f t="shared" si="102"/>
        <v>0</v>
      </c>
      <c r="O364" s="13">
        <f t="shared" si="112"/>
        <v>-17996.654699703678</v>
      </c>
      <c r="P364" s="15">
        <f t="shared" si="103"/>
        <v>-5.420297062870635E-3</v>
      </c>
      <c r="Q364" s="7">
        <f t="shared" si="113"/>
        <v>3320234.0187186156</v>
      </c>
      <c r="R364" s="7">
        <f t="shared" si="114"/>
        <v>3338230.6734183193</v>
      </c>
      <c r="S364" s="13">
        <f>IF('BANCO DE DADOS'!$AD$32="Sim",R364,Q364)</f>
        <v>3338230.6734183193</v>
      </c>
      <c r="T364" s="9">
        <f t="shared" si="115"/>
        <v>360</v>
      </c>
      <c r="U364" s="18">
        <f t="shared" ca="1" si="116"/>
        <v>55335</v>
      </c>
      <c r="V364" s="24"/>
      <c r="W364" s="24"/>
      <c r="X364" s="24"/>
    </row>
    <row r="365" spans="2:24" x14ac:dyDescent="0.2">
      <c r="B365" s="18">
        <f t="shared" ca="1" si="104"/>
        <v>55335</v>
      </c>
      <c r="C365" s="9">
        <f t="shared" si="117"/>
        <v>361</v>
      </c>
      <c r="D365" s="9"/>
      <c r="E365" s="13">
        <f t="shared" si="105"/>
        <v>2000</v>
      </c>
      <c r="F365" s="14">
        <f t="shared" ref="F365:F428" si="119">F364+E365</f>
        <v>772000</v>
      </c>
      <c r="G365" s="15">
        <f t="shared" ref="G365:G428" si="120">IF(F365&lt;=0,0,F365/S365)</f>
        <v>0.2296442245259564</v>
      </c>
      <c r="H365" s="13">
        <f t="shared" ref="H365:H428" si="121">Q364*Taxa</f>
        <v>21362.485648693266</v>
      </c>
      <c r="I365" s="13">
        <f t="shared" ref="I365:I428" si="122">I364+H365</f>
        <v>2571596.5043673073</v>
      </c>
      <c r="J365" s="15">
        <f t="shared" ref="J365:J428" si="123">1-G365</f>
        <v>0.77035577547404355</v>
      </c>
      <c r="K365" s="13">
        <f t="shared" ref="K365:K428" si="124">R365-F365</f>
        <v>2589721.8181454497</v>
      </c>
      <c r="L365" s="13">
        <f t="shared" ref="L365:L428" si="125">L364+K365</f>
        <v>256363560.60482335</v>
      </c>
      <c r="M365" s="15">
        <f t="shared" ref="M365:M428" si="126">K365/R365</f>
        <v>0.77035577547404366</v>
      </c>
      <c r="N365" s="13">
        <f t="shared" ref="N365:N428" si="127">Q365*Inflação</f>
        <v>0</v>
      </c>
      <c r="O365" s="13">
        <f t="shared" ref="O365:O428" si="128">Q365-R365</f>
        <v>-18125.313778141048</v>
      </c>
      <c r="P365" s="15">
        <f t="shared" ref="P365:P428" si="129">O365/Q365</f>
        <v>-5.4209034357065181E-3</v>
      </c>
      <c r="Q365" s="7">
        <f t="shared" ref="Q365:Q428" si="130">Q364+E365+H365</f>
        <v>3343596.5043673087</v>
      </c>
      <c r="R365" s="7">
        <f t="shared" ref="R365:R428" si="131">(R364+E365)*(1+((1+Taxa)/(1+Inflação)-1))</f>
        <v>3361721.8181454497</v>
      </c>
      <c r="S365" s="13">
        <f>IF('BANCO DE DADOS'!$AD$32="Sim",R365,Q365)</f>
        <v>3361721.8181454497</v>
      </c>
      <c r="T365" s="9">
        <f t="shared" ref="T365:T428" si="132">C365</f>
        <v>361</v>
      </c>
      <c r="U365" s="18">
        <f t="shared" ca="1" si="116"/>
        <v>55366</v>
      </c>
    </row>
    <row r="366" spans="2:24" x14ac:dyDescent="0.2">
      <c r="B366" s="18">
        <f t="shared" ca="1" si="104"/>
        <v>55366</v>
      </c>
      <c r="C366" s="9">
        <f t="shared" si="117"/>
        <v>362</v>
      </c>
      <c r="D366" s="9"/>
      <c r="E366" s="13">
        <f t="shared" si="105"/>
        <v>2000</v>
      </c>
      <c r="F366" s="14">
        <f t="shared" si="119"/>
        <v>774000</v>
      </c>
      <c r="G366" s="15">
        <f t="shared" si="120"/>
        <v>0.22863124197438767</v>
      </c>
      <c r="H366" s="13">
        <f t="shared" si="121"/>
        <v>21512.80058480148</v>
      </c>
      <c r="I366" s="13">
        <f t="shared" si="122"/>
        <v>2593109.3049521088</v>
      </c>
      <c r="J366" s="15">
        <f t="shared" si="123"/>
        <v>0.77136875802561233</v>
      </c>
      <c r="K366" s="13">
        <f t="shared" si="124"/>
        <v>2611364.1056050733</v>
      </c>
      <c r="L366" s="13">
        <f t="shared" si="125"/>
        <v>258974924.71042842</v>
      </c>
      <c r="M366" s="15">
        <f t="shared" si="126"/>
        <v>0.77136875802561233</v>
      </c>
      <c r="N366" s="13">
        <f t="shared" si="127"/>
        <v>0</v>
      </c>
      <c r="O366" s="13">
        <f t="shared" si="128"/>
        <v>-18254.800652963109</v>
      </c>
      <c r="P366" s="15">
        <f t="shared" si="129"/>
        <v>-5.4215052140170255E-3</v>
      </c>
      <c r="Q366" s="7">
        <f t="shared" si="130"/>
        <v>3367109.3049521102</v>
      </c>
      <c r="R366" s="7">
        <f t="shared" si="131"/>
        <v>3385364.1056050733</v>
      </c>
      <c r="S366" s="13">
        <f>IF('BANCO DE DADOS'!$AD$32="Sim",R366,Q366)</f>
        <v>3385364.1056050733</v>
      </c>
      <c r="T366" s="9">
        <f t="shared" si="132"/>
        <v>362</v>
      </c>
      <c r="U366" s="18">
        <f t="shared" ca="1" si="116"/>
        <v>55397</v>
      </c>
    </row>
    <row r="367" spans="2:24" x14ac:dyDescent="0.2">
      <c r="B367" s="18">
        <f t="shared" ca="1" si="104"/>
        <v>55397</v>
      </c>
      <c r="C367" s="9">
        <f t="shared" si="117"/>
        <v>363</v>
      </c>
      <c r="D367" s="9"/>
      <c r="E367" s="13">
        <f t="shared" si="105"/>
        <v>2000</v>
      </c>
      <c r="F367" s="14">
        <f t="shared" si="119"/>
        <v>776000</v>
      </c>
      <c r="G367" s="15">
        <f t="shared" si="120"/>
        <v>0.22762215312699258</v>
      </c>
      <c r="H367" s="13">
        <f t="shared" si="121"/>
        <v>21664.082651734599</v>
      </c>
      <c r="I367" s="13">
        <f t="shared" si="122"/>
        <v>2614773.3876038436</v>
      </c>
      <c r="J367" s="15">
        <f t="shared" si="123"/>
        <v>0.77237784687300737</v>
      </c>
      <c r="K367" s="13">
        <f t="shared" si="124"/>
        <v>2633158.508254081</v>
      </c>
      <c r="L367" s="13">
        <f t="shared" si="125"/>
        <v>261608083.2186825</v>
      </c>
      <c r="M367" s="15">
        <f t="shared" si="126"/>
        <v>0.77237784687300748</v>
      </c>
      <c r="N367" s="13">
        <f t="shared" si="127"/>
        <v>0</v>
      </c>
      <c r="O367" s="13">
        <f t="shared" si="128"/>
        <v>-18385.120650236029</v>
      </c>
      <c r="P367" s="15">
        <f t="shared" si="129"/>
        <v>-5.4221024375882068E-3</v>
      </c>
      <c r="Q367" s="7">
        <f t="shared" si="130"/>
        <v>3390773.387603845</v>
      </c>
      <c r="R367" s="7">
        <f t="shared" si="131"/>
        <v>3409158.508254081</v>
      </c>
      <c r="S367" s="13">
        <f>IF('BANCO DE DADOS'!$AD$32="Sim",R367,Q367)</f>
        <v>3409158.508254081</v>
      </c>
      <c r="T367" s="9">
        <f t="shared" si="132"/>
        <v>363</v>
      </c>
      <c r="U367" s="18">
        <f t="shared" ca="1" si="116"/>
        <v>55427</v>
      </c>
    </row>
    <row r="368" spans="2:24" x14ac:dyDescent="0.2">
      <c r="B368" s="18">
        <f t="shared" ca="1" si="104"/>
        <v>55427</v>
      </c>
      <c r="C368" s="9">
        <f t="shared" si="117"/>
        <v>364</v>
      </c>
      <c r="D368" s="9"/>
      <c r="E368" s="13">
        <f t="shared" si="105"/>
        <v>2000</v>
      </c>
      <c r="F368" s="14">
        <f t="shared" si="119"/>
        <v>778000</v>
      </c>
      <c r="G368" s="15">
        <f t="shared" si="120"/>
        <v>0.22661694655243317</v>
      </c>
      <c r="H368" s="13">
        <f t="shared" si="121"/>
        <v>21816.338072041472</v>
      </c>
      <c r="I368" s="13">
        <f t="shared" si="122"/>
        <v>2636589.7256758851</v>
      </c>
      <c r="J368" s="15">
        <f t="shared" si="123"/>
        <v>0.77338305344756686</v>
      </c>
      <c r="K368" s="13">
        <f t="shared" si="124"/>
        <v>2655106.0048061823</v>
      </c>
      <c r="L368" s="13">
        <f t="shared" si="125"/>
        <v>264263189.22348869</v>
      </c>
      <c r="M368" s="15">
        <f t="shared" si="126"/>
        <v>0.77338305344756686</v>
      </c>
      <c r="N368" s="13">
        <f t="shared" si="127"/>
        <v>0</v>
      </c>
      <c r="O368" s="13">
        <f t="shared" si="128"/>
        <v>-18516.27913029585</v>
      </c>
      <c r="P368" s="15">
        <f t="shared" si="129"/>
        <v>-5.4226951457925811E-3</v>
      </c>
      <c r="Q368" s="7">
        <f t="shared" si="130"/>
        <v>3414589.7256758865</v>
      </c>
      <c r="R368" s="7">
        <f t="shared" si="131"/>
        <v>3433106.0048061823</v>
      </c>
      <c r="S368" s="13">
        <f>IF('BANCO DE DADOS'!$AD$32="Sim",R368,Q368)</f>
        <v>3433106.0048061823</v>
      </c>
      <c r="T368" s="9">
        <f t="shared" si="132"/>
        <v>364</v>
      </c>
      <c r="U368" s="18">
        <f t="shared" ca="1" si="116"/>
        <v>55458</v>
      </c>
    </row>
    <row r="369" spans="2:21" x14ac:dyDescent="0.2">
      <c r="B369" s="18">
        <f t="shared" ca="1" si="104"/>
        <v>55458</v>
      </c>
      <c r="C369" s="9">
        <f t="shared" si="117"/>
        <v>365</v>
      </c>
      <c r="D369" s="9"/>
      <c r="E369" s="13">
        <f t="shared" si="105"/>
        <v>2000</v>
      </c>
      <c r="F369" s="14">
        <f t="shared" si="119"/>
        <v>780000</v>
      </c>
      <c r="G369" s="15">
        <f t="shared" si="120"/>
        <v>0.22561561083312118</v>
      </c>
      <c r="H369" s="13">
        <f t="shared" si="121"/>
        <v>21969.573108307006</v>
      </c>
      <c r="I369" s="13">
        <f t="shared" si="122"/>
        <v>2658559.2987841922</v>
      </c>
      <c r="J369" s="15">
        <f t="shared" si="123"/>
        <v>0.77438438916687879</v>
      </c>
      <c r="K369" s="13">
        <f t="shared" si="124"/>
        <v>2677207.5802721591</v>
      </c>
      <c r="L369" s="13">
        <f t="shared" si="125"/>
        <v>266940396.80376086</v>
      </c>
      <c r="M369" s="15">
        <f t="shared" si="126"/>
        <v>0.77438438916687879</v>
      </c>
      <c r="N369" s="13">
        <f t="shared" si="127"/>
        <v>0</v>
      </c>
      <c r="O369" s="13">
        <f t="shared" si="128"/>
        <v>-18648.281487965491</v>
      </c>
      <c r="P369" s="15">
        <f t="shared" si="129"/>
        <v>-5.4232833775933872E-3</v>
      </c>
      <c r="Q369" s="7">
        <f t="shared" si="130"/>
        <v>3438559.2987841936</v>
      </c>
      <c r="R369" s="7">
        <f t="shared" si="131"/>
        <v>3457207.5802721591</v>
      </c>
      <c r="S369" s="13">
        <f>IF('BANCO DE DADOS'!$AD$32="Sim",R369,Q369)</f>
        <v>3457207.5802721591</v>
      </c>
      <c r="T369" s="9">
        <f t="shared" si="132"/>
        <v>365</v>
      </c>
      <c r="U369" s="18">
        <f t="shared" ca="1" si="116"/>
        <v>55488</v>
      </c>
    </row>
    <row r="370" spans="2:21" x14ac:dyDescent="0.2">
      <c r="B370" s="18">
        <f t="shared" ca="1" si="104"/>
        <v>55488</v>
      </c>
      <c r="C370" s="9">
        <f t="shared" si="117"/>
        <v>366</v>
      </c>
      <c r="D370" s="9"/>
      <c r="E370" s="13">
        <f t="shared" si="105"/>
        <v>2000</v>
      </c>
      <c r="F370" s="14">
        <f t="shared" si="119"/>
        <v>782000</v>
      </c>
      <c r="G370" s="15">
        <f t="shared" si="120"/>
        <v>0.22461813456529087</v>
      </c>
      <c r="H370" s="13">
        <f t="shared" si="121"/>
        <v>22123.794063409783</v>
      </c>
      <c r="I370" s="13">
        <f t="shared" si="122"/>
        <v>2680683.092847602</v>
      </c>
      <c r="J370" s="15">
        <f t="shared" si="123"/>
        <v>0.77538186543470911</v>
      </c>
      <c r="K370" s="13">
        <f t="shared" si="124"/>
        <v>2699464.2260003821</v>
      </c>
      <c r="L370" s="13">
        <f t="shared" si="125"/>
        <v>269639861.02976125</v>
      </c>
      <c r="M370" s="15">
        <f t="shared" si="126"/>
        <v>0.77538186543470911</v>
      </c>
      <c r="N370" s="13">
        <f t="shared" si="127"/>
        <v>0</v>
      </c>
      <c r="O370" s="13">
        <f t="shared" si="128"/>
        <v>-18781.133152778726</v>
      </c>
      <c r="P370" s="15">
        <f t="shared" si="129"/>
        <v>-5.4238671715504012E-3</v>
      </c>
      <c r="Q370" s="7">
        <f t="shared" si="130"/>
        <v>3462683.0928476034</v>
      </c>
      <c r="R370" s="7">
        <f t="shared" si="131"/>
        <v>3481464.2260003821</v>
      </c>
      <c r="S370" s="13">
        <f>IF('BANCO DE DADOS'!$AD$32="Sim",R370,Q370)</f>
        <v>3481464.2260003821</v>
      </c>
      <c r="T370" s="9">
        <f t="shared" si="132"/>
        <v>366</v>
      </c>
      <c r="U370" s="18">
        <f t="shared" ca="1" si="116"/>
        <v>55519</v>
      </c>
    </row>
    <row r="371" spans="2:21" x14ac:dyDescent="0.2">
      <c r="B371" s="18">
        <f t="shared" ca="1" si="104"/>
        <v>55519</v>
      </c>
      <c r="C371" s="9">
        <f t="shared" si="117"/>
        <v>367</v>
      </c>
      <c r="D371" s="9"/>
      <c r="E371" s="13">
        <f t="shared" si="105"/>
        <v>2000</v>
      </c>
      <c r="F371" s="14">
        <f t="shared" si="119"/>
        <v>784000</v>
      </c>
      <c r="G371" s="15">
        <f t="shared" si="120"/>
        <v>0.22362450635907208</v>
      </c>
      <c r="H371" s="13">
        <f t="shared" si="121"/>
        <v>22279.007280781283</v>
      </c>
      <c r="I371" s="13">
        <f t="shared" si="122"/>
        <v>2702962.1001283834</v>
      </c>
      <c r="J371" s="15">
        <f t="shared" si="123"/>
        <v>0.77637549364092795</v>
      </c>
      <c r="K371" s="13">
        <f t="shared" si="124"/>
        <v>2721876.9397175885</v>
      </c>
      <c r="L371" s="13">
        <f t="shared" si="125"/>
        <v>272361737.96947885</v>
      </c>
      <c r="M371" s="15">
        <f t="shared" si="126"/>
        <v>0.77637549364092795</v>
      </c>
      <c r="N371" s="13">
        <f t="shared" si="127"/>
        <v>0</v>
      </c>
      <c r="O371" s="13">
        <f t="shared" si="128"/>
        <v>-18914.839589203708</v>
      </c>
      <c r="P371" s="15">
        <f t="shared" si="129"/>
        <v>-5.4244465658251032E-3</v>
      </c>
      <c r="Q371" s="7">
        <f t="shared" si="130"/>
        <v>3486962.1001283848</v>
      </c>
      <c r="R371" s="7">
        <f t="shared" si="131"/>
        <v>3505876.9397175885</v>
      </c>
      <c r="S371" s="13">
        <f>IF('BANCO DE DADOS'!$AD$32="Sim",R371,Q371)</f>
        <v>3505876.9397175885</v>
      </c>
      <c r="T371" s="9">
        <f t="shared" si="132"/>
        <v>367</v>
      </c>
      <c r="U371" s="18">
        <f t="shared" ca="1" si="116"/>
        <v>55550</v>
      </c>
    </row>
    <row r="372" spans="2:21" x14ac:dyDescent="0.2">
      <c r="B372" s="18">
        <f t="shared" ca="1" si="104"/>
        <v>55550</v>
      </c>
      <c r="C372" s="9">
        <f t="shared" si="117"/>
        <v>368</v>
      </c>
      <c r="D372" s="9"/>
      <c r="E372" s="13">
        <f t="shared" si="105"/>
        <v>2000</v>
      </c>
      <c r="F372" s="14">
        <f t="shared" si="119"/>
        <v>786000</v>
      </c>
      <c r="G372" s="15">
        <f t="shared" si="120"/>
        <v>0.22263471483856379</v>
      </c>
      <c r="H372" s="13">
        <f t="shared" si="121"/>
        <v>22435.219144666822</v>
      </c>
      <c r="I372" s="13">
        <f t="shared" si="122"/>
        <v>2725397.3192730504</v>
      </c>
      <c r="J372" s="15">
        <f t="shared" si="123"/>
        <v>0.77736528516143621</v>
      </c>
      <c r="K372" s="13">
        <f t="shared" si="124"/>
        <v>2744446.7255699183</v>
      </c>
      <c r="L372" s="13">
        <f t="shared" si="125"/>
        <v>275106184.69504875</v>
      </c>
      <c r="M372" s="15">
        <f t="shared" si="126"/>
        <v>0.77736528516143621</v>
      </c>
      <c r="N372" s="13">
        <f t="shared" si="127"/>
        <v>0</v>
      </c>
      <c r="O372" s="13">
        <f t="shared" si="128"/>
        <v>-19049.40629686648</v>
      </c>
      <c r="P372" s="15">
        <f t="shared" si="129"/>
        <v>-5.4250215981853601E-3</v>
      </c>
      <c r="Q372" s="7">
        <f t="shared" si="130"/>
        <v>3511397.3192730518</v>
      </c>
      <c r="R372" s="7">
        <f t="shared" si="131"/>
        <v>3530446.7255699183</v>
      </c>
      <c r="S372" s="13">
        <f>IF('BANCO DE DADOS'!$AD$32="Sim",R372,Q372)</f>
        <v>3530446.7255699183</v>
      </c>
      <c r="T372" s="9">
        <f t="shared" si="132"/>
        <v>368</v>
      </c>
      <c r="U372" s="18">
        <f t="shared" ca="1" si="116"/>
        <v>55579</v>
      </c>
    </row>
    <row r="373" spans="2:21" x14ac:dyDescent="0.2">
      <c r="B373" s="18">
        <f t="shared" ca="1" si="104"/>
        <v>55579</v>
      </c>
      <c r="C373" s="9">
        <f t="shared" si="117"/>
        <v>369</v>
      </c>
      <c r="D373" s="9"/>
      <c r="E373" s="13">
        <f t="shared" si="105"/>
        <v>2000</v>
      </c>
      <c r="F373" s="14">
        <f t="shared" si="119"/>
        <v>788000</v>
      </c>
      <c r="G373" s="15">
        <f t="shared" si="120"/>
        <v>0.22164874864190739</v>
      </c>
      <c r="H373" s="13">
        <f t="shared" si="121"/>
        <v>22592.436080388143</v>
      </c>
      <c r="I373" s="13">
        <f t="shared" si="122"/>
        <v>2747989.7553534387</v>
      </c>
      <c r="J373" s="15">
        <f t="shared" si="123"/>
        <v>0.77835125135809258</v>
      </c>
      <c r="K373" s="13">
        <f t="shared" si="124"/>
        <v>2767174.5941642183</v>
      </c>
      <c r="L373" s="13">
        <f t="shared" si="125"/>
        <v>277873359.28921294</v>
      </c>
      <c r="M373" s="15">
        <f t="shared" si="126"/>
        <v>0.77835125135809258</v>
      </c>
      <c r="N373" s="13">
        <f t="shared" si="127"/>
        <v>0</v>
      </c>
      <c r="O373" s="13">
        <f t="shared" si="128"/>
        <v>-19184.838810778223</v>
      </c>
      <c r="P373" s="15">
        <f t="shared" si="129"/>
        <v>-5.4255923060106837E-3</v>
      </c>
      <c r="Q373" s="7">
        <f t="shared" si="130"/>
        <v>3535989.7553534401</v>
      </c>
      <c r="R373" s="7">
        <f t="shared" si="131"/>
        <v>3555174.5941642183</v>
      </c>
      <c r="S373" s="13">
        <f>IF('BANCO DE DADOS'!$AD$32="Sim",R373,Q373)</f>
        <v>3555174.5941642183</v>
      </c>
      <c r="T373" s="9">
        <f t="shared" si="132"/>
        <v>369</v>
      </c>
      <c r="U373" s="18">
        <f t="shared" ca="1" si="116"/>
        <v>55610</v>
      </c>
    </row>
    <row r="374" spans="2:21" x14ac:dyDescent="0.2">
      <c r="B374" s="18">
        <f t="shared" ca="1" si="104"/>
        <v>55610</v>
      </c>
      <c r="C374" s="9">
        <f t="shared" si="117"/>
        <v>370</v>
      </c>
      <c r="D374" s="9"/>
      <c r="E374" s="13">
        <f t="shared" si="105"/>
        <v>2000</v>
      </c>
      <c r="F374" s="14">
        <f t="shared" si="119"/>
        <v>790000</v>
      </c>
      <c r="G374" s="15">
        <f t="shared" si="120"/>
        <v>0.22066659642136047</v>
      </c>
      <c r="H374" s="13">
        <f t="shared" si="121"/>
        <v>22750.664554607698</v>
      </c>
      <c r="I374" s="13">
        <f t="shared" si="122"/>
        <v>2770740.4199080463</v>
      </c>
      <c r="J374" s="15">
        <f t="shared" si="123"/>
        <v>0.77933340357863956</v>
      </c>
      <c r="K374" s="13">
        <f t="shared" si="124"/>
        <v>2790061.5626096101</v>
      </c>
      <c r="L374" s="13">
        <f t="shared" si="125"/>
        <v>280663420.85182256</v>
      </c>
      <c r="M374" s="15">
        <f t="shared" si="126"/>
        <v>0.77933340357863956</v>
      </c>
      <c r="N374" s="13">
        <f t="shared" si="127"/>
        <v>0</v>
      </c>
      <c r="O374" s="13">
        <f t="shared" si="128"/>
        <v>-19321.142701562494</v>
      </c>
      <c r="P374" s="15">
        <f t="shared" si="129"/>
        <v>-5.4261587262969995E-3</v>
      </c>
      <c r="Q374" s="7">
        <f t="shared" si="130"/>
        <v>3560740.4199080477</v>
      </c>
      <c r="R374" s="7">
        <f t="shared" si="131"/>
        <v>3580061.5626096101</v>
      </c>
      <c r="S374" s="13">
        <f>IF('BANCO DE DADOS'!$AD$32="Sim",R374,Q374)</f>
        <v>3580061.5626096101</v>
      </c>
      <c r="T374" s="9">
        <f t="shared" si="132"/>
        <v>370</v>
      </c>
      <c r="U374" s="18">
        <f t="shared" ca="1" si="116"/>
        <v>55640</v>
      </c>
    </row>
    <row r="375" spans="2:21" x14ac:dyDescent="0.2">
      <c r="B375" s="18">
        <f t="shared" ca="1" si="104"/>
        <v>55640</v>
      </c>
      <c r="C375" s="9">
        <f t="shared" si="117"/>
        <v>371</v>
      </c>
      <c r="D375" s="9"/>
      <c r="E375" s="13">
        <f t="shared" si="105"/>
        <v>2000</v>
      </c>
      <c r="F375" s="14">
        <f t="shared" si="119"/>
        <v>792000</v>
      </c>
      <c r="G375" s="15">
        <f t="shared" si="120"/>
        <v>0.21968824684337032</v>
      </c>
      <c r="H375" s="13">
        <f t="shared" si="121"/>
        <v>22909.911075594635</v>
      </c>
      <c r="I375" s="13">
        <f t="shared" si="122"/>
        <v>2793650.3309836411</v>
      </c>
      <c r="J375" s="15">
        <f t="shared" si="123"/>
        <v>0.78031175315662971</v>
      </c>
      <c r="K375" s="13">
        <f t="shared" si="124"/>
        <v>2813108.6545593264</v>
      </c>
      <c r="L375" s="13">
        <f t="shared" si="125"/>
        <v>283476529.50638187</v>
      </c>
      <c r="M375" s="15">
        <f t="shared" si="126"/>
        <v>0.78031175315662971</v>
      </c>
      <c r="N375" s="13">
        <f t="shared" si="127"/>
        <v>0</v>
      </c>
      <c r="O375" s="13">
        <f t="shared" si="128"/>
        <v>-19458.323575683869</v>
      </c>
      <c r="P375" s="15">
        <f t="shared" si="129"/>
        <v>-5.4267208956613223E-3</v>
      </c>
      <c r="Q375" s="7">
        <f t="shared" si="130"/>
        <v>3585650.3309836425</v>
      </c>
      <c r="R375" s="7">
        <f t="shared" si="131"/>
        <v>3605108.6545593264</v>
      </c>
      <c r="S375" s="13">
        <f>IF('BANCO DE DADOS'!$AD$32="Sim",R375,Q375)</f>
        <v>3605108.6545593264</v>
      </c>
      <c r="T375" s="9">
        <f t="shared" si="132"/>
        <v>371</v>
      </c>
      <c r="U375" s="18">
        <f t="shared" ca="1" si="116"/>
        <v>55671</v>
      </c>
    </row>
    <row r="376" spans="2:21" x14ac:dyDescent="0.2">
      <c r="B376" s="18">
        <f t="shared" ca="1" si="104"/>
        <v>55671</v>
      </c>
      <c r="C376" s="9">
        <f>C375+1</f>
        <v>372</v>
      </c>
      <c r="D376" s="9">
        <v>31</v>
      </c>
      <c r="E376" s="13">
        <f t="shared" si="105"/>
        <v>2000</v>
      </c>
      <c r="F376" s="14">
        <f t="shared" si="119"/>
        <v>794000</v>
      </c>
      <c r="G376" s="15">
        <f t="shared" si="120"/>
        <v>0.21871368858864798</v>
      </c>
      <c r="H376" s="13">
        <f t="shared" si="121"/>
        <v>23070.182193492521</v>
      </c>
      <c r="I376" s="13">
        <f t="shared" si="122"/>
        <v>2816720.5131771336</v>
      </c>
      <c r="J376" s="15">
        <f t="shared" si="123"/>
        <v>0.78128631141135196</v>
      </c>
      <c r="K376" s="13">
        <f t="shared" si="124"/>
        <v>2836316.9002528149</v>
      </c>
      <c r="L376" s="13">
        <f t="shared" si="125"/>
        <v>286312846.40663469</v>
      </c>
      <c r="M376" s="15">
        <f t="shared" si="126"/>
        <v>0.78128631141135196</v>
      </c>
      <c r="N376" s="13">
        <f t="shared" si="127"/>
        <v>0</v>
      </c>
      <c r="O376" s="13">
        <f t="shared" si="128"/>
        <v>-19596.387075679842</v>
      </c>
      <c r="P376" s="15">
        <f t="shared" si="129"/>
        <v>-5.4272788503468648E-3</v>
      </c>
      <c r="Q376" s="7">
        <f t="shared" si="130"/>
        <v>3610720.513177135</v>
      </c>
      <c r="R376" s="7">
        <f t="shared" si="131"/>
        <v>3630316.9002528149</v>
      </c>
      <c r="S376" s="13">
        <f>IF('BANCO DE DADOS'!$AD$32="Sim",R376,Q376)</f>
        <v>3630316.9002528149</v>
      </c>
      <c r="T376" s="9">
        <f t="shared" si="132"/>
        <v>372</v>
      </c>
      <c r="U376" s="18">
        <f t="shared" ca="1" si="116"/>
        <v>55701</v>
      </c>
    </row>
    <row r="377" spans="2:21" x14ac:dyDescent="0.2">
      <c r="B377" s="18">
        <f t="shared" ca="1" si="104"/>
        <v>55701</v>
      </c>
      <c r="C377" s="9">
        <f t="shared" si="117"/>
        <v>373</v>
      </c>
      <c r="D377" s="9"/>
      <c r="E377" s="13">
        <f t="shared" si="105"/>
        <v>2000</v>
      </c>
      <c r="F377" s="14">
        <f t="shared" si="119"/>
        <v>796000</v>
      </c>
      <c r="G377" s="15">
        <f t="shared" si="120"/>
        <v>0.21774291035224197</v>
      </c>
      <c r="H377" s="13">
        <f t="shared" si="121"/>
        <v>23231.484500588725</v>
      </c>
      <c r="I377" s="13">
        <f t="shared" si="122"/>
        <v>2839951.9976777225</v>
      </c>
      <c r="J377" s="15">
        <f t="shared" si="123"/>
        <v>0.78225708964775809</v>
      </c>
      <c r="K377" s="13">
        <f t="shared" si="124"/>
        <v>2859687.3365581157</v>
      </c>
      <c r="L377" s="13">
        <f t="shared" si="125"/>
        <v>289172533.74319279</v>
      </c>
      <c r="M377" s="15">
        <f t="shared" si="126"/>
        <v>0.78225708964775797</v>
      </c>
      <c r="N377" s="13">
        <f t="shared" si="127"/>
        <v>0</v>
      </c>
      <c r="O377" s="13">
        <f t="shared" si="128"/>
        <v>-19735.338880391791</v>
      </c>
      <c r="P377" s="15">
        <f t="shared" si="129"/>
        <v>-5.4278326262273864E-3</v>
      </c>
      <c r="Q377" s="7">
        <f t="shared" si="130"/>
        <v>3635951.9976777239</v>
      </c>
      <c r="R377" s="7">
        <f t="shared" si="131"/>
        <v>3655687.3365581157</v>
      </c>
      <c r="S377" s="13">
        <f>IF('BANCO DE DADOS'!$AD$32="Sim",R377,Q377)</f>
        <v>3655687.3365581157</v>
      </c>
      <c r="T377" s="9">
        <f t="shared" si="132"/>
        <v>373</v>
      </c>
      <c r="U377" s="18">
        <f t="shared" ca="1" si="116"/>
        <v>55732</v>
      </c>
    </row>
    <row r="378" spans="2:21" x14ac:dyDescent="0.2">
      <c r="B378" s="18">
        <f t="shared" ca="1" si="104"/>
        <v>55732</v>
      </c>
      <c r="C378" s="9">
        <f t="shared" si="117"/>
        <v>374</v>
      </c>
      <c r="D378" s="9"/>
      <c r="E378" s="13">
        <f t="shared" si="105"/>
        <v>2000</v>
      </c>
      <c r="F378" s="14">
        <f t="shared" si="119"/>
        <v>798000</v>
      </c>
      <c r="G378" s="15">
        <f t="shared" si="120"/>
        <v>0.21677590084361237</v>
      </c>
      <c r="H378" s="13">
        <f t="shared" si="121"/>
        <v>23393.824631585598</v>
      </c>
      <c r="I378" s="13">
        <f t="shared" si="122"/>
        <v>2863345.8223093082</v>
      </c>
      <c r="J378" s="15">
        <f t="shared" si="123"/>
        <v>0.78322409915638769</v>
      </c>
      <c r="K378" s="13">
        <f t="shared" si="124"/>
        <v>2883221.0070145088</v>
      </c>
      <c r="L378" s="13">
        <f t="shared" si="125"/>
        <v>292055754.7502073</v>
      </c>
      <c r="M378" s="15">
        <f t="shared" si="126"/>
        <v>0.78322409915638769</v>
      </c>
      <c r="N378" s="13">
        <f t="shared" si="127"/>
        <v>0</v>
      </c>
      <c r="O378" s="13">
        <f t="shared" si="128"/>
        <v>-19875.184705199208</v>
      </c>
      <c r="P378" s="15">
        <f t="shared" si="129"/>
        <v>-5.4283822588119778E-3</v>
      </c>
      <c r="Q378" s="7">
        <f t="shared" si="130"/>
        <v>3661345.8223093096</v>
      </c>
      <c r="R378" s="7">
        <f t="shared" si="131"/>
        <v>3681221.0070145088</v>
      </c>
      <c r="S378" s="13">
        <f>IF('BANCO DE DADOS'!$AD$32="Sim",R378,Q378)</f>
        <v>3681221.0070145088</v>
      </c>
      <c r="T378" s="9">
        <f t="shared" si="132"/>
        <v>374</v>
      </c>
      <c r="U378" s="18">
        <f t="shared" ca="1" si="116"/>
        <v>55763</v>
      </c>
    </row>
    <row r="379" spans="2:21" x14ac:dyDescent="0.2">
      <c r="B379" s="18">
        <f t="shared" ca="1" si="104"/>
        <v>55763</v>
      </c>
      <c r="C379" s="9">
        <f t="shared" si="117"/>
        <v>375</v>
      </c>
      <c r="D379" s="9"/>
      <c r="E379" s="13">
        <f t="shared" si="105"/>
        <v>2000</v>
      </c>
      <c r="F379" s="14">
        <f t="shared" si="119"/>
        <v>800000</v>
      </c>
      <c r="G379" s="15">
        <f t="shared" si="120"/>
        <v>0.21581264878670478</v>
      </c>
      <c r="H379" s="13">
        <f t="shared" si="121"/>
        <v>23557.209263873367</v>
      </c>
      <c r="I379" s="13">
        <f t="shared" si="122"/>
        <v>2886903.0315731815</v>
      </c>
      <c r="J379" s="15">
        <f t="shared" si="123"/>
        <v>0.78418735121329519</v>
      </c>
      <c r="K379" s="13">
        <f t="shared" si="124"/>
        <v>2906918.9618754373</v>
      </c>
      <c r="L379" s="13">
        <f t="shared" si="125"/>
        <v>294962673.71208274</v>
      </c>
      <c r="M379" s="15">
        <f t="shared" si="126"/>
        <v>0.78418735121329519</v>
      </c>
      <c r="N379" s="13">
        <f t="shared" si="127"/>
        <v>0</v>
      </c>
      <c r="O379" s="13">
        <f t="shared" si="128"/>
        <v>-20015.93030225439</v>
      </c>
      <c r="P379" s="15">
        <f t="shared" si="129"/>
        <v>-5.428927783249481E-3</v>
      </c>
      <c r="Q379" s="7">
        <f t="shared" si="130"/>
        <v>3686903.0315731829</v>
      </c>
      <c r="R379" s="7">
        <f t="shared" si="131"/>
        <v>3706918.9618754373</v>
      </c>
      <c r="S379" s="13">
        <f>IF('BANCO DE DADOS'!$AD$32="Sim",R379,Q379)</f>
        <v>3706918.9618754373</v>
      </c>
      <c r="T379" s="9">
        <f t="shared" si="132"/>
        <v>375</v>
      </c>
      <c r="U379" s="18">
        <f t="shared" ca="1" si="116"/>
        <v>55793</v>
      </c>
    </row>
    <row r="380" spans="2:21" x14ac:dyDescent="0.2">
      <c r="B380" s="18">
        <f t="shared" ca="1" si="104"/>
        <v>55793</v>
      </c>
      <c r="C380" s="9">
        <f t="shared" si="117"/>
        <v>376</v>
      </c>
      <c r="D380" s="9"/>
      <c r="E380" s="13">
        <f t="shared" si="105"/>
        <v>2000</v>
      </c>
      <c r="F380" s="14">
        <f t="shared" si="119"/>
        <v>802000</v>
      </c>
      <c r="G380" s="15">
        <f t="shared" si="120"/>
        <v>0.21485314292002441</v>
      </c>
      <c r="H380" s="13">
        <f t="shared" si="121"/>
        <v>23721.645117804786</v>
      </c>
      <c r="I380" s="13">
        <f t="shared" si="122"/>
        <v>2910624.6766909864</v>
      </c>
      <c r="J380" s="15">
        <f t="shared" si="123"/>
        <v>0.78514685707997556</v>
      </c>
      <c r="K380" s="13">
        <f t="shared" si="124"/>
        <v>2930782.2581517063</v>
      </c>
      <c r="L380" s="13">
        <f t="shared" si="125"/>
        <v>297893455.97023445</v>
      </c>
      <c r="M380" s="15">
        <f t="shared" si="126"/>
        <v>0.78514685707997556</v>
      </c>
      <c r="N380" s="13">
        <f t="shared" si="127"/>
        <v>0</v>
      </c>
      <c r="O380" s="13">
        <f t="shared" si="128"/>
        <v>-20157.581460718531</v>
      </c>
      <c r="P380" s="15">
        <f t="shared" si="129"/>
        <v>-5.4294692343328146E-3</v>
      </c>
      <c r="Q380" s="7">
        <f t="shared" si="130"/>
        <v>3712624.6766909878</v>
      </c>
      <c r="R380" s="7">
        <f t="shared" si="131"/>
        <v>3732782.2581517063</v>
      </c>
      <c r="S380" s="13">
        <f>IF('BANCO DE DADOS'!$AD$32="Sim",R380,Q380)</f>
        <v>3732782.2581517063</v>
      </c>
      <c r="T380" s="9">
        <f t="shared" si="132"/>
        <v>376</v>
      </c>
      <c r="U380" s="18">
        <f t="shared" ca="1" si="116"/>
        <v>55824</v>
      </c>
    </row>
    <row r="381" spans="2:21" x14ac:dyDescent="0.2">
      <c r="B381" s="18">
        <f t="shared" ca="1" si="104"/>
        <v>55824</v>
      </c>
      <c r="C381" s="9">
        <f t="shared" si="117"/>
        <v>377</v>
      </c>
      <c r="D381" s="9"/>
      <c r="E381" s="13">
        <f t="shared" si="105"/>
        <v>2000</v>
      </c>
      <c r="F381" s="14">
        <f t="shared" si="119"/>
        <v>804000</v>
      </c>
      <c r="G381" s="15">
        <f t="shared" si="120"/>
        <v>0.21389737199671011</v>
      </c>
      <c r="H381" s="13">
        <f t="shared" si="121"/>
        <v>23887.138956971565</v>
      </c>
      <c r="I381" s="13">
        <f t="shared" si="122"/>
        <v>2934511.8156479578</v>
      </c>
      <c r="J381" s="15">
        <f t="shared" si="123"/>
        <v>0.78610262800328989</v>
      </c>
      <c r="K381" s="13">
        <f t="shared" si="124"/>
        <v>2954811.9596549608</v>
      </c>
      <c r="L381" s="13">
        <f t="shared" si="125"/>
        <v>300848267.92988944</v>
      </c>
      <c r="M381" s="15">
        <f t="shared" si="126"/>
        <v>0.78610262800328989</v>
      </c>
      <c r="N381" s="13">
        <f t="shared" si="127"/>
        <v>0</v>
      </c>
      <c r="O381" s="13">
        <f t="shared" si="128"/>
        <v>-20300.144007001538</v>
      </c>
      <c r="P381" s="15">
        <f t="shared" si="129"/>
        <v>-5.4300066465038351E-3</v>
      </c>
      <c r="Q381" s="7">
        <f t="shared" si="130"/>
        <v>3738511.8156479592</v>
      </c>
      <c r="R381" s="7">
        <f t="shared" si="131"/>
        <v>3758811.9596549608</v>
      </c>
      <c r="S381" s="13">
        <f>IF('BANCO DE DADOS'!$AD$32="Sim",R381,Q381)</f>
        <v>3758811.9596549608</v>
      </c>
      <c r="T381" s="9">
        <f t="shared" si="132"/>
        <v>377</v>
      </c>
      <c r="U381" s="18">
        <f t="shared" ca="1" si="116"/>
        <v>55854</v>
      </c>
    </row>
    <row r="382" spans="2:21" x14ac:dyDescent="0.2">
      <c r="B382" s="18">
        <f t="shared" ca="1" si="104"/>
        <v>55854</v>
      </c>
      <c r="C382" s="9">
        <f t="shared" si="117"/>
        <v>378</v>
      </c>
      <c r="D382" s="9"/>
      <c r="E382" s="13">
        <f t="shared" si="105"/>
        <v>2000</v>
      </c>
      <c r="F382" s="14">
        <f t="shared" si="119"/>
        <v>806000</v>
      </c>
      <c r="G382" s="15">
        <f t="shared" si="120"/>
        <v>0.21294532478460837</v>
      </c>
      <c r="H382" s="13">
        <f t="shared" si="121"/>
        <v>24053.697588482562</v>
      </c>
      <c r="I382" s="13">
        <f t="shared" si="122"/>
        <v>2958565.5132364403</v>
      </c>
      <c r="J382" s="15">
        <f t="shared" si="123"/>
        <v>0.78705467521539163</v>
      </c>
      <c r="K382" s="13">
        <f t="shared" si="124"/>
        <v>2979009.1370414416</v>
      </c>
      <c r="L382" s="13">
        <f t="shared" si="125"/>
        <v>303827277.06693089</v>
      </c>
      <c r="M382" s="15">
        <f t="shared" si="126"/>
        <v>0.78705467521539163</v>
      </c>
      <c r="N382" s="13">
        <f t="shared" si="127"/>
        <v>0</v>
      </c>
      <c r="O382" s="13">
        <f t="shared" si="128"/>
        <v>-20443.623804999981</v>
      </c>
      <c r="P382" s="15">
        <f t="shared" si="129"/>
        <v>-5.4305400538571993E-3</v>
      </c>
      <c r="Q382" s="7">
        <f t="shared" si="130"/>
        <v>3764565.5132364416</v>
      </c>
      <c r="R382" s="7">
        <f t="shared" si="131"/>
        <v>3785009.1370414416</v>
      </c>
      <c r="S382" s="13">
        <f>IF('BANCO DE DADOS'!$AD$32="Sim",R382,Q382)</f>
        <v>3785009.1370414416</v>
      </c>
      <c r="T382" s="9">
        <f t="shared" si="132"/>
        <v>378</v>
      </c>
      <c r="U382" s="18">
        <f t="shared" ca="1" si="116"/>
        <v>55885</v>
      </c>
    </row>
    <row r="383" spans="2:21" x14ac:dyDescent="0.2">
      <c r="B383" s="18">
        <f t="shared" ca="1" si="104"/>
        <v>55885</v>
      </c>
      <c r="C383" s="9">
        <f t="shared" si="117"/>
        <v>379</v>
      </c>
      <c r="D383" s="9"/>
      <c r="E383" s="13">
        <f t="shared" si="105"/>
        <v>2000</v>
      </c>
      <c r="F383" s="14">
        <f t="shared" si="119"/>
        <v>808000</v>
      </c>
      <c r="G383" s="15">
        <f t="shared" si="120"/>
        <v>0.21199699006634748</v>
      </c>
      <c r="H383" s="13">
        <f t="shared" si="121"/>
        <v>24221.327863243783</v>
      </c>
      <c r="I383" s="13">
        <f t="shared" si="122"/>
        <v>2982786.8410996841</v>
      </c>
      <c r="J383" s="15">
        <f t="shared" si="123"/>
        <v>0.78800300993365258</v>
      </c>
      <c r="K383" s="13">
        <f t="shared" si="124"/>
        <v>3003374.8678560243</v>
      </c>
      <c r="L383" s="13">
        <f t="shared" si="125"/>
        <v>306830651.93478692</v>
      </c>
      <c r="M383" s="15">
        <f t="shared" si="126"/>
        <v>0.78800300993365258</v>
      </c>
      <c r="N383" s="13">
        <f t="shared" si="127"/>
        <v>0</v>
      </c>
      <c r="O383" s="13">
        <f t="shared" si="128"/>
        <v>-20588.026756338775</v>
      </c>
      <c r="P383" s="15">
        <f t="shared" si="129"/>
        <v>-5.4310694901447704E-3</v>
      </c>
      <c r="Q383" s="7">
        <f t="shared" si="130"/>
        <v>3790786.8410996855</v>
      </c>
      <c r="R383" s="7">
        <f t="shared" si="131"/>
        <v>3811374.8678560243</v>
      </c>
      <c r="S383" s="13">
        <f>IF('BANCO DE DADOS'!$AD$32="Sim",R383,Q383)</f>
        <v>3811374.8678560243</v>
      </c>
      <c r="T383" s="9">
        <f t="shared" si="132"/>
        <v>379</v>
      </c>
      <c r="U383" s="18">
        <f t="shared" ca="1" si="116"/>
        <v>55916</v>
      </c>
    </row>
    <row r="384" spans="2:21" x14ac:dyDescent="0.2">
      <c r="B384" s="18">
        <f t="shared" ca="1" si="104"/>
        <v>55916</v>
      </c>
      <c r="C384" s="9">
        <f t="shared" si="117"/>
        <v>380</v>
      </c>
      <c r="D384" s="9"/>
      <c r="E384" s="13">
        <f t="shared" si="105"/>
        <v>2000</v>
      </c>
      <c r="F384" s="14">
        <f t="shared" si="119"/>
        <v>810000</v>
      </c>
      <c r="G384" s="15">
        <f t="shared" si="120"/>
        <v>0.21105235663941146</v>
      </c>
      <c r="H384" s="13">
        <f t="shared" si="121"/>
        <v>24390.036676240165</v>
      </c>
      <c r="I384" s="13">
        <f t="shared" si="122"/>
        <v>3007176.8777759243</v>
      </c>
      <c r="J384" s="15">
        <f t="shared" si="123"/>
        <v>0.78894764336058854</v>
      </c>
      <c r="K384" s="13">
        <f t="shared" si="124"/>
        <v>3027910.2365765404</v>
      </c>
      <c r="L384" s="13">
        <f t="shared" si="125"/>
        <v>309858562.17136347</v>
      </c>
      <c r="M384" s="15">
        <f t="shared" si="126"/>
        <v>0.78894764336058854</v>
      </c>
      <c r="N384" s="13">
        <f t="shared" si="127"/>
        <v>0</v>
      </c>
      <c r="O384" s="13">
        <f t="shared" si="128"/>
        <v>-20733.358800614718</v>
      </c>
      <c r="P384" s="15">
        <f t="shared" si="129"/>
        <v>-5.4315949887800297E-3</v>
      </c>
      <c r="Q384" s="7">
        <f t="shared" si="130"/>
        <v>3817176.8777759257</v>
      </c>
      <c r="R384" s="7">
        <f t="shared" si="131"/>
        <v>3837910.2365765404</v>
      </c>
      <c r="S384" s="13">
        <f>IF('BANCO DE DADOS'!$AD$32="Sim",R384,Q384)</f>
        <v>3837910.2365765404</v>
      </c>
      <c r="T384" s="9">
        <f t="shared" si="132"/>
        <v>380</v>
      </c>
      <c r="U384" s="18">
        <f t="shared" ca="1" si="116"/>
        <v>55944</v>
      </c>
    </row>
    <row r="385" spans="2:21" x14ac:dyDescent="0.2">
      <c r="B385" s="18">
        <f t="shared" ca="1" si="104"/>
        <v>55944</v>
      </c>
      <c r="C385" s="9">
        <f t="shared" si="117"/>
        <v>381</v>
      </c>
      <c r="D385" s="9"/>
      <c r="E385" s="13">
        <f t="shared" si="105"/>
        <v>2000</v>
      </c>
      <c r="F385" s="14">
        <f t="shared" si="119"/>
        <v>812000</v>
      </c>
      <c r="G385" s="15">
        <f t="shared" si="120"/>
        <v>0.21011141331621405</v>
      </c>
      <c r="H385" s="13">
        <f t="shared" si="121"/>
        <v>24559.830966819191</v>
      </c>
      <c r="I385" s="13">
        <f t="shared" si="122"/>
        <v>3031736.7087427434</v>
      </c>
      <c r="J385" s="15">
        <f t="shared" si="123"/>
        <v>0.78988858668378592</v>
      </c>
      <c r="K385" s="13">
        <f t="shared" si="124"/>
        <v>3052616.3346583843</v>
      </c>
      <c r="L385" s="13">
        <f t="shared" si="125"/>
        <v>312911178.50602186</v>
      </c>
      <c r="M385" s="15">
        <f t="shared" si="126"/>
        <v>0.78988858668378592</v>
      </c>
      <c r="N385" s="13">
        <f t="shared" si="127"/>
        <v>0</v>
      </c>
      <c r="O385" s="13">
        <f t="shared" si="128"/>
        <v>-20879.625915639568</v>
      </c>
      <c r="P385" s="15">
        <f t="shared" si="129"/>
        <v>-5.4321165828418892E-3</v>
      </c>
      <c r="Q385" s="7">
        <f t="shared" si="130"/>
        <v>3843736.7087427448</v>
      </c>
      <c r="R385" s="7">
        <f t="shared" si="131"/>
        <v>3864616.3346583843</v>
      </c>
      <c r="S385" s="13">
        <f>IF('BANCO DE DADOS'!$AD$32="Sim",R385,Q385)</f>
        <v>3864616.3346583843</v>
      </c>
      <c r="T385" s="9">
        <f t="shared" si="132"/>
        <v>381</v>
      </c>
      <c r="U385" s="18">
        <f t="shared" ca="1" si="116"/>
        <v>55975</v>
      </c>
    </row>
    <row r="386" spans="2:21" x14ac:dyDescent="0.2">
      <c r="B386" s="18">
        <f t="shared" ca="1" si="104"/>
        <v>55975</v>
      </c>
      <c r="C386" s="9">
        <f t="shared" si="117"/>
        <v>382</v>
      </c>
      <c r="D386" s="9"/>
      <c r="E386" s="13">
        <f t="shared" si="105"/>
        <v>2000</v>
      </c>
      <c r="F386" s="14">
        <f t="shared" si="119"/>
        <v>814000</v>
      </c>
      <c r="G386" s="15">
        <f t="shared" si="120"/>
        <v>0.2091741489241726</v>
      </c>
      <c r="H386" s="13">
        <f t="shared" si="121"/>
        <v>24730.717718976306</v>
      </c>
      <c r="I386" s="13">
        <f t="shared" si="122"/>
        <v>3056467.4264617194</v>
      </c>
      <c r="J386" s="15">
        <f t="shared" si="123"/>
        <v>0.79082585107582737</v>
      </c>
      <c r="K386" s="13">
        <f t="shared" si="124"/>
        <v>3077494.2605794077</v>
      </c>
      <c r="L386" s="13">
        <f t="shared" si="125"/>
        <v>315988672.76660126</v>
      </c>
      <c r="M386" s="15">
        <f t="shared" si="126"/>
        <v>0.79082585107582737</v>
      </c>
      <c r="N386" s="13">
        <f t="shared" si="127"/>
        <v>0</v>
      </c>
      <c r="O386" s="13">
        <f t="shared" si="128"/>
        <v>-21026.834117686842</v>
      </c>
      <c r="P386" s="15">
        <f t="shared" si="129"/>
        <v>-5.4326343050790172E-3</v>
      </c>
      <c r="Q386" s="7">
        <f t="shared" si="130"/>
        <v>3870467.4264617208</v>
      </c>
      <c r="R386" s="7">
        <f t="shared" si="131"/>
        <v>3891494.2605794077</v>
      </c>
      <c r="S386" s="13">
        <f>IF('BANCO DE DADOS'!$AD$32="Sim",R386,Q386)</f>
        <v>3891494.2605794077</v>
      </c>
      <c r="T386" s="9">
        <f t="shared" si="132"/>
        <v>382</v>
      </c>
      <c r="U386" s="18">
        <f t="shared" ca="1" si="116"/>
        <v>56005</v>
      </c>
    </row>
    <row r="387" spans="2:21" x14ac:dyDescent="0.2">
      <c r="B387" s="18">
        <f t="shared" ca="1" si="104"/>
        <v>56005</v>
      </c>
      <c r="C387" s="9">
        <f t="shared" si="117"/>
        <v>383</v>
      </c>
      <c r="D387" s="9"/>
      <c r="E387" s="13">
        <f t="shared" si="105"/>
        <v>2000</v>
      </c>
      <c r="F387" s="14">
        <f t="shared" si="119"/>
        <v>816000</v>
      </c>
      <c r="G387" s="15">
        <f t="shared" si="120"/>
        <v>0.20824055230578195</v>
      </c>
      <c r="H387" s="13">
        <f t="shared" si="121"/>
        <v>24902.703961642201</v>
      </c>
      <c r="I387" s="13">
        <f t="shared" si="122"/>
        <v>3081370.1304233614</v>
      </c>
      <c r="J387" s="15">
        <f t="shared" si="123"/>
        <v>0.79175944769421802</v>
      </c>
      <c r="K387" s="13">
        <f t="shared" si="124"/>
        <v>3102545.119885101</v>
      </c>
      <c r="L387" s="13">
        <f t="shared" si="125"/>
        <v>319091217.88648635</v>
      </c>
      <c r="M387" s="15">
        <f t="shared" si="126"/>
        <v>0.79175944769421802</v>
      </c>
      <c r="N387" s="13">
        <f t="shared" si="127"/>
        <v>0</v>
      </c>
      <c r="O387" s="13">
        <f t="shared" si="128"/>
        <v>-21174.989461738151</v>
      </c>
      <c r="P387" s="15">
        <f t="shared" si="129"/>
        <v>-5.4331481879135654E-3</v>
      </c>
      <c r="Q387" s="7">
        <f t="shared" si="130"/>
        <v>3897370.1304233628</v>
      </c>
      <c r="R387" s="7">
        <f t="shared" si="131"/>
        <v>3918545.119885101</v>
      </c>
      <c r="S387" s="13">
        <f>IF('BANCO DE DADOS'!$AD$32="Sim",R387,Q387)</f>
        <v>3918545.119885101</v>
      </c>
      <c r="T387" s="9">
        <f t="shared" si="132"/>
        <v>383</v>
      </c>
      <c r="U387" s="18">
        <f t="shared" ca="1" si="116"/>
        <v>56036</v>
      </c>
    </row>
    <row r="388" spans="2:21" x14ac:dyDescent="0.2">
      <c r="B388" s="18">
        <f t="shared" ca="1" si="104"/>
        <v>56036</v>
      </c>
      <c r="C388" s="9">
        <f>C387+1</f>
        <v>384</v>
      </c>
      <c r="D388" s="9">
        <v>32</v>
      </c>
      <c r="E388" s="13">
        <f t="shared" si="105"/>
        <v>2000</v>
      </c>
      <c r="F388" s="14">
        <f t="shared" si="119"/>
        <v>818000</v>
      </c>
      <c r="G388" s="15">
        <f t="shared" si="120"/>
        <v>0.20731061231868805</v>
      </c>
      <c r="H388" s="13">
        <f t="shared" si="121"/>
        <v>25075.796768971912</v>
      </c>
      <c r="I388" s="13">
        <f t="shared" si="122"/>
        <v>3106445.9271923332</v>
      </c>
      <c r="J388" s="15">
        <f t="shared" si="123"/>
        <v>0.79268938768131192</v>
      </c>
      <c r="K388" s="13">
        <f t="shared" si="124"/>
        <v>3127770.0252340687</v>
      </c>
      <c r="L388" s="13">
        <f t="shared" si="125"/>
        <v>322218987.9117204</v>
      </c>
      <c r="M388" s="15">
        <f t="shared" si="126"/>
        <v>0.79268938768131192</v>
      </c>
      <c r="N388" s="13">
        <f t="shared" si="127"/>
        <v>0</v>
      </c>
      <c r="O388" s="13">
        <f t="shared" si="128"/>
        <v>-21324.098041734193</v>
      </c>
      <c r="P388" s="15">
        <f t="shared" si="129"/>
        <v>-5.4336582634456343E-3</v>
      </c>
      <c r="Q388" s="7">
        <f t="shared" si="130"/>
        <v>3924445.9271923346</v>
      </c>
      <c r="R388" s="7">
        <f t="shared" si="131"/>
        <v>3945770.0252340687</v>
      </c>
      <c r="S388" s="13">
        <f>IF('BANCO DE DADOS'!$AD$32="Sim",R388,Q388)</f>
        <v>3945770.0252340687</v>
      </c>
      <c r="T388" s="9">
        <f t="shared" si="132"/>
        <v>384</v>
      </c>
      <c r="U388" s="18">
        <f t="shared" ca="1" si="116"/>
        <v>56066</v>
      </c>
    </row>
    <row r="389" spans="2:21" x14ac:dyDescent="0.2">
      <c r="B389" s="18">
        <f t="shared" ca="1" si="104"/>
        <v>56066</v>
      </c>
      <c r="C389" s="9">
        <f t="shared" si="117"/>
        <v>385</v>
      </c>
      <c r="D389" s="9"/>
      <c r="E389" s="13">
        <f t="shared" si="105"/>
        <v>2000</v>
      </c>
      <c r="F389" s="14">
        <f t="shared" si="119"/>
        <v>820000</v>
      </c>
      <c r="G389" s="15">
        <f t="shared" si="120"/>
        <v>0.20638431783576172</v>
      </c>
      <c r="H389" s="13">
        <f t="shared" si="121"/>
        <v>25250.003260635811</v>
      </c>
      <c r="I389" s="13">
        <f t="shared" si="122"/>
        <v>3131695.9304529689</v>
      </c>
      <c r="J389" s="15">
        <f t="shared" si="123"/>
        <v>0.79361568216423828</v>
      </c>
      <c r="K389" s="13">
        <f t="shared" si="124"/>
        <v>3153170.0964437937</v>
      </c>
      <c r="L389" s="13">
        <f t="shared" si="125"/>
        <v>325372158.00816417</v>
      </c>
      <c r="M389" s="15">
        <f t="shared" si="126"/>
        <v>0.79361568216423828</v>
      </c>
      <c r="N389" s="13">
        <f t="shared" si="127"/>
        <v>0</v>
      </c>
      <c r="O389" s="13">
        <f t="shared" si="128"/>
        <v>-21474.165990823414</v>
      </c>
      <c r="P389" s="15">
        <f t="shared" si="129"/>
        <v>-5.4341645634566572E-3</v>
      </c>
      <c r="Q389" s="7">
        <f t="shared" si="130"/>
        <v>3951695.9304529703</v>
      </c>
      <c r="R389" s="7">
        <f t="shared" si="131"/>
        <v>3973170.0964437937</v>
      </c>
      <c r="S389" s="13">
        <f>IF('BANCO DE DADOS'!$AD$32="Sim",R389,Q389)</f>
        <v>3973170.0964437937</v>
      </c>
      <c r="T389" s="9">
        <f t="shared" si="132"/>
        <v>385</v>
      </c>
      <c r="U389" s="18">
        <f t="shared" ca="1" si="116"/>
        <v>56097</v>
      </c>
    </row>
    <row r="390" spans="2:21" x14ac:dyDescent="0.2">
      <c r="B390" s="18">
        <f t="shared" ref="B390:B453" ca="1" si="133">DATE(YEAR(B389),MONTH(B389)+1,1)</f>
        <v>56097</v>
      </c>
      <c r="C390" s="9">
        <f t="shared" si="117"/>
        <v>386</v>
      </c>
      <c r="D390" s="9"/>
      <c r="E390" s="13">
        <f t="shared" ref="E390:E453" si="134">IF($AE$33,IF($AE$34,$E389*(1+Inflação)*(1+Crescimento_Salário),$E389*(1+Inflação)),IF($AE$34,$E389*(1+Crescimento_Salário),$E389))</f>
        <v>2000</v>
      </c>
      <c r="F390" s="14">
        <f t="shared" si="119"/>
        <v>822000</v>
      </c>
      <c r="G390" s="15">
        <f t="shared" si="120"/>
        <v>0.20546165774517214</v>
      </c>
      <c r="H390" s="13">
        <f t="shared" si="121"/>
        <v>25425.330602112434</v>
      </c>
      <c r="I390" s="13">
        <f t="shared" si="122"/>
        <v>3157121.2610550812</v>
      </c>
      <c r="J390" s="15">
        <f t="shared" si="123"/>
        <v>0.79453834225482789</v>
      </c>
      <c r="K390" s="13">
        <f t="shared" si="124"/>
        <v>3178746.4605366983</v>
      </c>
      <c r="L390" s="13">
        <f t="shared" si="125"/>
        <v>328550904.46870089</v>
      </c>
      <c r="M390" s="15">
        <f t="shared" si="126"/>
        <v>0.79453834225482789</v>
      </c>
      <c r="N390" s="13">
        <f t="shared" si="127"/>
        <v>0</v>
      </c>
      <c r="O390" s="13">
        <f t="shared" si="128"/>
        <v>-21625.199481615797</v>
      </c>
      <c r="P390" s="15">
        <f t="shared" si="129"/>
        <v>-5.4346671194136402E-3</v>
      </c>
      <c r="Q390" s="7">
        <f t="shared" si="130"/>
        <v>3979121.2610550825</v>
      </c>
      <c r="R390" s="7">
        <f t="shared" si="131"/>
        <v>4000746.4605366983</v>
      </c>
      <c r="S390" s="13">
        <f>IF('BANCO DE DADOS'!$AD$32="Sim",R390,Q390)</f>
        <v>4000746.4605366983</v>
      </c>
      <c r="T390" s="9">
        <f t="shared" si="132"/>
        <v>386</v>
      </c>
      <c r="U390" s="18">
        <f t="shared" ref="U390:U453" ca="1" si="135">DATE(YEAR(U389),MONTH(U389)+1,1)</f>
        <v>56128</v>
      </c>
    </row>
    <row r="391" spans="2:21" x14ac:dyDescent="0.2">
      <c r="B391" s="18">
        <f t="shared" ca="1" si="133"/>
        <v>56128</v>
      </c>
      <c r="C391" s="9">
        <f t="shared" ref="C391:C454" si="136">C390+1</f>
        <v>387</v>
      </c>
      <c r="D391" s="9"/>
      <c r="E391" s="13">
        <f t="shared" si="134"/>
        <v>2000</v>
      </c>
      <c r="F391" s="14">
        <f t="shared" si="119"/>
        <v>824000</v>
      </c>
      <c r="G391" s="15">
        <f t="shared" si="120"/>
        <v>0.20454262095046025</v>
      </c>
      <c r="H391" s="13">
        <f t="shared" si="121"/>
        <v>25601.78600498322</v>
      </c>
      <c r="I391" s="13">
        <f t="shared" si="122"/>
        <v>3182723.0470600645</v>
      </c>
      <c r="J391" s="15">
        <f t="shared" si="123"/>
        <v>0.79545737904953973</v>
      </c>
      <c r="K391" s="13">
        <f t="shared" si="124"/>
        <v>3204500.2517865011</v>
      </c>
      <c r="L391" s="13">
        <f t="shared" si="125"/>
        <v>331755404.72048742</v>
      </c>
      <c r="M391" s="15">
        <f t="shared" si="126"/>
        <v>0.79545737904953973</v>
      </c>
      <c r="N391" s="13">
        <f t="shared" si="127"/>
        <v>0</v>
      </c>
      <c r="O391" s="13">
        <f t="shared" si="128"/>
        <v>-21777.204726435244</v>
      </c>
      <c r="P391" s="15">
        <f t="shared" si="129"/>
        <v>-5.4351659624725683E-3</v>
      </c>
      <c r="Q391" s="7">
        <f t="shared" si="130"/>
        <v>4006723.0470600659</v>
      </c>
      <c r="R391" s="7">
        <f t="shared" si="131"/>
        <v>4028500.2517865011</v>
      </c>
      <c r="S391" s="13">
        <f>IF('BANCO DE DADOS'!$AD$32="Sim",R391,Q391)</f>
        <v>4028500.2517865011</v>
      </c>
      <c r="T391" s="9">
        <f t="shared" si="132"/>
        <v>387</v>
      </c>
      <c r="U391" s="18">
        <f t="shared" ca="1" si="135"/>
        <v>56158</v>
      </c>
    </row>
    <row r="392" spans="2:21" x14ac:dyDescent="0.2">
      <c r="B392" s="18">
        <f t="shared" ca="1" si="133"/>
        <v>56158</v>
      </c>
      <c r="C392" s="9">
        <f t="shared" si="136"/>
        <v>388</v>
      </c>
      <c r="D392" s="9"/>
      <c r="E392" s="13">
        <f t="shared" si="134"/>
        <v>2000</v>
      </c>
      <c r="F392" s="14">
        <f t="shared" si="119"/>
        <v>826000</v>
      </c>
      <c r="G392" s="15">
        <f t="shared" si="120"/>
        <v>0.20362719637061197</v>
      </c>
      <c r="H392" s="13">
        <f t="shared" si="121"/>
        <v>25779.376727229155</v>
      </c>
      <c r="I392" s="13">
        <f t="shared" si="122"/>
        <v>3208502.4237872935</v>
      </c>
      <c r="J392" s="15">
        <f t="shared" si="123"/>
        <v>0.796372803629388</v>
      </c>
      <c r="K392" s="13">
        <f t="shared" si="124"/>
        <v>3230432.611764872</v>
      </c>
      <c r="L392" s="13">
        <f t="shared" si="125"/>
        <v>334985837.33225226</v>
      </c>
      <c r="M392" s="15">
        <f t="shared" si="126"/>
        <v>0.796372803629388</v>
      </c>
      <c r="N392" s="13">
        <f t="shared" si="127"/>
        <v>0</v>
      </c>
      <c r="O392" s="13">
        <f t="shared" si="128"/>
        <v>-21930.187977577094</v>
      </c>
      <c r="P392" s="15">
        <f t="shared" si="129"/>
        <v>-5.435661123482643E-3</v>
      </c>
      <c r="Q392" s="7">
        <f t="shared" si="130"/>
        <v>4034502.4237872949</v>
      </c>
      <c r="R392" s="7">
        <f t="shared" si="131"/>
        <v>4056432.611764872</v>
      </c>
      <c r="S392" s="13">
        <f>IF('BANCO DE DADOS'!$AD$32="Sim",R392,Q392)</f>
        <v>4056432.611764872</v>
      </c>
      <c r="T392" s="9">
        <f t="shared" si="132"/>
        <v>388</v>
      </c>
      <c r="U392" s="18">
        <f t="shared" ca="1" si="135"/>
        <v>56189</v>
      </c>
    </row>
    <row r="393" spans="2:21" x14ac:dyDescent="0.2">
      <c r="B393" s="18">
        <f t="shared" ca="1" si="133"/>
        <v>56189</v>
      </c>
      <c r="C393" s="9">
        <f t="shared" si="136"/>
        <v>389</v>
      </c>
      <c r="D393" s="9"/>
      <c r="E393" s="13">
        <f t="shared" si="134"/>
        <v>2000</v>
      </c>
      <c r="F393" s="14">
        <f t="shared" si="119"/>
        <v>828000</v>
      </c>
      <c r="G393" s="15">
        <f t="shared" si="120"/>
        <v>0.20271537294013139</v>
      </c>
      <c r="H393" s="13">
        <f t="shared" si="121"/>
        <v>25958.110073529275</v>
      </c>
      <c r="I393" s="13">
        <f t="shared" si="122"/>
        <v>3234460.5338608227</v>
      </c>
      <c r="J393" s="15">
        <f t="shared" si="123"/>
        <v>0.79728462705986858</v>
      </c>
      <c r="K393" s="13">
        <f t="shared" si="124"/>
        <v>3256544.6893883869</v>
      </c>
      <c r="L393" s="13">
        <f t="shared" si="125"/>
        <v>338242382.02164066</v>
      </c>
      <c r="M393" s="15">
        <f t="shared" si="126"/>
        <v>0.79728462705986858</v>
      </c>
      <c r="N393" s="13">
        <f t="shared" si="127"/>
        <v>0</v>
      </c>
      <c r="O393" s="13">
        <f t="shared" si="128"/>
        <v>-22084.155527562834</v>
      </c>
      <c r="P393" s="15">
        <f t="shared" si="129"/>
        <v>-5.436152632989349E-3</v>
      </c>
      <c r="Q393" s="7">
        <f t="shared" si="130"/>
        <v>4062460.5338608241</v>
      </c>
      <c r="R393" s="7">
        <f t="shared" si="131"/>
        <v>4084544.6893883869</v>
      </c>
      <c r="S393" s="13">
        <f>IF('BANCO DE DADOS'!$AD$32="Sim",R393,Q393)</f>
        <v>4084544.6893883869</v>
      </c>
      <c r="T393" s="9">
        <f t="shared" si="132"/>
        <v>389</v>
      </c>
      <c r="U393" s="18">
        <f t="shared" ca="1" si="135"/>
        <v>56219</v>
      </c>
    </row>
    <row r="394" spans="2:21" x14ac:dyDescent="0.2">
      <c r="B394" s="18">
        <f t="shared" ca="1" si="133"/>
        <v>56219</v>
      </c>
      <c r="C394" s="9">
        <f t="shared" si="136"/>
        <v>390</v>
      </c>
      <c r="D394" s="9"/>
      <c r="E394" s="13">
        <f t="shared" si="134"/>
        <v>2000</v>
      </c>
      <c r="F394" s="14">
        <f t="shared" si="119"/>
        <v>830000</v>
      </c>
      <c r="G394" s="15">
        <f t="shared" si="120"/>
        <v>0.20180713960911364</v>
      </c>
      <c r="H394" s="13">
        <f t="shared" si="121"/>
        <v>26137.993395561152</v>
      </c>
      <c r="I394" s="13">
        <f t="shared" si="122"/>
        <v>3260598.527256384</v>
      </c>
      <c r="J394" s="15">
        <f t="shared" si="123"/>
        <v>0.79819286039088633</v>
      </c>
      <c r="K394" s="13">
        <f t="shared" si="124"/>
        <v>3282837.6409657863</v>
      </c>
      <c r="L394" s="13">
        <f t="shared" si="125"/>
        <v>341525219.66260642</v>
      </c>
      <c r="M394" s="15">
        <f t="shared" si="126"/>
        <v>0.79819286039088633</v>
      </c>
      <c r="N394" s="13">
        <f t="shared" si="127"/>
        <v>0</v>
      </c>
      <c r="O394" s="13">
        <f t="shared" si="128"/>
        <v>-22239.113709400874</v>
      </c>
      <c r="P394" s="15">
        <f t="shared" si="129"/>
        <v>-5.4366405212385683E-3</v>
      </c>
      <c r="Q394" s="7">
        <f t="shared" si="130"/>
        <v>4090598.5272563854</v>
      </c>
      <c r="R394" s="7">
        <f t="shared" si="131"/>
        <v>4112837.6409657863</v>
      </c>
      <c r="S394" s="13">
        <f>IF('BANCO DE DADOS'!$AD$32="Sim",R394,Q394)</f>
        <v>4112837.6409657863</v>
      </c>
      <c r="T394" s="9">
        <f t="shared" si="132"/>
        <v>390</v>
      </c>
      <c r="U394" s="18">
        <f t="shared" ca="1" si="135"/>
        <v>56250</v>
      </c>
    </row>
    <row r="395" spans="2:21" x14ac:dyDescent="0.2">
      <c r="B395" s="18">
        <f t="shared" ca="1" si="133"/>
        <v>56250</v>
      </c>
      <c r="C395" s="9">
        <f t="shared" si="136"/>
        <v>391</v>
      </c>
      <c r="D395" s="9"/>
      <c r="E395" s="13">
        <f t="shared" si="134"/>
        <v>2000</v>
      </c>
      <c r="F395" s="14">
        <f t="shared" si="119"/>
        <v>832000</v>
      </c>
      <c r="G395" s="15">
        <f t="shared" si="120"/>
        <v>0.20090248534331764</v>
      </c>
      <c r="H395" s="13">
        <f t="shared" si="121"/>
        <v>26319.034092303271</v>
      </c>
      <c r="I395" s="13">
        <f t="shared" si="122"/>
        <v>3286917.5613486874</v>
      </c>
      <c r="J395" s="15">
        <f t="shared" si="123"/>
        <v>0.79909751465668233</v>
      </c>
      <c r="K395" s="13">
        <f t="shared" si="124"/>
        <v>3309312.6302455356</v>
      </c>
      <c r="L395" s="13">
        <f t="shared" si="125"/>
        <v>344834532.29285192</v>
      </c>
      <c r="M395" s="15">
        <f t="shared" si="126"/>
        <v>0.79909751465668233</v>
      </c>
      <c r="N395" s="13">
        <f t="shared" si="127"/>
        <v>0</v>
      </c>
      <c r="O395" s="13">
        <f t="shared" si="128"/>
        <v>-22395.068896846846</v>
      </c>
      <c r="P395" s="15">
        <f t="shared" si="129"/>
        <v>-5.4371248181801085E-3</v>
      </c>
      <c r="Q395" s="7">
        <f t="shared" si="130"/>
        <v>4118917.5613486888</v>
      </c>
      <c r="R395" s="7">
        <f t="shared" si="131"/>
        <v>4141312.6302455356</v>
      </c>
      <c r="S395" s="13">
        <f>IF('BANCO DE DADOS'!$AD$32="Sim",R395,Q395)</f>
        <v>4141312.6302455356</v>
      </c>
      <c r="T395" s="9">
        <f t="shared" si="132"/>
        <v>391</v>
      </c>
      <c r="U395" s="18">
        <f t="shared" ca="1" si="135"/>
        <v>56281</v>
      </c>
    </row>
    <row r="396" spans="2:21" x14ac:dyDescent="0.2">
      <c r="B396" s="18">
        <f t="shared" ca="1" si="133"/>
        <v>56281</v>
      </c>
      <c r="C396" s="9">
        <f t="shared" si="136"/>
        <v>392</v>
      </c>
      <c r="D396" s="9"/>
      <c r="E396" s="13">
        <f t="shared" si="134"/>
        <v>2000</v>
      </c>
      <c r="F396" s="14">
        <f t="shared" si="119"/>
        <v>834000</v>
      </c>
      <c r="G396" s="15">
        <f t="shared" si="120"/>
        <v>0.20000139912423884</v>
      </c>
      <c r="H396" s="13">
        <f t="shared" si="121"/>
        <v>26501.239610339366</v>
      </c>
      <c r="I396" s="13">
        <f t="shared" si="122"/>
        <v>3313418.8009590269</v>
      </c>
      <c r="J396" s="15">
        <f t="shared" si="123"/>
        <v>0.79999860087576113</v>
      </c>
      <c r="K396" s="13">
        <f t="shared" si="124"/>
        <v>3335970.8284636931</v>
      </c>
      <c r="L396" s="13">
        <f t="shared" si="125"/>
        <v>348170503.1213156</v>
      </c>
      <c r="M396" s="15">
        <f t="shared" si="126"/>
        <v>0.79999860087576113</v>
      </c>
      <c r="N396" s="13">
        <f t="shared" si="127"/>
        <v>0</v>
      </c>
      <c r="O396" s="13">
        <f t="shared" si="128"/>
        <v>-22552.027504664846</v>
      </c>
      <c r="P396" s="15">
        <f t="shared" si="129"/>
        <v>-5.4376055534709998E-3</v>
      </c>
      <c r="Q396" s="7">
        <f t="shared" si="130"/>
        <v>4147418.8009590283</v>
      </c>
      <c r="R396" s="7">
        <f t="shared" si="131"/>
        <v>4169970.8284636931</v>
      </c>
      <c r="S396" s="13">
        <f>IF('BANCO DE DADOS'!$AD$32="Sim",R396,Q396)</f>
        <v>4169970.8284636931</v>
      </c>
      <c r="T396" s="9">
        <f t="shared" si="132"/>
        <v>392</v>
      </c>
      <c r="U396" s="18">
        <f t="shared" ca="1" si="135"/>
        <v>56309</v>
      </c>
    </row>
    <row r="397" spans="2:21" x14ac:dyDescent="0.2">
      <c r="B397" s="18">
        <f t="shared" ca="1" si="133"/>
        <v>56309</v>
      </c>
      <c r="C397" s="9">
        <f t="shared" si="136"/>
        <v>393</v>
      </c>
      <c r="D397" s="9"/>
      <c r="E397" s="13">
        <f t="shared" si="134"/>
        <v>2000</v>
      </c>
      <c r="F397" s="14">
        <f t="shared" si="119"/>
        <v>836000</v>
      </c>
      <c r="G397" s="15">
        <f t="shared" si="120"/>
        <v>0.19910386994918142</v>
      </c>
      <c r="H397" s="13">
        <f t="shared" si="121"/>
        <v>26684.617444164713</v>
      </c>
      <c r="I397" s="13">
        <f t="shared" si="122"/>
        <v>3340103.4184031915</v>
      </c>
      <c r="J397" s="15">
        <f t="shared" si="123"/>
        <v>0.80089613005081861</v>
      </c>
      <c r="K397" s="13">
        <f t="shared" si="124"/>
        <v>3362813.4143920848</v>
      </c>
      <c r="L397" s="13">
        <f t="shared" si="125"/>
        <v>351533316.53570771</v>
      </c>
      <c r="M397" s="15">
        <f t="shared" si="126"/>
        <v>0.80089613005081861</v>
      </c>
      <c r="N397" s="13">
        <f t="shared" si="127"/>
        <v>0</v>
      </c>
      <c r="O397" s="13">
        <f t="shared" si="128"/>
        <v>-22709.995988891926</v>
      </c>
      <c r="P397" s="15">
        <f t="shared" si="129"/>
        <v>-5.4380827564791236E-3</v>
      </c>
      <c r="Q397" s="7">
        <f t="shared" si="130"/>
        <v>4176103.4184031929</v>
      </c>
      <c r="R397" s="7">
        <f t="shared" si="131"/>
        <v>4198813.4143920848</v>
      </c>
      <c r="S397" s="13">
        <f>IF('BANCO DE DADOS'!$AD$32="Sim",R397,Q397)</f>
        <v>4198813.4143920848</v>
      </c>
      <c r="T397" s="9">
        <f t="shared" si="132"/>
        <v>393</v>
      </c>
      <c r="U397" s="18">
        <f t="shared" ca="1" si="135"/>
        <v>56340</v>
      </c>
    </row>
    <row r="398" spans="2:21" x14ac:dyDescent="0.2">
      <c r="B398" s="18">
        <f t="shared" ca="1" si="133"/>
        <v>56340</v>
      </c>
      <c r="C398" s="9">
        <f t="shared" si="136"/>
        <v>394</v>
      </c>
      <c r="D398" s="9"/>
      <c r="E398" s="13">
        <f t="shared" si="134"/>
        <v>2000</v>
      </c>
      <c r="F398" s="14">
        <f t="shared" si="119"/>
        <v>838000</v>
      </c>
      <c r="G398" s="15">
        <f t="shared" si="120"/>
        <v>0.19820988683133056</v>
      </c>
      <c r="H398" s="13">
        <f t="shared" si="121"/>
        <v>26869.175136494396</v>
      </c>
      <c r="I398" s="13">
        <f t="shared" si="122"/>
        <v>3366972.5935396859</v>
      </c>
      <c r="J398" s="15">
        <f t="shared" si="123"/>
        <v>0.80179011316866944</v>
      </c>
      <c r="K398" s="13">
        <f t="shared" si="124"/>
        <v>3389841.5743867895</v>
      </c>
      <c r="L398" s="13">
        <f t="shared" si="125"/>
        <v>354923158.11009449</v>
      </c>
      <c r="M398" s="15">
        <f t="shared" si="126"/>
        <v>0.80179011316866944</v>
      </c>
      <c r="N398" s="13">
        <f t="shared" si="127"/>
        <v>0</v>
      </c>
      <c r="O398" s="13">
        <f t="shared" si="128"/>
        <v>-22868.98084710259</v>
      </c>
      <c r="P398" s="15">
        <f t="shared" si="129"/>
        <v>-5.4385564562863904E-3</v>
      </c>
      <c r="Q398" s="7">
        <f t="shared" si="130"/>
        <v>4204972.5935396869</v>
      </c>
      <c r="R398" s="7">
        <f t="shared" si="131"/>
        <v>4227841.5743867895</v>
      </c>
      <c r="S398" s="13">
        <f>IF('BANCO DE DADOS'!$AD$32="Sim",R398,Q398)</f>
        <v>4227841.5743867895</v>
      </c>
      <c r="T398" s="9">
        <f t="shared" si="132"/>
        <v>394</v>
      </c>
      <c r="U398" s="18">
        <f t="shared" ca="1" si="135"/>
        <v>56370</v>
      </c>
    </row>
    <row r="399" spans="2:21" x14ac:dyDescent="0.2">
      <c r="B399" s="18">
        <f t="shared" ca="1" si="133"/>
        <v>56370</v>
      </c>
      <c r="C399" s="9">
        <f t="shared" si="136"/>
        <v>395</v>
      </c>
      <c r="D399" s="9"/>
      <c r="E399" s="13">
        <f t="shared" si="134"/>
        <v>2000</v>
      </c>
      <c r="F399" s="14">
        <f t="shared" si="119"/>
        <v>840000</v>
      </c>
      <c r="G399" s="15">
        <f t="shared" si="120"/>
        <v>0.19731943879982439</v>
      </c>
      <c r="H399" s="13">
        <f t="shared" si="121"/>
        <v>27054.920278573562</v>
      </c>
      <c r="I399" s="13">
        <f t="shared" si="122"/>
        <v>3394027.5138182594</v>
      </c>
      <c r="J399" s="15">
        <f t="shared" si="123"/>
        <v>0.80268056120017561</v>
      </c>
      <c r="K399" s="13">
        <f t="shared" si="124"/>
        <v>3417056.5024369387</v>
      </c>
      <c r="L399" s="13">
        <f t="shared" si="125"/>
        <v>358340214.61253142</v>
      </c>
      <c r="M399" s="15">
        <f t="shared" si="126"/>
        <v>0.80268056120017561</v>
      </c>
      <c r="N399" s="13">
        <f t="shared" si="127"/>
        <v>0</v>
      </c>
      <c r="O399" s="13">
        <f t="shared" si="128"/>
        <v>-23028.988618678413</v>
      </c>
      <c r="P399" s="15">
        <f t="shared" si="129"/>
        <v>-5.4390266816926741E-3</v>
      </c>
      <c r="Q399" s="7">
        <f t="shared" si="130"/>
        <v>4234027.5138182603</v>
      </c>
      <c r="R399" s="7">
        <f t="shared" si="131"/>
        <v>4257056.5024369387</v>
      </c>
      <c r="S399" s="13">
        <f>IF('BANCO DE DADOS'!$AD$32="Sim",R399,Q399)</f>
        <v>4257056.5024369387</v>
      </c>
      <c r="T399" s="9">
        <f t="shared" si="132"/>
        <v>395</v>
      </c>
      <c r="U399" s="18">
        <f t="shared" ca="1" si="135"/>
        <v>56401</v>
      </c>
    </row>
    <row r="400" spans="2:21" x14ac:dyDescent="0.2">
      <c r="B400" s="18">
        <f t="shared" ca="1" si="133"/>
        <v>56401</v>
      </c>
      <c r="C400" s="9">
        <f>C399+1</f>
        <v>396</v>
      </c>
      <c r="D400" s="9">
        <v>33</v>
      </c>
      <c r="E400" s="13">
        <f t="shared" si="134"/>
        <v>2000</v>
      </c>
      <c r="F400" s="14">
        <f t="shared" si="119"/>
        <v>842000</v>
      </c>
      <c r="G400" s="15">
        <f t="shared" si="120"/>
        <v>0.19643251489982574</v>
      </c>
      <c r="H400" s="13">
        <f t="shared" si="121"/>
        <v>27241.860510489652</v>
      </c>
      <c r="I400" s="13">
        <f t="shared" si="122"/>
        <v>3421269.3743287488</v>
      </c>
      <c r="J400" s="15">
        <f t="shared" si="123"/>
        <v>0.80356748510017428</v>
      </c>
      <c r="K400" s="13">
        <f t="shared" si="124"/>
        <v>3444459.4002138237</v>
      </c>
      <c r="L400" s="13">
        <f t="shared" si="125"/>
        <v>361784674.01274526</v>
      </c>
      <c r="M400" s="15">
        <f t="shared" si="126"/>
        <v>0.80356748510017428</v>
      </c>
      <c r="N400" s="13">
        <f t="shared" si="127"/>
        <v>0</v>
      </c>
      <c r="O400" s="13">
        <f t="shared" si="128"/>
        <v>-23190.025885073468</v>
      </c>
      <c r="P400" s="15">
        <f t="shared" si="129"/>
        <v>-5.4394934612182998E-3</v>
      </c>
      <c r="Q400" s="7">
        <f t="shared" si="130"/>
        <v>4263269.3743287502</v>
      </c>
      <c r="R400" s="7">
        <f t="shared" si="131"/>
        <v>4286459.4002138237</v>
      </c>
      <c r="S400" s="13">
        <f>IF('BANCO DE DADOS'!$AD$32="Sim",R400,Q400)</f>
        <v>4286459.4002138237</v>
      </c>
      <c r="T400" s="9">
        <f t="shared" si="132"/>
        <v>396</v>
      </c>
      <c r="U400" s="18">
        <f t="shared" ca="1" si="135"/>
        <v>56431</v>
      </c>
    </row>
    <row r="401" spans="2:21" x14ac:dyDescent="0.2">
      <c r="B401" s="18">
        <f t="shared" ca="1" si="133"/>
        <v>56431</v>
      </c>
      <c r="C401" s="9">
        <f t="shared" si="136"/>
        <v>397</v>
      </c>
      <c r="D401" s="9"/>
      <c r="E401" s="13">
        <f t="shared" si="134"/>
        <v>2000</v>
      </c>
      <c r="F401" s="14">
        <f t="shared" si="119"/>
        <v>844000</v>
      </c>
      <c r="G401" s="15">
        <f t="shared" si="120"/>
        <v>0.19554910419259353</v>
      </c>
      <c r="H401" s="13">
        <f t="shared" si="121"/>
        <v>27430.003521486666</v>
      </c>
      <c r="I401" s="13">
        <f t="shared" si="122"/>
        <v>3448699.3778502354</v>
      </c>
      <c r="J401" s="15">
        <f t="shared" si="123"/>
        <v>0.80445089580740647</v>
      </c>
      <c r="K401" s="13">
        <f t="shared" si="124"/>
        <v>3472051.4771203268</v>
      </c>
      <c r="L401" s="13">
        <f t="shared" si="125"/>
        <v>365256725.4898656</v>
      </c>
      <c r="M401" s="15">
        <f t="shared" si="126"/>
        <v>0.80445089580740647</v>
      </c>
      <c r="N401" s="13">
        <f t="shared" si="127"/>
        <v>0</v>
      </c>
      <c r="O401" s="13">
        <f t="shared" si="128"/>
        <v>-23352.099270089529</v>
      </c>
      <c r="P401" s="15">
        <f t="shared" si="129"/>
        <v>-5.439956823108388E-3</v>
      </c>
      <c r="Q401" s="7">
        <f t="shared" si="130"/>
        <v>4292699.3778502373</v>
      </c>
      <c r="R401" s="7">
        <f t="shared" si="131"/>
        <v>4316051.4771203268</v>
      </c>
      <c r="S401" s="13">
        <f>IF('BANCO DE DADOS'!$AD$32="Sim",R401,Q401)</f>
        <v>4316051.4771203268</v>
      </c>
      <c r="T401" s="9">
        <f t="shared" si="132"/>
        <v>397</v>
      </c>
      <c r="U401" s="18">
        <f t="shared" ca="1" si="135"/>
        <v>56462</v>
      </c>
    </row>
    <row r="402" spans="2:21" x14ac:dyDescent="0.2">
      <c r="B402" s="18">
        <f t="shared" ca="1" si="133"/>
        <v>56462</v>
      </c>
      <c r="C402" s="9">
        <f t="shared" si="136"/>
        <v>398</v>
      </c>
      <c r="D402" s="9"/>
      <c r="E402" s="13">
        <f t="shared" si="134"/>
        <v>2000</v>
      </c>
      <c r="F402" s="14">
        <f t="shared" si="119"/>
        <v>846000</v>
      </c>
      <c r="G402" s="15">
        <f t="shared" si="120"/>
        <v>0.19466919575555416</v>
      </c>
      <c r="H402" s="13">
        <f t="shared" si="121"/>
        <v>27619.357050281418</v>
      </c>
      <c r="I402" s="13">
        <f t="shared" si="122"/>
        <v>3476318.7349005169</v>
      </c>
      <c r="J402" s="15">
        <f t="shared" si="123"/>
        <v>0.80533080424444581</v>
      </c>
      <c r="K402" s="13">
        <f t="shared" si="124"/>
        <v>3499833.950340664</v>
      </c>
      <c r="L402" s="13">
        <f t="shared" si="125"/>
        <v>368756559.44020629</v>
      </c>
      <c r="M402" s="15">
        <f t="shared" si="126"/>
        <v>0.80533080424444581</v>
      </c>
      <c r="N402" s="13">
        <f t="shared" si="127"/>
        <v>0</v>
      </c>
      <c r="O402" s="13">
        <f t="shared" si="128"/>
        <v>-23515.215440145694</v>
      </c>
      <c r="P402" s="15">
        <f t="shared" si="129"/>
        <v>-5.440416795335413E-3</v>
      </c>
      <c r="Q402" s="7">
        <f t="shared" si="130"/>
        <v>4322318.7349005183</v>
      </c>
      <c r="R402" s="7">
        <f t="shared" si="131"/>
        <v>4345833.950340664</v>
      </c>
      <c r="S402" s="13">
        <f>IF('BANCO DE DADOS'!$AD$32="Sim",R402,Q402)</f>
        <v>4345833.950340664</v>
      </c>
      <c r="T402" s="9">
        <f t="shared" si="132"/>
        <v>398</v>
      </c>
      <c r="U402" s="18">
        <f t="shared" ca="1" si="135"/>
        <v>56493</v>
      </c>
    </row>
    <row r="403" spans="2:21" x14ac:dyDescent="0.2">
      <c r="B403" s="18">
        <f t="shared" ca="1" si="133"/>
        <v>56493</v>
      </c>
      <c r="C403" s="9">
        <f t="shared" si="136"/>
        <v>399</v>
      </c>
      <c r="D403" s="9"/>
      <c r="E403" s="13">
        <f t="shared" si="134"/>
        <v>2000</v>
      </c>
      <c r="F403" s="14">
        <f t="shared" si="119"/>
        <v>848000</v>
      </c>
      <c r="G403" s="15">
        <f t="shared" si="120"/>
        <v>0.19379277868237244</v>
      </c>
      <c r="H403" s="13">
        <f t="shared" si="121"/>
        <v>27809.928885381869</v>
      </c>
      <c r="I403" s="13">
        <f t="shared" si="122"/>
        <v>3504128.6637858986</v>
      </c>
      <c r="J403" s="15">
        <f t="shared" si="123"/>
        <v>0.80620722131762756</v>
      </c>
      <c r="K403" s="13">
        <f t="shared" si="124"/>
        <v>3527808.0448904512</v>
      </c>
      <c r="L403" s="13">
        <f t="shared" si="125"/>
        <v>372284367.48509675</v>
      </c>
      <c r="M403" s="15">
        <f t="shared" si="126"/>
        <v>0.80620722131762756</v>
      </c>
      <c r="N403" s="13">
        <f t="shared" si="127"/>
        <v>0</v>
      </c>
      <c r="O403" s="13">
        <f t="shared" si="128"/>
        <v>-23679.381104551256</v>
      </c>
      <c r="P403" s="15">
        <f t="shared" si="129"/>
        <v>-5.4408734056020881E-3</v>
      </c>
      <c r="Q403" s="7">
        <f t="shared" si="130"/>
        <v>4352128.6637859</v>
      </c>
      <c r="R403" s="7">
        <f t="shared" si="131"/>
        <v>4375808.0448904512</v>
      </c>
      <c r="S403" s="13">
        <f>IF('BANCO DE DADOS'!$AD$32="Sim",R403,Q403)</f>
        <v>4375808.0448904512</v>
      </c>
      <c r="T403" s="9">
        <f t="shared" si="132"/>
        <v>399</v>
      </c>
      <c r="U403" s="18">
        <f t="shared" ca="1" si="135"/>
        <v>56523</v>
      </c>
    </row>
    <row r="404" spans="2:21" x14ac:dyDescent="0.2">
      <c r="B404" s="18">
        <f t="shared" ca="1" si="133"/>
        <v>56523</v>
      </c>
      <c r="C404" s="9">
        <f t="shared" si="136"/>
        <v>400</v>
      </c>
      <c r="D404" s="9"/>
      <c r="E404" s="13">
        <f t="shared" si="134"/>
        <v>2000</v>
      </c>
      <c r="F404" s="14">
        <f t="shared" si="119"/>
        <v>850000</v>
      </c>
      <c r="G404" s="15">
        <f t="shared" si="120"/>
        <v>0.19291984208302221</v>
      </c>
      <c r="H404" s="13">
        <f t="shared" si="121"/>
        <v>28001.726865407476</v>
      </c>
      <c r="I404" s="13">
        <f t="shared" si="122"/>
        <v>3532130.3906513061</v>
      </c>
      <c r="J404" s="15">
        <f t="shared" si="123"/>
        <v>0.80708015791697774</v>
      </c>
      <c r="K404" s="13">
        <f t="shared" si="124"/>
        <v>3555974.9936670912</v>
      </c>
      <c r="L404" s="13">
        <f t="shared" si="125"/>
        <v>375840342.47876382</v>
      </c>
      <c r="M404" s="15">
        <f t="shared" si="126"/>
        <v>0.80708015791697785</v>
      </c>
      <c r="N404" s="13">
        <f t="shared" si="127"/>
        <v>0</v>
      </c>
      <c r="O404" s="13">
        <f t="shared" si="128"/>
        <v>-23844.603015784174</v>
      </c>
      <c r="P404" s="15">
        <f t="shared" si="129"/>
        <v>-5.4413266813450982E-3</v>
      </c>
      <c r="Q404" s="7">
        <f t="shared" si="130"/>
        <v>4382130.3906513071</v>
      </c>
      <c r="R404" s="7">
        <f t="shared" si="131"/>
        <v>4405974.9936670912</v>
      </c>
      <c r="S404" s="13">
        <f>IF('BANCO DE DADOS'!$AD$32="Sim",R404,Q404)</f>
        <v>4405974.9936670912</v>
      </c>
      <c r="T404" s="9">
        <f t="shared" si="132"/>
        <v>400</v>
      </c>
      <c r="U404" s="18">
        <f t="shared" ca="1" si="135"/>
        <v>56554</v>
      </c>
    </row>
    <row r="405" spans="2:21" x14ac:dyDescent="0.2">
      <c r="B405" s="18">
        <f t="shared" ca="1" si="133"/>
        <v>56554</v>
      </c>
      <c r="C405" s="9">
        <f t="shared" si="136"/>
        <v>401</v>
      </c>
      <c r="D405" s="9"/>
      <c r="E405" s="13">
        <f t="shared" si="134"/>
        <v>2000</v>
      </c>
      <c r="F405" s="14">
        <f t="shared" si="119"/>
        <v>852000</v>
      </c>
      <c r="G405" s="15">
        <f t="shared" si="120"/>
        <v>0.19205037508385689</v>
      </c>
      <c r="H405" s="13">
        <f t="shared" si="121"/>
        <v>28194.758879411605</v>
      </c>
      <c r="I405" s="13">
        <f t="shared" si="122"/>
        <v>3560325.1495307176</v>
      </c>
      <c r="J405" s="15">
        <f t="shared" si="123"/>
        <v>0.80794962491614308</v>
      </c>
      <c r="K405" s="13">
        <f t="shared" si="124"/>
        <v>3584336.0375004876</v>
      </c>
      <c r="L405" s="13">
        <f t="shared" si="125"/>
        <v>379424678.51626432</v>
      </c>
      <c r="M405" s="15">
        <f t="shared" si="126"/>
        <v>0.80794962491614308</v>
      </c>
      <c r="N405" s="13">
        <f t="shared" si="127"/>
        <v>0</v>
      </c>
      <c r="O405" s="13">
        <f t="shared" si="128"/>
        <v>-24010.887969768606</v>
      </c>
      <c r="P405" s="15">
        <f t="shared" si="129"/>
        <v>-5.441776649738138E-3</v>
      </c>
      <c r="Q405" s="7">
        <f t="shared" si="130"/>
        <v>4412325.149530719</v>
      </c>
      <c r="R405" s="7">
        <f t="shared" si="131"/>
        <v>4436336.0375004876</v>
      </c>
      <c r="S405" s="13">
        <f>IF('BANCO DE DADOS'!$AD$32="Sim",R405,Q405)</f>
        <v>4436336.0375004876</v>
      </c>
      <c r="T405" s="9">
        <f t="shared" si="132"/>
        <v>401</v>
      </c>
      <c r="U405" s="18">
        <f t="shared" ca="1" si="135"/>
        <v>56584</v>
      </c>
    </row>
    <row r="406" spans="2:21" x14ac:dyDescent="0.2">
      <c r="B406" s="18">
        <f t="shared" ca="1" si="133"/>
        <v>56584</v>
      </c>
      <c r="C406" s="9">
        <f t="shared" si="136"/>
        <v>402</v>
      </c>
      <c r="D406" s="9"/>
      <c r="E406" s="13">
        <f t="shared" si="134"/>
        <v>2000</v>
      </c>
      <c r="F406" s="14">
        <f t="shared" si="119"/>
        <v>854000</v>
      </c>
      <c r="G406" s="15">
        <f t="shared" si="120"/>
        <v>0.19118436682767961</v>
      </c>
      <c r="H406" s="13">
        <f t="shared" si="121"/>
        <v>28389.032867206035</v>
      </c>
      <c r="I406" s="13">
        <f t="shared" si="122"/>
        <v>3588714.1823979239</v>
      </c>
      <c r="J406" s="15">
        <f t="shared" si="123"/>
        <v>0.80881563317232041</v>
      </c>
      <c r="K406" s="13">
        <f t="shared" si="124"/>
        <v>3612892.4252040787</v>
      </c>
      <c r="L406" s="13">
        <f t="shared" si="125"/>
        <v>383037570.94146842</v>
      </c>
      <c r="M406" s="15">
        <f t="shared" si="126"/>
        <v>0.80881563317232041</v>
      </c>
      <c r="N406" s="13">
        <f t="shared" si="127"/>
        <v>0</v>
      </c>
      <c r="O406" s="13">
        <f t="shared" si="128"/>
        <v>-24178.242806153372</v>
      </c>
      <c r="P406" s="15">
        <f t="shared" si="129"/>
        <v>-5.4422233376947345E-3</v>
      </c>
      <c r="Q406" s="7">
        <f t="shared" si="130"/>
        <v>4442714.1823979253</v>
      </c>
      <c r="R406" s="7">
        <f t="shared" si="131"/>
        <v>4466892.4252040787</v>
      </c>
      <c r="S406" s="13">
        <f>IF('BANCO DE DADOS'!$AD$32="Sim",R406,Q406)</f>
        <v>4466892.4252040787</v>
      </c>
      <c r="T406" s="9">
        <f t="shared" si="132"/>
        <v>402</v>
      </c>
      <c r="U406" s="18">
        <f t="shared" ca="1" si="135"/>
        <v>56615</v>
      </c>
    </row>
    <row r="407" spans="2:21" x14ac:dyDescent="0.2">
      <c r="B407" s="18">
        <f t="shared" ca="1" si="133"/>
        <v>56615</v>
      </c>
      <c r="C407" s="9">
        <f t="shared" si="136"/>
        <v>403</v>
      </c>
      <c r="D407" s="9"/>
      <c r="E407" s="13">
        <f t="shared" si="134"/>
        <v>2000</v>
      </c>
      <c r="F407" s="14">
        <f t="shared" si="119"/>
        <v>856000</v>
      </c>
      <c r="G407" s="15">
        <f t="shared" si="120"/>
        <v>0.19032180647381305</v>
      </c>
      <c r="H407" s="13">
        <f t="shared" si="121"/>
        <v>28584.556819687525</v>
      </c>
      <c r="I407" s="13">
        <f t="shared" si="122"/>
        <v>3617298.7392176115</v>
      </c>
      <c r="J407" s="15">
        <f t="shared" si="123"/>
        <v>0.80967819352618697</v>
      </c>
      <c r="K407" s="13">
        <f t="shared" si="124"/>
        <v>3641645.413626208</v>
      </c>
      <c r="L407" s="13">
        <f t="shared" si="125"/>
        <v>386679216.35509461</v>
      </c>
      <c r="M407" s="15">
        <f t="shared" si="126"/>
        <v>0.80967819352618697</v>
      </c>
      <c r="N407" s="13">
        <f t="shared" si="127"/>
        <v>0</v>
      </c>
      <c r="O407" s="13">
        <f t="shared" si="128"/>
        <v>-24346.674408595078</v>
      </c>
      <c r="P407" s="15">
        <f t="shared" si="129"/>
        <v>-5.4426667718716565E-3</v>
      </c>
      <c r="Q407" s="7">
        <f t="shared" si="130"/>
        <v>4473298.7392176129</v>
      </c>
      <c r="R407" s="7">
        <f t="shared" si="131"/>
        <v>4497645.413626208</v>
      </c>
      <c r="S407" s="13">
        <f>IF('BANCO DE DADOS'!$AD$32="Sim",R407,Q407)</f>
        <v>4497645.413626208</v>
      </c>
      <c r="T407" s="9">
        <f t="shared" si="132"/>
        <v>403</v>
      </c>
      <c r="U407" s="18">
        <f t="shared" ca="1" si="135"/>
        <v>56646</v>
      </c>
    </row>
    <row r="408" spans="2:21" x14ac:dyDescent="0.2">
      <c r="B408" s="18">
        <f t="shared" ca="1" si="133"/>
        <v>56646</v>
      </c>
      <c r="C408" s="9">
        <f t="shared" si="136"/>
        <v>404</v>
      </c>
      <c r="D408" s="9"/>
      <c r="E408" s="13">
        <f t="shared" si="134"/>
        <v>2000</v>
      </c>
      <c r="F408" s="14">
        <f t="shared" si="119"/>
        <v>858000</v>
      </c>
      <c r="G408" s="15">
        <f t="shared" si="120"/>
        <v>0.189462683198169</v>
      </c>
      <c r="H408" s="13">
        <f t="shared" si="121"/>
        <v>28781.338779166505</v>
      </c>
      <c r="I408" s="13">
        <f t="shared" si="122"/>
        <v>3646080.0779967778</v>
      </c>
      <c r="J408" s="15">
        <f t="shared" si="123"/>
        <v>0.81053731680183105</v>
      </c>
      <c r="K408" s="13">
        <f t="shared" si="124"/>
        <v>3670596.2677018177</v>
      </c>
      <c r="L408" s="13">
        <f t="shared" si="125"/>
        <v>390349812.62279642</v>
      </c>
      <c r="M408" s="15">
        <f t="shared" si="126"/>
        <v>0.81053731680183105</v>
      </c>
      <c r="N408" s="13">
        <f t="shared" si="127"/>
        <v>0</v>
      </c>
      <c r="O408" s="13">
        <f t="shared" si="128"/>
        <v>-24516.189705038443</v>
      </c>
      <c r="P408" s="15">
        <f t="shared" si="129"/>
        <v>-5.4431069786712557E-3</v>
      </c>
      <c r="Q408" s="7">
        <f t="shared" si="130"/>
        <v>4504080.0779967792</v>
      </c>
      <c r="R408" s="7">
        <f t="shared" si="131"/>
        <v>4528596.2677018177</v>
      </c>
      <c r="S408" s="13">
        <f>IF('BANCO DE DADOS'!$AD$32="Sim",R408,Q408)</f>
        <v>4528596.2677018177</v>
      </c>
      <c r="T408" s="9">
        <f t="shared" si="132"/>
        <v>404</v>
      </c>
      <c r="U408" s="18">
        <f t="shared" ca="1" si="135"/>
        <v>56674</v>
      </c>
    </row>
    <row r="409" spans="2:21" x14ac:dyDescent="0.2">
      <c r="B409" s="18">
        <f t="shared" ca="1" si="133"/>
        <v>56674</v>
      </c>
      <c r="C409" s="9">
        <f t="shared" si="136"/>
        <v>405</v>
      </c>
      <c r="D409" s="9"/>
      <c r="E409" s="13">
        <f t="shared" si="134"/>
        <v>2000</v>
      </c>
      <c r="F409" s="14">
        <f t="shared" si="119"/>
        <v>860000</v>
      </c>
      <c r="G409" s="15">
        <f t="shared" si="120"/>
        <v>0.18860698619331759</v>
      </c>
      <c r="H409" s="13">
        <f t="shared" si="121"/>
        <v>28979.386839697876</v>
      </c>
      <c r="I409" s="13">
        <f t="shared" si="122"/>
        <v>3675059.4648364759</v>
      </c>
      <c r="J409" s="15">
        <f t="shared" si="123"/>
        <v>0.81139301380668238</v>
      </c>
      <c r="K409" s="13">
        <f t="shared" si="124"/>
        <v>3699746.2605044805</v>
      </c>
      <c r="L409" s="13">
        <f t="shared" si="125"/>
        <v>394049558.8833009</v>
      </c>
      <c r="M409" s="15">
        <f t="shared" si="126"/>
        <v>0.81139301380668238</v>
      </c>
      <c r="N409" s="13">
        <f t="shared" si="127"/>
        <v>0</v>
      </c>
      <c r="O409" s="13">
        <f t="shared" si="128"/>
        <v>-24686.795668003149</v>
      </c>
      <c r="P409" s="15">
        <f t="shared" si="129"/>
        <v>-5.4435439842448223E-3</v>
      </c>
      <c r="Q409" s="7">
        <f t="shared" si="130"/>
        <v>4535059.4648364773</v>
      </c>
      <c r="R409" s="7">
        <f t="shared" si="131"/>
        <v>4559746.2605044805</v>
      </c>
      <c r="S409" s="13">
        <f>IF('BANCO DE DADOS'!$AD$32="Sim",R409,Q409)</f>
        <v>4559746.2605044805</v>
      </c>
      <c r="T409" s="9">
        <f t="shared" si="132"/>
        <v>405</v>
      </c>
      <c r="U409" s="18">
        <f t="shared" ca="1" si="135"/>
        <v>56705</v>
      </c>
    </row>
    <row r="410" spans="2:21" x14ac:dyDescent="0.2">
      <c r="B410" s="18">
        <f t="shared" ca="1" si="133"/>
        <v>56705</v>
      </c>
      <c r="C410" s="9">
        <f t="shared" si="136"/>
        <v>406</v>
      </c>
      <c r="D410" s="9"/>
      <c r="E410" s="13">
        <f t="shared" si="134"/>
        <v>2000</v>
      </c>
      <c r="F410" s="14">
        <f t="shared" si="119"/>
        <v>862000</v>
      </c>
      <c r="G410" s="15">
        <f t="shared" si="120"/>
        <v>0.1877547046685562</v>
      </c>
      <c r="H410" s="13">
        <f t="shared" si="121"/>
        <v>29178.709147413938</v>
      </c>
      <c r="I410" s="13">
        <f t="shared" si="122"/>
        <v>3704238.1739838896</v>
      </c>
      <c r="J410" s="15">
        <f t="shared" si="123"/>
        <v>0.81224529533144385</v>
      </c>
      <c r="K410" s="13">
        <f t="shared" si="124"/>
        <v>3729096.6732987622</v>
      </c>
      <c r="L410" s="13">
        <f t="shared" si="125"/>
        <v>397778655.55659968</v>
      </c>
      <c r="M410" s="15">
        <f t="shared" si="126"/>
        <v>0.81224529533144374</v>
      </c>
      <c r="N410" s="13">
        <f t="shared" si="127"/>
        <v>0</v>
      </c>
      <c r="O410" s="13">
        <f t="shared" si="128"/>
        <v>-24858.499314870685</v>
      </c>
      <c r="P410" s="15">
        <f t="shared" si="129"/>
        <v>-5.4439778144954858E-3</v>
      </c>
      <c r="Q410" s="7">
        <f t="shared" si="130"/>
        <v>4566238.1739838915</v>
      </c>
      <c r="R410" s="7">
        <f t="shared" si="131"/>
        <v>4591096.6732987622</v>
      </c>
      <c r="S410" s="13">
        <f>IF('BANCO DE DADOS'!$AD$32="Sim",R410,Q410)</f>
        <v>4591096.6732987622</v>
      </c>
      <c r="T410" s="9">
        <f t="shared" si="132"/>
        <v>406</v>
      </c>
      <c r="U410" s="18">
        <f t="shared" ca="1" si="135"/>
        <v>56735</v>
      </c>
    </row>
    <row r="411" spans="2:21" x14ac:dyDescent="0.2">
      <c r="B411" s="18">
        <f t="shared" ca="1" si="133"/>
        <v>56735</v>
      </c>
      <c r="C411" s="9">
        <f t="shared" si="136"/>
        <v>407</v>
      </c>
      <c r="D411" s="9"/>
      <c r="E411" s="13">
        <f t="shared" si="134"/>
        <v>2000</v>
      </c>
      <c r="F411" s="14">
        <f t="shared" si="119"/>
        <v>864000</v>
      </c>
      <c r="G411" s="15">
        <f t="shared" si="120"/>
        <v>0.18690582784997822</v>
      </c>
      <c r="H411" s="13">
        <f t="shared" si="121"/>
        <v>29379.313900859441</v>
      </c>
      <c r="I411" s="13">
        <f t="shared" si="122"/>
        <v>3733617.4878847492</v>
      </c>
      <c r="J411" s="15">
        <f t="shared" si="123"/>
        <v>0.81309417215002178</v>
      </c>
      <c r="K411" s="13">
        <f t="shared" si="124"/>
        <v>3758648.7955929227</v>
      </c>
      <c r="L411" s="13">
        <f t="shared" si="125"/>
        <v>401537304.35219258</v>
      </c>
      <c r="M411" s="15">
        <f t="shared" si="126"/>
        <v>0.81309417215002178</v>
      </c>
      <c r="N411" s="13">
        <f t="shared" si="127"/>
        <v>0</v>
      </c>
      <c r="O411" s="13">
        <f t="shared" si="128"/>
        <v>-25031.307708172128</v>
      </c>
      <c r="P411" s="15">
        <f t="shared" si="129"/>
        <v>-5.4444084950808751E-3</v>
      </c>
      <c r="Q411" s="7">
        <f t="shared" si="130"/>
        <v>4597617.4878847506</v>
      </c>
      <c r="R411" s="7">
        <f t="shared" si="131"/>
        <v>4622648.7955929227</v>
      </c>
      <c r="S411" s="13">
        <f>IF('BANCO DE DADOS'!$AD$32="Sim",R411,Q411)</f>
        <v>4622648.7955929227</v>
      </c>
      <c r="T411" s="9">
        <f t="shared" si="132"/>
        <v>407</v>
      </c>
      <c r="U411" s="18">
        <f t="shared" ca="1" si="135"/>
        <v>56766</v>
      </c>
    </row>
    <row r="412" spans="2:21" x14ac:dyDescent="0.2">
      <c r="B412" s="18">
        <f t="shared" ca="1" si="133"/>
        <v>56766</v>
      </c>
      <c r="C412" s="9">
        <f>C411+1</f>
        <v>408</v>
      </c>
      <c r="D412" s="9">
        <v>34</v>
      </c>
      <c r="E412" s="13">
        <f t="shared" si="134"/>
        <v>2000</v>
      </c>
      <c r="F412" s="14">
        <f t="shared" si="119"/>
        <v>866000</v>
      </c>
      <c r="G412" s="15">
        <f t="shared" si="120"/>
        <v>0.18606034498054103</v>
      </c>
      <c r="H412" s="13">
        <f t="shared" si="121"/>
        <v>29581.209351328816</v>
      </c>
      <c r="I412" s="13">
        <f t="shared" si="122"/>
        <v>3763198.6972360779</v>
      </c>
      <c r="J412" s="15">
        <f t="shared" si="123"/>
        <v>0.81393965501945897</v>
      </c>
      <c r="K412" s="13">
        <f t="shared" si="124"/>
        <v>3788403.9251919584</v>
      </c>
      <c r="L412" s="13">
        <f t="shared" si="125"/>
        <v>405325708.27738452</v>
      </c>
      <c r="M412" s="15">
        <f t="shared" si="126"/>
        <v>0.81393965501945897</v>
      </c>
      <c r="N412" s="13">
        <f t="shared" si="127"/>
        <v>0</v>
      </c>
      <c r="O412" s="13">
        <f t="shared" si="128"/>
        <v>-25205.227955878712</v>
      </c>
      <c r="P412" s="15">
        <f t="shared" si="129"/>
        <v>-5.4448360514159407E-3</v>
      </c>
      <c r="Q412" s="7">
        <f t="shared" si="130"/>
        <v>4629198.6972360797</v>
      </c>
      <c r="R412" s="7">
        <f t="shared" si="131"/>
        <v>4654403.9251919584</v>
      </c>
      <c r="S412" s="13">
        <f>IF('BANCO DE DADOS'!$AD$32="Sim",R412,Q412)</f>
        <v>4654403.9251919584</v>
      </c>
      <c r="T412" s="9">
        <f t="shared" si="132"/>
        <v>408</v>
      </c>
      <c r="U412" s="18">
        <f t="shared" ca="1" si="135"/>
        <v>56796</v>
      </c>
    </row>
    <row r="413" spans="2:21" x14ac:dyDescent="0.2">
      <c r="B413" s="18">
        <f t="shared" ca="1" si="133"/>
        <v>56796</v>
      </c>
      <c r="C413" s="9">
        <f t="shared" si="136"/>
        <v>409</v>
      </c>
      <c r="D413" s="9"/>
      <c r="E413" s="13">
        <f t="shared" si="134"/>
        <v>2000</v>
      </c>
      <c r="F413" s="14">
        <f t="shared" si="119"/>
        <v>868000</v>
      </c>
      <c r="G413" s="15">
        <f t="shared" si="120"/>
        <v>0.18521824532013403</v>
      </c>
      <c r="H413" s="13">
        <f t="shared" si="121"/>
        <v>29784.403803205591</v>
      </c>
      <c r="I413" s="13">
        <f t="shared" si="122"/>
        <v>3792983.1010392834</v>
      </c>
      <c r="J413" s="15">
        <f t="shared" si="123"/>
        <v>0.81478175467986591</v>
      </c>
      <c r="K413" s="13">
        <f t="shared" si="124"/>
        <v>3818363.3682509819</v>
      </c>
      <c r="L413" s="13">
        <f t="shared" si="125"/>
        <v>409144071.64563549</v>
      </c>
      <c r="M413" s="15">
        <f t="shared" si="126"/>
        <v>0.81478175467986591</v>
      </c>
      <c r="N413" s="13">
        <f t="shared" si="127"/>
        <v>0</v>
      </c>
      <c r="O413" s="13">
        <f t="shared" si="128"/>
        <v>-25380.267211696133</v>
      </c>
      <c r="P413" s="15">
        <f t="shared" si="129"/>
        <v>-5.4452605086761528E-3</v>
      </c>
      <c r="Q413" s="7">
        <f t="shared" si="130"/>
        <v>4660983.1010392858</v>
      </c>
      <c r="R413" s="7">
        <f t="shared" si="131"/>
        <v>4686363.3682509819</v>
      </c>
      <c r="S413" s="13">
        <f>IF('BANCO DE DADOS'!$AD$32="Sim",R413,Q413)</f>
        <v>4686363.3682509819</v>
      </c>
      <c r="T413" s="9">
        <f t="shared" si="132"/>
        <v>409</v>
      </c>
      <c r="U413" s="18">
        <f t="shared" ca="1" si="135"/>
        <v>56827</v>
      </c>
    </row>
    <row r="414" spans="2:21" x14ac:dyDescent="0.2">
      <c r="B414" s="18">
        <f t="shared" ca="1" si="133"/>
        <v>56827</v>
      </c>
      <c r="C414" s="9">
        <f t="shared" si="136"/>
        <v>410</v>
      </c>
      <c r="D414" s="9"/>
      <c r="E414" s="13">
        <f t="shared" si="134"/>
        <v>2000</v>
      </c>
      <c r="F414" s="14">
        <f t="shared" si="119"/>
        <v>870000</v>
      </c>
      <c r="G414" s="15">
        <f t="shared" si="120"/>
        <v>0.1843795181456464</v>
      </c>
      <c r="H414" s="13">
        <f t="shared" si="121"/>
        <v>29988.905614303927</v>
      </c>
      <c r="I414" s="13">
        <f t="shared" si="122"/>
        <v>3822972.0066535873</v>
      </c>
      <c r="J414" s="15">
        <f t="shared" si="123"/>
        <v>0.81562048185435354</v>
      </c>
      <c r="K414" s="13">
        <f t="shared" si="124"/>
        <v>3848528.4393289462</v>
      </c>
      <c r="L414" s="13">
        <f t="shared" si="125"/>
        <v>412992600.08496445</v>
      </c>
      <c r="M414" s="15">
        <f t="shared" si="126"/>
        <v>0.81562048185435365</v>
      </c>
      <c r="N414" s="13">
        <f t="shared" si="127"/>
        <v>0</v>
      </c>
      <c r="O414" s="13">
        <f t="shared" si="128"/>
        <v>-25556.432675356045</v>
      </c>
      <c r="P414" s="15">
        <f t="shared" si="129"/>
        <v>-5.4456818917996332E-3</v>
      </c>
      <c r="Q414" s="7">
        <f t="shared" si="130"/>
        <v>4692972.0066535901</v>
      </c>
      <c r="R414" s="7">
        <f t="shared" si="131"/>
        <v>4718528.4393289462</v>
      </c>
      <c r="S414" s="13">
        <f>IF('BANCO DE DADOS'!$AD$32="Sim",R414,Q414)</f>
        <v>4718528.4393289462</v>
      </c>
      <c r="T414" s="9">
        <f t="shared" si="132"/>
        <v>410</v>
      </c>
      <c r="U414" s="18">
        <f t="shared" ca="1" si="135"/>
        <v>56858</v>
      </c>
    </row>
    <row r="415" spans="2:21" x14ac:dyDescent="0.2">
      <c r="B415" s="18">
        <f t="shared" ca="1" si="133"/>
        <v>56858</v>
      </c>
      <c r="C415" s="9">
        <f t="shared" si="136"/>
        <v>411</v>
      </c>
      <c r="D415" s="9"/>
      <c r="E415" s="13">
        <f t="shared" si="134"/>
        <v>2000</v>
      </c>
      <c r="F415" s="14">
        <f t="shared" si="119"/>
        <v>872000</v>
      </c>
      <c r="G415" s="15">
        <f t="shared" si="120"/>
        <v>0.18354415275103403</v>
      </c>
      <c r="H415" s="13">
        <f t="shared" si="121"/>
        <v>30194.723196212417</v>
      </c>
      <c r="I415" s="13">
        <f t="shared" si="122"/>
        <v>3853166.7298497995</v>
      </c>
      <c r="J415" s="15">
        <f t="shared" si="123"/>
        <v>0.81645584724896603</v>
      </c>
      <c r="K415" s="13">
        <f t="shared" si="124"/>
        <v>3878900.4614427164</v>
      </c>
      <c r="L415" s="13">
        <f t="shared" si="125"/>
        <v>416871500.54640716</v>
      </c>
      <c r="M415" s="15">
        <f t="shared" si="126"/>
        <v>0.81645584724896592</v>
      </c>
      <c r="N415" s="13">
        <f t="shared" si="127"/>
        <v>0</v>
      </c>
      <c r="O415" s="13">
        <f t="shared" si="128"/>
        <v>-25733.73159291409</v>
      </c>
      <c r="P415" s="15">
        <f t="shared" si="129"/>
        <v>-5.4461002254902616E-3</v>
      </c>
      <c r="Q415" s="7">
        <f t="shared" si="130"/>
        <v>4725166.7298498023</v>
      </c>
      <c r="R415" s="7">
        <f t="shared" si="131"/>
        <v>4750900.4614427164</v>
      </c>
      <c r="S415" s="13">
        <f>IF('BANCO DE DADOS'!$AD$32="Sim",R415,Q415)</f>
        <v>4750900.4614427164</v>
      </c>
      <c r="T415" s="9">
        <f t="shared" si="132"/>
        <v>411</v>
      </c>
      <c r="U415" s="18">
        <f t="shared" ca="1" si="135"/>
        <v>56888</v>
      </c>
    </row>
    <row r="416" spans="2:21" x14ac:dyDescent="0.2">
      <c r="B416" s="18">
        <f t="shared" ca="1" si="133"/>
        <v>56888</v>
      </c>
      <c r="C416" s="9">
        <f t="shared" si="136"/>
        <v>412</v>
      </c>
      <c r="D416" s="9"/>
      <c r="E416" s="13">
        <f t="shared" si="134"/>
        <v>2000</v>
      </c>
      <c r="F416" s="14">
        <f t="shared" si="119"/>
        <v>874000</v>
      </c>
      <c r="G416" s="15">
        <f t="shared" si="120"/>
        <v>0.18271213844738654</v>
      </c>
      <c r="H416" s="13">
        <f t="shared" si="121"/>
        <v>30401.865014640072</v>
      </c>
      <c r="I416" s="13">
        <f t="shared" si="122"/>
        <v>3883568.5948644397</v>
      </c>
      <c r="J416" s="15">
        <f t="shared" si="123"/>
        <v>0.81728786155261346</v>
      </c>
      <c r="K416" s="13">
        <f t="shared" si="124"/>
        <v>3909480.7661214881</v>
      </c>
      <c r="L416" s="13">
        <f t="shared" si="125"/>
        <v>420780981.31252867</v>
      </c>
      <c r="M416" s="15">
        <f t="shared" si="126"/>
        <v>0.81728786155261346</v>
      </c>
      <c r="N416" s="13">
        <f t="shared" si="127"/>
        <v>0</v>
      </c>
      <c r="O416" s="13">
        <f t="shared" si="128"/>
        <v>-25912.171257046051</v>
      </c>
      <c r="P416" s="15">
        <f t="shared" si="129"/>
        <v>-5.4465155342199268E-3</v>
      </c>
      <c r="Q416" s="7">
        <f t="shared" si="130"/>
        <v>4757568.594864442</v>
      </c>
      <c r="R416" s="7">
        <f t="shared" si="131"/>
        <v>4783480.7661214881</v>
      </c>
      <c r="S416" s="13">
        <f>IF('BANCO DE DADOS'!$AD$32="Sim",R416,Q416)</f>
        <v>4783480.7661214881</v>
      </c>
      <c r="T416" s="9">
        <f t="shared" si="132"/>
        <v>412</v>
      </c>
      <c r="U416" s="18">
        <f t="shared" ca="1" si="135"/>
        <v>56919</v>
      </c>
    </row>
    <row r="417" spans="2:21" x14ac:dyDescent="0.2">
      <c r="B417" s="18">
        <f t="shared" ca="1" si="133"/>
        <v>56919</v>
      </c>
      <c r="C417" s="9">
        <f t="shared" si="136"/>
        <v>413</v>
      </c>
      <c r="D417" s="9"/>
      <c r="E417" s="13">
        <f t="shared" si="134"/>
        <v>2000</v>
      </c>
      <c r="F417" s="14">
        <f t="shared" si="119"/>
        <v>876000</v>
      </c>
      <c r="G417" s="15">
        <f t="shared" si="120"/>
        <v>0.1818834645629937</v>
      </c>
      <c r="H417" s="13">
        <f t="shared" si="121"/>
        <v>30610.339589764531</v>
      </c>
      <c r="I417" s="13">
        <f t="shared" si="122"/>
        <v>3914178.934454204</v>
      </c>
      <c r="J417" s="15">
        <f t="shared" si="123"/>
        <v>0.81811653543700635</v>
      </c>
      <c r="K417" s="13">
        <f t="shared" si="124"/>
        <v>3940270.693461556</v>
      </c>
      <c r="L417" s="13">
        <f t="shared" si="125"/>
        <v>424721252.00599021</v>
      </c>
      <c r="M417" s="15">
        <f t="shared" si="126"/>
        <v>0.81811653543700635</v>
      </c>
      <c r="N417" s="13">
        <f t="shared" si="127"/>
        <v>0</v>
      </c>
      <c r="O417" s="13">
        <f t="shared" si="128"/>
        <v>-26091.75900734961</v>
      </c>
      <c r="P417" s="15">
        <f t="shared" si="129"/>
        <v>-5.4469278422315361E-3</v>
      </c>
      <c r="Q417" s="7">
        <f t="shared" si="130"/>
        <v>4790178.9344542064</v>
      </c>
      <c r="R417" s="7">
        <f t="shared" si="131"/>
        <v>4816270.693461556</v>
      </c>
      <c r="S417" s="13">
        <f>IF('BANCO DE DADOS'!$AD$32="Sim",R417,Q417)</f>
        <v>4816270.693461556</v>
      </c>
      <c r="T417" s="9">
        <f t="shared" si="132"/>
        <v>413</v>
      </c>
      <c r="U417" s="18">
        <f t="shared" ca="1" si="135"/>
        <v>56949</v>
      </c>
    </row>
    <row r="418" spans="2:21" x14ac:dyDescent="0.2">
      <c r="B418" s="18">
        <f t="shared" ca="1" si="133"/>
        <v>56949</v>
      </c>
      <c r="C418" s="9">
        <f t="shared" si="136"/>
        <v>414</v>
      </c>
      <c r="D418" s="9"/>
      <c r="E418" s="13">
        <f t="shared" si="134"/>
        <v>2000</v>
      </c>
      <c r="F418" s="14">
        <f t="shared" si="119"/>
        <v>878000</v>
      </c>
      <c r="G418" s="15">
        <f t="shared" si="120"/>
        <v>0.18105812044341149</v>
      </c>
      <c r="H418" s="13">
        <f t="shared" si="121"/>
        <v>30820.155496582513</v>
      </c>
      <c r="I418" s="13">
        <f t="shared" si="122"/>
        <v>3944999.0899507864</v>
      </c>
      <c r="J418" s="15">
        <f t="shared" si="123"/>
        <v>0.81894187955658848</v>
      </c>
      <c r="K418" s="13">
        <f t="shared" si="124"/>
        <v>3971271.5921814349</v>
      </c>
      <c r="L418" s="13">
        <f t="shared" si="125"/>
        <v>428692523.59817165</v>
      </c>
      <c r="M418" s="15">
        <f t="shared" si="126"/>
        <v>0.81894187955658848</v>
      </c>
      <c r="N418" s="13">
        <f t="shared" si="127"/>
        <v>0</v>
      </c>
      <c r="O418" s="13">
        <f t="shared" si="128"/>
        <v>-26272.502230646089</v>
      </c>
      <c r="P418" s="15">
        <f t="shared" si="129"/>
        <v>-5.4473371735415691E-3</v>
      </c>
      <c r="Q418" s="7">
        <f t="shared" si="130"/>
        <v>4822999.0899507888</v>
      </c>
      <c r="R418" s="7">
        <f t="shared" si="131"/>
        <v>4849271.5921814349</v>
      </c>
      <c r="S418" s="13">
        <f>IF('BANCO DE DADOS'!$AD$32="Sim",R418,Q418)</f>
        <v>4849271.5921814349</v>
      </c>
      <c r="T418" s="9">
        <f t="shared" si="132"/>
        <v>414</v>
      </c>
      <c r="U418" s="18">
        <f t="shared" ca="1" si="135"/>
        <v>56980</v>
      </c>
    </row>
    <row r="419" spans="2:21" x14ac:dyDescent="0.2">
      <c r="B419" s="18">
        <f t="shared" ca="1" si="133"/>
        <v>56980</v>
      </c>
      <c r="C419" s="9">
        <f t="shared" si="136"/>
        <v>415</v>
      </c>
      <c r="D419" s="9"/>
      <c r="E419" s="13">
        <f t="shared" si="134"/>
        <v>2000</v>
      </c>
      <c r="F419" s="14">
        <f t="shared" si="119"/>
        <v>880000</v>
      </c>
      <c r="G419" s="15">
        <f t="shared" si="120"/>
        <v>0.18023609545152791</v>
      </c>
      <c r="H419" s="13">
        <f t="shared" si="121"/>
        <v>31031.321365262516</v>
      </c>
      <c r="I419" s="13">
        <f t="shared" si="122"/>
        <v>3976030.4113160488</v>
      </c>
      <c r="J419" s="15">
        <f t="shared" si="123"/>
        <v>0.81976390454847214</v>
      </c>
      <c r="K419" s="13">
        <f t="shared" si="124"/>
        <v>4002484.8196773343</v>
      </c>
      <c r="L419" s="13">
        <f t="shared" si="125"/>
        <v>432695008.417849</v>
      </c>
      <c r="M419" s="15">
        <f t="shared" si="126"/>
        <v>0.81976390454847214</v>
      </c>
      <c r="N419" s="13">
        <f t="shared" si="127"/>
        <v>0</v>
      </c>
      <c r="O419" s="13">
        <f t="shared" si="128"/>
        <v>-26454.408361283131</v>
      </c>
      <c r="P419" s="15">
        <f t="shared" si="129"/>
        <v>-5.4477435519423821E-3</v>
      </c>
      <c r="Q419" s="7">
        <f t="shared" si="130"/>
        <v>4856030.4113160511</v>
      </c>
      <c r="R419" s="7">
        <f t="shared" si="131"/>
        <v>4882484.8196773343</v>
      </c>
      <c r="S419" s="13">
        <f>IF('BANCO DE DADOS'!$AD$32="Sim",R419,Q419)</f>
        <v>4882484.8196773343</v>
      </c>
      <c r="T419" s="9">
        <f t="shared" si="132"/>
        <v>415</v>
      </c>
      <c r="U419" s="18">
        <f t="shared" ca="1" si="135"/>
        <v>57011</v>
      </c>
    </row>
    <row r="420" spans="2:21" x14ac:dyDescent="0.2">
      <c r="B420" s="18">
        <f t="shared" ca="1" si="133"/>
        <v>57011</v>
      </c>
      <c r="C420" s="9">
        <f t="shared" si="136"/>
        <v>416</v>
      </c>
      <c r="D420" s="9"/>
      <c r="E420" s="13">
        <f t="shared" si="134"/>
        <v>2000</v>
      </c>
      <c r="F420" s="14">
        <f t="shared" si="119"/>
        <v>882000</v>
      </c>
      <c r="G420" s="15">
        <f t="shared" si="120"/>
        <v>0.17941737896762822</v>
      </c>
      <c r="H420" s="13">
        <f t="shared" si="121"/>
        <v>31243.845881499816</v>
      </c>
      <c r="I420" s="13">
        <f t="shared" si="122"/>
        <v>4007274.2571975486</v>
      </c>
      <c r="J420" s="15">
        <f t="shared" si="123"/>
        <v>0.82058262103237178</v>
      </c>
      <c r="K420" s="13">
        <f t="shared" si="124"/>
        <v>4033911.7420789925</v>
      </c>
      <c r="L420" s="13">
        <f t="shared" si="125"/>
        <v>436728920.15992802</v>
      </c>
      <c r="M420" s="15">
        <f t="shared" si="126"/>
        <v>0.82058262103237178</v>
      </c>
      <c r="N420" s="13">
        <f t="shared" si="127"/>
        <v>0</v>
      </c>
      <c r="O420" s="13">
        <f t="shared" si="128"/>
        <v>-26637.484881441109</v>
      </c>
      <c r="P420" s="15">
        <f t="shared" si="129"/>
        <v>-5.4481470010048607E-3</v>
      </c>
      <c r="Q420" s="7">
        <f t="shared" si="130"/>
        <v>4889274.2571975514</v>
      </c>
      <c r="R420" s="7">
        <f t="shared" si="131"/>
        <v>4915911.7420789925</v>
      </c>
      <c r="S420" s="13">
        <f>IF('BANCO DE DADOS'!$AD$32="Sim",R420,Q420)</f>
        <v>4915911.7420789925</v>
      </c>
      <c r="T420" s="9">
        <f t="shared" si="132"/>
        <v>416</v>
      </c>
      <c r="U420" s="18">
        <f t="shared" ca="1" si="135"/>
        <v>57040</v>
      </c>
    </row>
    <row r="421" spans="2:21" x14ac:dyDescent="0.2">
      <c r="B421" s="18">
        <f t="shared" ca="1" si="133"/>
        <v>57040</v>
      </c>
      <c r="C421" s="9">
        <f t="shared" si="136"/>
        <v>417</v>
      </c>
      <c r="D421" s="9"/>
      <c r="E421" s="13">
        <f t="shared" si="134"/>
        <v>2000</v>
      </c>
      <c r="F421" s="14">
        <f t="shared" si="119"/>
        <v>884000</v>
      </c>
      <c r="G421" s="15">
        <f t="shared" si="120"/>
        <v>0.17860196038945991</v>
      </c>
      <c r="H421" s="13">
        <f t="shared" si="121"/>
        <v>31457.737786873702</v>
      </c>
      <c r="I421" s="13">
        <f t="shared" si="122"/>
        <v>4038731.9949844223</v>
      </c>
      <c r="J421" s="15">
        <f t="shared" si="123"/>
        <v>0.82139803961054003</v>
      </c>
      <c r="K421" s="13">
        <f t="shared" si="124"/>
        <v>4065553.7343058679</v>
      </c>
      <c r="L421" s="13">
        <f t="shared" si="125"/>
        <v>440794473.89423388</v>
      </c>
      <c r="M421" s="15">
        <f t="shared" si="126"/>
        <v>0.82139803961054014</v>
      </c>
      <c r="N421" s="13">
        <f t="shared" si="127"/>
        <v>0</v>
      </c>
      <c r="O421" s="13">
        <f t="shared" si="128"/>
        <v>-26821.739321443252</v>
      </c>
      <c r="P421" s="15">
        <f t="shared" si="129"/>
        <v>-5.4485475440813865E-3</v>
      </c>
      <c r="Q421" s="7">
        <f t="shared" si="130"/>
        <v>4922731.9949844247</v>
      </c>
      <c r="R421" s="7">
        <f t="shared" si="131"/>
        <v>4949553.7343058679</v>
      </c>
      <c r="S421" s="13">
        <f>IF('BANCO DE DADOS'!$AD$32="Sim",R421,Q421)</f>
        <v>4949553.7343058679</v>
      </c>
      <c r="T421" s="9">
        <f t="shared" si="132"/>
        <v>417</v>
      </c>
      <c r="U421" s="18">
        <f t="shared" ca="1" si="135"/>
        <v>57071</v>
      </c>
    </row>
    <row r="422" spans="2:21" x14ac:dyDescent="0.2">
      <c r="B422" s="18">
        <f t="shared" ca="1" si="133"/>
        <v>57071</v>
      </c>
      <c r="C422" s="9">
        <f t="shared" si="136"/>
        <v>418</v>
      </c>
      <c r="D422" s="9"/>
      <c r="E422" s="13">
        <f t="shared" si="134"/>
        <v>2000</v>
      </c>
      <c r="F422" s="14">
        <f t="shared" si="119"/>
        <v>886000</v>
      </c>
      <c r="G422" s="15">
        <f t="shared" si="120"/>
        <v>0.17778982913229724</v>
      </c>
      <c r="H422" s="13">
        <f t="shared" si="121"/>
        <v>31673.005879207045</v>
      </c>
      <c r="I422" s="13">
        <f t="shared" si="122"/>
        <v>4070405.0008636294</v>
      </c>
      <c r="J422" s="15">
        <f t="shared" si="123"/>
        <v>0.82221017086770276</v>
      </c>
      <c r="K422" s="13">
        <f t="shared" si="124"/>
        <v>4097412.1801236914</v>
      </c>
      <c r="L422" s="13">
        <f t="shared" si="125"/>
        <v>444891886.07435757</v>
      </c>
      <c r="M422" s="15">
        <f t="shared" si="126"/>
        <v>0.82221017086770276</v>
      </c>
      <c r="N422" s="13">
        <f t="shared" si="127"/>
        <v>0</v>
      </c>
      <c r="O422" s="13">
        <f t="shared" si="128"/>
        <v>-27007.179260060191</v>
      </c>
      <c r="P422" s="15">
        <f t="shared" si="129"/>
        <v>-5.4489452043072172E-3</v>
      </c>
      <c r="Q422" s="7">
        <f t="shared" si="130"/>
        <v>4956405.0008636313</v>
      </c>
      <c r="R422" s="7">
        <f t="shared" si="131"/>
        <v>4983412.1801236914</v>
      </c>
      <c r="S422" s="13">
        <f>IF('BANCO DE DADOS'!$AD$32="Sim",R422,Q422)</f>
        <v>4983412.1801236914</v>
      </c>
      <c r="T422" s="9">
        <f t="shared" si="132"/>
        <v>418</v>
      </c>
      <c r="U422" s="18">
        <f t="shared" ca="1" si="135"/>
        <v>57101</v>
      </c>
    </row>
    <row r="423" spans="2:21" x14ac:dyDescent="0.2">
      <c r="B423" s="18">
        <f t="shared" ca="1" si="133"/>
        <v>57101</v>
      </c>
      <c r="C423" s="9">
        <f t="shared" si="136"/>
        <v>419</v>
      </c>
      <c r="D423" s="9"/>
      <c r="E423" s="13">
        <f t="shared" si="134"/>
        <v>2000</v>
      </c>
      <c r="F423" s="14">
        <f t="shared" si="119"/>
        <v>888000</v>
      </c>
      <c r="G423" s="15">
        <f t="shared" si="120"/>
        <v>0.17698097462900531</v>
      </c>
      <c r="H423" s="13">
        <f t="shared" si="121"/>
        <v>31889.659012928183</v>
      </c>
      <c r="I423" s="13">
        <f t="shared" si="122"/>
        <v>4102294.6598765575</v>
      </c>
      <c r="J423" s="15">
        <f t="shared" si="123"/>
        <v>0.82301902537099469</v>
      </c>
      <c r="K423" s="13">
        <f t="shared" si="124"/>
        <v>4129488.4722013855</v>
      </c>
      <c r="L423" s="13">
        <f t="shared" si="125"/>
        <v>449021374.54655898</v>
      </c>
      <c r="M423" s="15">
        <f t="shared" si="126"/>
        <v>0.82301902537099469</v>
      </c>
      <c r="N423" s="13">
        <f t="shared" si="127"/>
        <v>0</v>
      </c>
      <c r="O423" s="13">
        <f t="shared" si="128"/>
        <v>-27193.812324825674</v>
      </c>
      <c r="P423" s="15">
        <f t="shared" si="129"/>
        <v>-5.4493400046037241E-3</v>
      </c>
      <c r="Q423" s="7">
        <f t="shared" si="130"/>
        <v>4990294.6598765599</v>
      </c>
      <c r="R423" s="7">
        <f t="shared" si="131"/>
        <v>5017488.4722013855</v>
      </c>
      <c r="S423" s="13">
        <f>IF('BANCO DE DADOS'!$AD$32="Sim",R423,Q423)</f>
        <v>5017488.4722013855</v>
      </c>
      <c r="T423" s="9">
        <f t="shared" si="132"/>
        <v>419</v>
      </c>
      <c r="U423" s="18">
        <f t="shared" ca="1" si="135"/>
        <v>57132</v>
      </c>
    </row>
    <row r="424" spans="2:21" x14ac:dyDescent="0.2">
      <c r="B424" s="18">
        <f t="shared" ca="1" si="133"/>
        <v>57132</v>
      </c>
      <c r="C424" s="9">
        <f>C423+1</f>
        <v>420</v>
      </c>
      <c r="D424" s="9">
        <v>35</v>
      </c>
      <c r="E424" s="13">
        <f t="shared" si="134"/>
        <v>2000</v>
      </c>
      <c r="F424" s="14">
        <f t="shared" si="119"/>
        <v>890000</v>
      </c>
      <c r="G424" s="15">
        <f t="shared" si="120"/>
        <v>0.17617538633010382</v>
      </c>
      <c r="H424" s="13">
        <f t="shared" si="121"/>
        <v>32107.706099435112</v>
      </c>
      <c r="I424" s="13">
        <f t="shared" si="122"/>
        <v>4134402.3659759928</v>
      </c>
      <c r="J424" s="15">
        <f t="shared" si="123"/>
        <v>0.82382461366989612</v>
      </c>
      <c r="K424" s="13">
        <f t="shared" si="124"/>
        <v>4161784.0121683441</v>
      </c>
      <c r="L424" s="13">
        <f t="shared" si="125"/>
        <v>453183158.55872732</v>
      </c>
      <c r="M424" s="15">
        <f t="shared" si="126"/>
        <v>0.82382461366989612</v>
      </c>
      <c r="N424" s="13">
        <f t="shared" si="127"/>
        <v>0</v>
      </c>
      <c r="O424" s="13">
        <f t="shared" si="128"/>
        <v>-27381.646192349494</v>
      </c>
      <c r="P424" s="15">
        <f t="shared" si="129"/>
        <v>-5.4497319676806147E-3</v>
      </c>
      <c r="Q424" s="7">
        <f t="shared" si="130"/>
        <v>5024402.3659759946</v>
      </c>
      <c r="R424" s="7">
        <f t="shared" si="131"/>
        <v>5051784.0121683441</v>
      </c>
      <c r="S424" s="13">
        <f>IF('BANCO DE DADOS'!$AD$32="Sim",R424,Q424)</f>
        <v>5051784.0121683441</v>
      </c>
      <c r="T424" s="9">
        <f t="shared" si="132"/>
        <v>420</v>
      </c>
      <c r="U424" s="18">
        <f t="shared" ca="1" si="135"/>
        <v>57162</v>
      </c>
    </row>
    <row r="425" spans="2:21" x14ac:dyDescent="0.2">
      <c r="B425" s="18">
        <f t="shared" ca="1" si="133"/>
        <v>57162</v>
      </c>
      <c r="C425" s="9">
        <f t="shared" si="136"/>
        <v>421</v>
      </c>
      <c r="D425" s="9"/>
      <c r="E425" s="13">
        <f t="shared" si="134"/>
        <v>2000</v>
      </c>
      <c r="F425" s="14">
        <f t="shared" si="119"/>
        <v>892000</v>
      </c>
      <c r="G425" s="15">
        <f t="shared" si="120"/>
        <v>0.17537305370383038</v>
      </c>
      <c r="H425" s="13">
        <f t="shared" si="121"/>
        <v>32327.156107462026</v>
      </c>
      <c r="I425" s="13">
        <f t="shared" si="122"/>
        <v>4166729.5220834548</v>
      </c>
      <c r="J425" s="15">
        <f t="shared" si="123"/>
        <v>0.82462694629616962</v>
      </c>
      <c r="K425" s="13">
        <f t="shared" si="124"/>
        <v>4194300.2106720889</v>
      </c>
      <c r="L425" s="13">
        <f t="shared" si="125"/>
        <v>457377458.7693994</v>
      </c>
      <c r="M425" s="15">
        <f t="shared" si="126"/>
        <v>0.82462694629616962</v>
      </c>
      <c r="N425" s="13">
        <f t="shared" si="127"/>
        <v>0</v>
      </c>
      <c r="O425" s="13">
        <f t="shared" si="128"/>
        <v>-27570.688588632271</v>
      </c>
      <c r="P425" s="15">
        <f t="shared" si="129"/>
        <v>-5.4501211160380798E-3</v>
      </c>
      <c r="Q425" s="7">
        <f t="shared" si="130"/>
        <v>5058729.5220834566</v>
      </c>
      <c r="R425" s="7">
        <f t="shared" si="131"/>
        <v>5086300.2106720889</v>
      </c>
      <c r="S425" s="13">
        <f>IF('BANCO DE DADOS'!$AD$32="Sim",R425,Q425)</f>
        <v>5086300.2106720889</v>
      </c>
      <c r="T425" s="9">
        <f t="shared" si="132"/>
        <v>421</v>
      </c>
      <c r="U425" s="18">
        <f t="shared" ca="1" si="135"/>
        <v>57193</v>
      </c>
    </row>
    <row r="426" spans="2:21" x14ac:dyDescent="0.2">
      <c r="B426" s="18">
        <f t="shared" ca="1" si="133"/>
        <v>57193</v>
      </c>
      <c r="C426" s="9">
        <f t="shared" si="136"/>
        <v>422</v>
      </c>
      <c r="D426" s="9"/>
      <c r="E426" s="13">
        <f t="shared" si="134"/>
        <v>2000</v>
      </c>
      <c r="F426" s="14">
        <f t="shared" si="119"/>
        <v>894000</v>
      </c>
      <c r="G426" s="15">
        <f t="shared" si="120"/>
        <v>0.17457396623620319</v>
      </c>
      <c r="H426" s="13">
        <f t="shared" si="121"/>
        <v>32548.018063448224</v>
      </c>
      <c r="I426" s="13">
        <f t="shared" si="122"/>
        <v>4199277.5401469031</v>
      </c>
      <c r="J426" s="15">
        <f t="shared" si="123"/>
        <v>0.82542603376379686</v>
      </c>
      <c r="K426" s="13">
        <f t="shared" si="124"/>
        <v>4227038.4874362899</v>
      </c>
      <c r="L426" s="13">
        <f t="shared" si="125"/>
        <v>461604497.2568357</v>
      </c>
      <c r="M426" s="15">
        <f t="shared" si="126"/>
        <v>0.82542603376379675</v>
      </c>
      <c r="N426" s="13">
        <f t="shared" si="127"/>
        <v>0</v>
      </c>
      <c r="O426" s="13">
        <f t="shared" si="128"/>
        <v>-27760.947289384902</v>
      </c>
      <c r="P426" s="15">
        <f t="shared" si="129"/>
        <v>-5.4505074719694534E-3</v>
      </c>
      <c r="Q426" s="7">
        <f t="shared" si="130"/>
        <v>5093277.540146905</v>
      </c>
      <c r="R426" s="7">
        <f t="shared" si="131"/>
        <v>5121038.4874362899</v>
      </c>
      <c r="S426" s="13">
        <f>IF('BANCO DE DADOS'!$AD$32="Sim",R426,Q426)</f>
        <v>5121038.4874362899</v>
      </c>
      <c r="T426" s="9">
        <f t="shared" si="132"/>
        <v>422</v>
      </c>
      <c r="U426" s="18">
        <f t="shared" ca="1" si="135"/>
        <v>57224</v>
      </c>
    </row>
    <row r="427" spans="2:21" x14ac:dyDescent="0.2">
      <c r="B427" s="18">
        <f t="shared" ca="1" si="133"/>
        <v>57224</v>
      </c>
      <c r="C427" s="9">
        <f t="shared" si="136"/>
        <v>423</v>
      </c>
      <c r="D427" s="9"/>
      <c r="E427" s="13">
        <f t="shared" si="134"/>
        <v>2000</v>
      </c>
      <c r="F427" s="14">
        <f t="shared" si="119"/>
        <v>896000</v>
      </c>
      <c r="G427" s="15">
        <f t="shared" si="120"/>
        <v>0.17377811343108379</v>
      </c>
      <c r="H427" s="13">
        <f t="shared" si="121"/>
        <v>32770.301051909395</v>
      </c>
      <c r="I427" s="13">
        <f t="shared" si="122"/>
        <v>4232047.8411988122</v>
      </c>
      <c r="J427" s="15">
        <f t="shared" si="123"/>
        <v>0.82622188656891615</v>
      </c>
      <c r="K427" s="13">
        <f t="shared" si="124"/>
        <v>4260000.2713191612</v>
      </c>
      <c r="L427" s="13">
        <f t="shared" si="125"/>
        <v>465864497.52815485</v>
      </c>
      <c r="M427" s="15">
        <f t="shared" si="126"/>
        <v>0.82622188656891615</v>
      </c>
      <c r="N427" s="13">
        <f t="shared" si="127"/>
        <v>0</v>
      </c>
      <c r="O427" s="13">
        <f t="shared" si="128"/>
        <v>-27952.430120347068</v>
      </c>
      <c r="P427" s="15">
        <f t="shared" si="129"/>
        <v>-5.4508910575632348E-3</v>
      </c>
      <c r="Q427" s="7">
        <f t="shared" si="130"/>
        <v>5128047.8411988141</v>
      </c>
      <c r="R427" s="7">
        <f t="shared" si="131"/>
        <v>5156000.2713191612</v>
      </c>
      <c r="S427" s="13">
        <f>IF('BANCO DE DADOS'!$AD$32="Sim",R427,Q427)</f>
        <v>5156000.2713191612</v>
      </c>
      <c r="T427" s="9">
        <f t="shared" si="132"/>
        <v>423</v>
      </c>
      <c r="U427" s="18">
        <f t="shared" ca="1" si="135"/>
        <v>57254</v>
      </c>
    </row>
    <row r="428" spans="2:21" x14ac:dyDescent="0.2">
      <c r="B428" s="18">
        <f t="shared" ca="1" si="133"/>
        <v>57254</v>
      </c>
      <c r="C428" s="9">
        <f t="shared" si="136"/>
        <v>424</v>
      </c>
      <c r="D428" s="9"/>
      <c r="E428" s="13">
        <f t="shared" si="134"/>
        <v>2000</v>
      </c>
      <c r="F428" s="14">
        <f t="shared" si="119"/>
        <v>898000</v>
      </c>
      <c r="G428" s="15">
        <f t="shared" si="120"/>
        <v>0.17298548481023873</v>
      </c>
      <c r="H428" s="13">
        <f t="shared" si="121"/>
        <v>32994.014215811258</v>
      </c>
      <c r="I428" s="13">
        <f t="shared" si="122"/>
        <v>4265041.8554146234</v>
      </c>
      <c r="J428" s="15">
        <f t="shared" si="123"/>
        <v>0.82701451518976121</v>
      </c>
      <c r="K428" s="13">
        <f t="shared" si="124"/>
        <v>4293187.0003722347</v>
      </c>
      <c r="L428" s="13">
        <f t="shared" si="125"/>
        <v>470157684.52852708</v>
      </c>
      <c r="M428" s="15">
        <f t="shared" si="126"/>
        <v>0.82701451518976121</v>
      </c>
      <c r="N428" s="13">
        <f t="shared" si="127"/>
        <v>0</v>
      </c>
      <c r="O428" s="13">
        <f t="shared" si="128"/>
        <v>-28145.144957609475</v>
      </c>
      <c r="P428" s="15">
        <f t="shared" si="129"/>
        <v>-5.4512718947054206E-3</v>
      </c>
      <c r="Q428" s="7">
        <f t="shared" si="130"/>
        <v>5163041.8554146253</v>
      </c>
      <c r="R428" s="7">
        <f t="shared" si="131"/>
        <v>5191187.0003722347</v>
      </c>
      <c r="S428" s="13">
        <f>IF('BANCO DE DADOS'!$AD$32="Sim",R428,Q428)</f>
        <v>5191187.0003722347</v>
      </c>
      <c r="T428" s="9">
        <f t="shared" si="132"/>
        <v>424</v>
      </c>
      <c r="U428" s="18">
        <f t="shared" ca="1" si="135"/>
        <v>57285</v>
      </c>
    </row>
    <row r="429" spans="2:21" x14ac:dyDescent="0.2">
      <c r="B429" s="18">
        <f t="shared" ca="1" si="133"/>
        <v>57285</v>
      </c>
      <c r="C429" s="9">
        <f t="shared" si="136"/>
        <v>425</v>
      </c>
      <c r="D429" s="9"/>
      <c r="E429" s="13">
        <f t="shared" si="134"/>
        <v>2000</v>
      </c>
      <c r="F429" s="14">
        <f t="shared" ref="F429:F492" si="137">F428+E429</f>
        <v>900000</v>
      </c>
      <c r="G429" s="15">
        <f t="shared" ref="G429:G492" si="138">IF(F429&lt;=0,0,F429/S429)</f>
        <v>0.17219606991340142</v>
      </c>
      <c r="H429" s="13">
        <f t="shared" ref="H429:H492" si="139">Q428*Taxa</f>
        <v>33219.166756945677</v>
      </c>
      <c r="I429" s="13">
        <f t="shared" ref="I429:I492" si="140">I428+H429</f>
        <v>4298261.0221715691</v>
      </c>
      <c r="J429" s="15">
        <f t="shared" ref="J429:J492" si="141">1-G429</f>
        <v>0.82780393008659858</v>
      </c>
      <c r="K429" s="13">
        <f t="shared" ref="K429:K492" si="142">R429-F429</f>
        <v>4326600.1218995079</v>
      </c>
      <c r="L429" s="13">
        <f t="shared" ref="L429:L492" si="143">L428+K429</f>
        <v>474484284.65042657</v>
      </c>
      <c r="M429" s="15">
        <f t="shared" ref="M429:M492" si="144">K429/R429</f>
        <v>0.82780393008659858</v>
      </c>
      <c r="N429" s="13">
        <f t="shared" ref="N429:N492" si="145">Q429*Inflação</f>
        <v>0</v>
      </c>
      <c r="O429" s="13">
        <f t="shared" ref="O429:O492" si="146">Q429-R429</f>
        <v>-28339.09972793702</v>
      </c>
      <c r="P429" s="15">
        <f t="shared" ref="P429:P492" si="147">O429/Q429</f>
        <v>-5.451650005081579E-3</v>
      </c>
      <c r="Q429" s="7">
        <f t="shared" ref="Q429:Q492" si="148">Q428+E429+H429</f>
        <v>5198261.0221715709</v>
      </c>
      <c r="R429" s="7">
        <f t="shared" ref="R429:R492" si="149">(R428+E429)*(1+((1+Taxa)/(1+Inflação)-1))</f>
        <v>5226600.1218995079</v>
      </c>
      <c r="S429" s="13">
        <f>IF('BANCO DE DADOS'!$AD$32="Sim",R429,Q429)</f>
        <v>5226600.1218995079</v>
      </c>
      <c r="T429" s="9">
        <f t="shared" ref="T429:T492" si="150">C429</f>
        <v>425</v>
      </c>
      <c r="U429" s="18">
        <f t="shared" ca="1" si="135"/>
        <v>57315</v>
      </c>
    </row>
    <row r="430" spans="2:21" x14ac:dyDescent="0.2">
      <c r="B430" s="18">
        <f t="shared" ca="1" si="133"/>
        <v>57315</v>
      </c>
      <c r="C430" s="9">
        <f t="shared" si="136"/>
        <v>426</v>
      </c>
      <c r="D430" s="9"/>
      <c r="E430" s="13">
        <f t="shared" si="134"/>
        <v>2000</v>
      </c>
      <c r="F430" s="14">
        <f t="shared" si="137"/>
        <v>902000</v>
      </c>
      <c r="G430" s="15">
        <f t="shared" si="138"/>
        <v>0.17140985829833297</v>
      </c>
      <c r="H430" s="13">
        <f t="shared" si="139"/>
        <v>33445.767936309094</v>
      </c>
      <c r="I430" s="13">
        <f t="shared" si="140"/>
        <v>4331706.7901078779</v>
      </c>
      <c r="J430" s="15">
        <f t="shared" si="141"/>
        <v>0.828590141701667</v>
      </c>
      <c r="K430" s="13">
        <f t="shared" si="142"/>
        <v>4360241.0925169773</v>
      </c>
      <c r="L430" s="13">
        <f t="shared" si="143"/>
        <v>478844525.74294353</v>
      </c>
      <c r="M430" s="15">
        <f t="shared" si="144"/>
        <v>0.828590141701667</v>
      </c>
      <c r="N430" s="13">
        <f t="shared" si="145"/>
        <v>0</v>
      </c>
      <c r="O430" s="13">
        <f t="shared" si="146"/>
        <v>-28534.302409097552</v>
      </c>
      <c r="P430" s="15">
        <f t="shared" si="147"/>
        <v>-5.452025410179577E-3</v>
      </c>
      <c r="Q430" s="7">
        <f t="shared" si="148"/>
        <v>5233706.7901078798</v>
      </c>
      <c r="R430" s="7">
        <f t="shared" si="149"/>
        <v>5262241.0925169773</v>
      </c>
      <c r="S430" s="13">
        <f>IF('BANCO DE DADOS'!$AD$32="Sim",R430,Q430)</f>
        <v>5262241.0925169773</v>
      </c>
      <c r="T430" s="9">
        <f t="shared" si="150"/>
        <v>426</v>
      </c>
      <c r="U430" s="18">
        <f t="shared" ca="1" si="135"/>
        <v>57346</v>
      </c>
    </row>
    <row r="431" spans="2:21" x14ac:dyDescent="0.2">
      <c r="B431" s="18">
        <f t="shared" ca="1" si="133"/>
        <v>57346</v>
      </c>
      <c r="C431" s="9">
        <f t="shared" si="136"/>
        <v>427</v>
      </c>
      <c r="D431" s="9"/>
      <c r="E431" s="13">
        <f t="shared" si="134"/>
        <v>2000</v>
      </c>
      <c r="F431" s="14">
        <f t="shared" si="137"/>
        <v>904000</v>
      </c>
      <c r="G431" s="15">
        <f t="shared" si="138"/>
        <v>0.17062683954088317</v>
      </c>
      <c r="H431" s="13">
        <f t="shared" si="139"/>
        <v>33673.827074483503</v>
      </c>
      <c r="I431" s="13">
        <f t="shared" si="140"/>
        <v>4365380.617182361</v>
      </c>
      <c r="J431" s="15">
        <f t="shared" si="141"/>
        <v>0.8293731604591168</v>
      </c>
      <c r="K431" s="13">
        <f t="shared" si="142"/>
        <v>4394111.3782125488</v>
      </c>
      <c r="L431" s="13">
        <f t="shared" si="143"/>
        <v>483238637.1211561</v>
      </c>
      <c r="M431" s="15">
        <f t="shared" si="144"/>
        <v>0.8293731604591168</v>
      </c>
      <c r="N431" s="13">
        <f t="shared" si="145"/>
        <v>0</v>
      </c>
      <c r="O431" s="13">
        <f t="shared" si="146"/>
        <v>-28730.761030185968</v>
      </c>
      <c r="P431" s="15">
        <f t="shared" si="147"/>
        <v>-5.4523981312909692E-3</v>
      </c>
      <c r="Q431" s="7">
        <f t="shared" si="148"/>
        <v>5269380.6171823628</v>
      </c>
      <c r="R431" s="7">
        <f t="shared" si="149"/>
        <v>5298111.3782125488</v>
      </c>
      <c r="S431" s="13">
        <f>IF('BANCO DE DADOS'!$AD$32="Sim",R431,Q431)</f>
        <v>5298111.3782125488</v>
      </c>
      <c r="T431" s="9">
        <f t="shared" si="150"/>
        <v>427</v>
      </c>
      <c r="U431" s="18">
        <f t="shared" ca="1" si="135"/>
        <v>57377</v>
      </c>
    </row>
    <row r="432" spans="2:21" x14ac:dyDescent="0.2">
      <c r="B432" s="18">
        <f t="shared" ca="1" si="133"/>
        <v>57377</v>
      </c>
      <c r="C432" s="9">
        <f t="shared" si="136"/>
        <v>428</v>
      </c>
      <c r="D432" s="9"/>
      <c r="E432" s="13">
        <f t="shared" si="134"/>
        <v>2000</v>
      </c>
      <c r="F432" s="14">
        <f t="shared" si="137"/>
        <v>906000</v>
      </c>
      <c r="G432" s="15">
        <f t="shared" si="138"/>
        <v>0.16984700323505045</v>
      </c>
      <c r="H432" s="13">
        <f t="shared" si="139"/>
        <v>33903.353552019784</v>
      </c>
      <c r="I432" s="13">
        <f t="shared" si="140"/>
        <v>4399283.9707343811</v>
      </c>
      <c r="J432" s="15">
        <f t="shared" si="141"/>
        <v>0.83015299676494958</v>
      </c>
      <c r="K432" s="13">
        <f t="shared" si="142"/>
        <v>4428212.4544063397</v>
      </c>
      <c r="L432" s="13">
        <f t="shared" si="143"/>
        <v>487666849.57556242</v>
      </c>
      <c r="M432" s="15">
        <f t="shared" si="144"/>
        <v>0.83015299676494958</v>
      </c>
      <c r="N432" s="13">
        <f t="shared" si="145"/>
        <v>0</v>
      </c>
      <c r="O432" s="13">
        <f t="shared" si="146"/>
        <v>-28928.483671956696</v>
      </c>
      <c r="P432" s="15">
        <f t="shared" si="147"/>
        <v>-5.4527681895135717E-3</v>
      </c>
      <c r="Q432" s="7">
        <f t="shared" si="148"/>
        <v>5305283.970734383</v>
      </c>
      <c r="R432" s="7">
        <f t="shared" si="149"/>
        <v>5334212.4544063397</v>
      </c>
      <c r="S432" s="13">
        <f>IF('BANCO DE DADOS'!$AD$32="Sim",R432,Q432)</f>
        <v>5334212.4544063397</v>
      </c>
      <c r="T432" s="9">
        <f t="shared" si="150"/>
        <v>428</v>
      </c>
      <c r="U432" s="18">
        <f t="shared" ca="1" si="135"/>
        <v>57405</v>
      </c>
    </row>
    <row r="433" spans="2:21" x14ac:dyDescent="0.2">
      <c r="B433" s="18">
        <f t="shared" ca="1" si="133"/>
        <v>57405</v>
      </c>
      <c r="C433" s="9">
        <f t="shared" si="136"/>
        <v>429</v>
      </c>
      <c r="D433" s="9"/>
      <c r="E433" s="13">
        <f t="shared" si="134"/>
        <v>2000</v>
      </c>
      <c r="F433" s="14">
        <f t="shared" si="137"/>
        <v>908000</v>
      </c>
      <c r="G433" s="15">
        <f t="shared" si="138"/>
        <v>0.16907033899304172</v>
      </c>
      <c r="H433" s="13">
        <f t="shared" si="139"/>
        <v>34134.356809823577</v>
      </c>
      <c r="I433" s="13">
        <f t="shared" si="140"/>
        <v>4433418.3275442049</v>
      </c>
      <c r="J433" s="15">
        <f t="shared" si="141"/>
        <v>0.83092966100695831</v>
      </c>
      <c r="K433" s="13">
        <f t="shared" si="142"/>
        <v>4462545.8060113657</v>
      </c>
      <c r="L433" s="13">
        <f t="shared" si="143"/>
        <v>492129395.3815738</v>
      </c>
      <c r="M433" s="15">
        <f t="shared" si="144"/>
        <v>0.83092966100695831</v>
      </c>
      <c r="N433" s="13">
        <f t="shared" si="145"/>
        <v>0</v>
      </c>
      <c r="O433" s="13">
        <f t="shared" si="146"/>
        <v>-29127.478467158973</v>
      </c>
      <c r="P433" s="15">
        <f t="shared" si="147"/>
        <v>-5.453135605754127E-3</v>
      </c>
      <c r="Q433" s="7">
        <f t="shared" si="148"/>
        <v>5341418.3275442068</v>
      </c>
      <c r="R433" s="7">
        <f t="shared" si="149"/>
        <v>5370545.8060113657</v>
      </c>
      <c r="S433" s="13">
        <f>IF('BANCO DE DADOS'!$AD$32="Sim",R433,Q433)</f>
        <v>5370545.8060113657</v>
      </c>
      <c r="T433" s="9">
        <f t="shared" si="150"/>
        <v>429</v>
      </c>
      <c r="U433" s="18">
        <f t="shared" ca="1" si="135"/>
        <v>57436</v>
      </c>
    </row>
    <row r="434" spans="2:21" x14ac:dyDescent="0.2">
      <c r="B434" s="18">
        <f t="shared" ca="1" si="133"/>
        <v>57436</v>
      </c>
      <c r="C434" s="9">
        <f t="shared" si="136"/>
        <v>430</v>
      </c>
      <c r="D434" s="9"/>
      <c r="E434" s="13">
        <f t="shared" si="134"/>
        <v>2000</v>
      </c>
      <c r="F434" s="14">
        <f t="shared" si="137"/>
        <v>910000</v>
      </c>
      <c r="G434" s="15">
        <f t="shared" si="138"/>
        <v>0.16829683644533172</v>
      </c>
      <c r="H434" s="13">
        <f t="shared" si="139"/>
        <v>34366.846349543594</v>
      </c>
      <c r="I434" s="13">
        <f t="shared" si="140"/>
        <v>4467785.1738937488</v>
      </c>
      <c r="J434" s="15">
        <f t="shared" si="141"/>
        <v>0.83170316355466833</v>
      </c>
      <c r="K434" s="13">
        <f t="shared" si="142"/>
        <v>4497112.9274946153</v>
      </c>
      <c r="L434" s="13">
        <f t="shared" si="143"/>
        <v>496626508.30906844</v>
      </c>
      <c r="M434" s="15">
        <f t="shared" si="144"/>
        <v>0.83170316355466833</v>
      </c>
      <c r="N434" s="13">
        <f t="shared" si="145"/>
        <v>0</v>
      </c>
      <c r="O434" s="13">
        <f t="shared" si="146"/>
        <v>-29327.753600864671</v>
      </c>
      <c r="P434" s="15">
        <f t="shared" si="147"/>
        <v>-5.4535004007291166E-3</v>
      </c>
      <c r="Q434" s="7">
        <f t="shared" si="148"/>
        <v>5377785.1738937506</v>
      </c>
      <c r="R434" s="7">
        <f t="shared" si="149"/>
        <v>5407112.9274946153</v>
      </c>
      <c r="S434" s="13">
        <f>IF('BANCO DE DADOS'!$AD$32="Sim",R434,Q434)</f>
        <v>5407112.9274946153</v>
      </c>
      <c r="T434" s="9">
        <f t="shared" si="150"/>
        <v>430</v>
      </c>
      <c r="U434" s="18">
        <f t="shared" ca="1" si="135"/>
        <v>57466</v>
      </c>
    </row>
    <row r="435" spans="2:21" x14ac:dyDescent="0.2">
      <c r="B435" s="18">
        <f t="shared" ca="1" si="133"/>
        <v>57466</v>
      </c>
      <c r="C435" s="9">
        <f t="shared" si="136"/>
        <v>431</v>
      </c>
      <c r="D435" s="9"/>
      <c r="E435" s="13">
        <f t="shared" si="134"/>
        <v>2000</v>
      </c>
      <c r="F435" s="14">
        <f t="shared" si="137"/>
        <v>912000</v>
      </c>
      <c r="G435" s="15">
        <f t="shared" si="138"/>
        <v>0.16752648524072181</v>
      </c>
      <c r="H435" s="13">
        <f t="shared" si="139"/>
        <v>34600.831733962426</v>
      </c>
      <c r="I435" s="13">
        <f t="shared" si="140"/>
        <v>4502386.0056277113</v>
      </c>
      <c r="J435" s="15">
        <f t="shared" si="141"/>
        <v>0.83247351475927822</v>
      </c>
      <c r="K435" s="13">
        <f t="shared" si="142"/>
        <v>4531915.3229385242</v>
      </c>
      <c r="L435" s="13">
        <f t="shared" si="143"/>
        <v>501158423.63200694</v>
      </c>
      <c r="M435" s="15">
        <f t="shared" si="144"/>
        <v>0.83247351475927822</v>
      </c>
      <c r="N435" s="13">
        <f t="shared" si="145"/>
        <v>0</v>
      </c>
      <c r="O435" s="13">
        <f t="shared" si="146"/>
        <v>-29529.31731081102</v>
      </c>
      <c r="P435" s="15">
        <f t="shared" si="147"/>
        <v>-5.4538625949679701E-3</v>
      </c>
      <c r="Q435" s="7">
        <f t="shared" si="148"/>
        <v>5414386.0056277132</v>
      </c>
      <c r="R435" s="7">
        <f t="shared" si="149"/>
        <v>5443915.3229385242</v>
      </c>
      <c r="S435" s="13">
        <f>IF('BANCO DE DADOS'!$AD$32="Sim",R435,Q435)</f>
        <v>5443915.3229385242</v>
      </c>
      <c r="T435" s="9">
        <f t="shared" si="150"/>
        <v>431</v>
      </c>
      <c r="U435" s="18">
        <f t="shared" ca="1" si="135"/>
        <v>57497</v>
      </c>
    </row>
    <row r="436" spans="2:21" x14ac:dyDescent="0.2">
      <c r="B436" s="18">
        <f t="shared" ca="1" si="133"/>
        <v>57497</v>
      </c>
      <c r="C436" s="9">
        <f t="shared" si="136"/>
        <v>432</v>
      </c>
      <c r="D436" s="9">
        <v>36</v>
      </c>
      <c r="E436" s="13">
        <f t="shared" si="134"/>
        <v>2000</v>
      </c>
      <c r="F436" s="14">
        <f t="shared" si="137"/>
        <v>914000</v>
      </c>
      <c r="G436" s="15">
        <f t="shared" si="138"/>
        <v>0.16675927504639837</v>
      </c>
      <c r="H436" s="13">
        <f t="shared" si="139"/>
        <v>34836.322587389906</v>
      </c>
      <c r="I436" s="13">
        <f t="shared" si="140"/>
        <v>4537222.3282151008</v>
      </c>
      <c r="J436" s="15">
        <f t="shared" si="141"/>
        <v>0.83324072495360157</v>
      </c>
      <c r="K436" s="13">
        <f t="shared" si="142"/>
        <v>4566954.5061028395</v>
      </c>
      <c r="L436" s="13">
        <f t="shared" si="143"/>
        <v>505725378.1381098</v>
      </c>
      <c r="M436" s="15">
        <f t="shared" si="144"/>
        <v>0.83324072495360157</v>
      </c>
      <c r="N436" s="13">
        <f t="shared" si="145"/>
        <v>0</v>
      </c>
      <c r="O436" s="13">
        <f t="shared" si="146"/>
        <v>-29732.17788773682</v>
      </c>
      <c r="P436" s="15">
        <f t="shared" si="147"/>
        <v>-5.4542222088145957E-3</v>
      </c>
      <c r="Q436" s="7">
        <f t="shared" si="148"/>
        <v>5451222.3282151027</v>
      </c>
      <c r="R436" s="7">
        <f t="shared" si="149"/>
        <v>5480954.5061028395</v>
      </c>
      <c r="S436" s="13">
        <f>IF('BANCO DE DADOS'!$AD$32="Sim",R436,Q436)</f>
        <v>5480954.5061028395</v>
      </c>
      <c r="T436" s="9">
        <f t="shared" si="150"/>
        <v>432</v>
      </c>
      <c r="U436" s="18">
        <f t="shared" ca="1" si="135"/>
        <v>57527</v>
      </c>
    </row>
    <row r="437" spans="2:21" x14ac:dyDescent="0.2">
      <c r="B437" s="18">
        <f t="shared" ca="1" si="133"/>
        <v>57527</v>
      </c>
      <c r="C437" s="9">
        <f t="shared" si="136"/>
        <v>433</v>
      </c>
      <c r="D437" s="9"/>
      <c r="E437" s="13">
        <f t="shared" si="134"/>
        <v>2000</v>
      </c>
      <c r="F437" s="14">
        <f t="shared" si="137"/>
        <v>916000</v>
      </c>
      <c r="G437" s="15">
        <f t="shared" si="138"/>
        <v>0.16599519554799066</v>
      </c>
      <c r="H437" s="13">
        <f t="shared" si="139"/>
        <v>35073.328596058971</v>
      </c>
      <c r="I437" s="13">
        <f t="shared" si="140"/>
        <v>4572295.65681116</v>
      </c>
      <c r="J437" s="15">
        <f t="shared" si="141"/>
        <v>0.83400480445200931</v>
      </c>
      <c r="K437" s="13">
        <f t="shared" si="142"/>
        <v>4602232.0004868843</v>
      </c>
      <c r="L437" s="13">
        <f t="shared" si="143"/>
        <v>510327610.13859671</v>
      </c>
      <c r="M437" s="15">
        <f t="shared" si="144"/>
        <v>0.83400480445200931</v>
      </c>
      <c r="N437" s="13">
        <f t="shared" si="145"/>
        <v>0</v>
      </c>
      <c r="O437" s="13">
        <f t="shared" si="146"/>
        <v>-29936.343675722368</v>
      </c>
      <c r="P437" s="15">
        <f t="shared" si="147"/>
        <v>-5.4545792624291923E-3</v>
      </c>
      <c r="Q437" s="7">
        <f t="shared" si="148"/>
        <v>5488295.6568111619</v>
      </c>
      <c r="R437" s="7">
        <f t="shared" si="149"/>
        <v>5518232.0004868843</v>
      </c>
      <c r="S437" s="13">
        <f>IF('BANCO DE DADOS'!$AD$32="Sim",R437,Q437)</f>
        <v>5518232.0004868843</v>
      </c>
      <c r="T437" s="9">
        <f t="shared" si="150"/>
        <v>433</v>
      </c>
      <c r="U437" s="18">
        <f t="shared" ca="1" si="135"/>
        <v>57558</v>
      </c>
    </row>
    <row r="438" spans="2:21" x14ac:dyDescent="0.2">
      <c r="B438" s="18">
        <f t="shared" ca="1" si="133"/>
        <v>57558</v>
      </c>
      <c r="C438" s="9">
        <f t="shared" si="136"/>
        <v>434</v>
      </c>
      <c r="D438" s="9"/>
      <c r="E438" s="13">
        <f t="shared" si="134"/>
        <v>2000</v>
      </c>
      <c r="F438" s="14">
        <f t="shared" si="137"/>
        <v>918000</v>
      </c>
      <c r="G438" s="15">
        <f t="shared" si="138"/>
        <v>0.1652342364496282</v>
      </c>
      <c r="H438" s="13">
        <f t="shared" si="139"/>
        <v>35311.859508524067</v>
      </c>
      <c r="I438" s="13">
        <f t="shared" si="140"/>
        <v>4607607.5163196838</v>
      </c>
      <c r="J438" s="15">
        <f t="shared" si="141"/>
        <v>0.8347657635503718</v>
      </c>
      <c r="K438" s="13">
        <f t="shared" si="142"/>
        <v>4637749.3393922215</v>
      </c>
      <c r="L438" s="13">
        <f t="shared" si="143"/>
        <v>514965359.47798896</v>
      </c>
      <c r="M438" s="15">
        <f t="shared" si="144"/>
        <v>0.8347657635503718</v>
      </c>
      <c r="N438" s="13">
        <f t="shared" si="145"/>
        <v>0</v>
      </c>
      <c r="O438" s="13">
        <f t="shared" si="146"/>
        <v>-30141.823072535917</v>
      </c>
      <c r="P438" s="15">
        <f t="shared" si="147"/>
        <v>-5.4549337757908269E-3</v>
      </c>
      <c r="Q438" s="7">
        <f t="shared" si="148"/>
        <v>5525607.5163196856</v>
      </c>
      <c r="R438" s="7">
        <f t="shared" si="149"/>
        <v>5555749.3393922215</v>
      </c>
      <c r="S438" s="13">
        <f>IF('BANCO DE DADOS'!$AD$32="Sim",R438,Q438)</f>
        <v>5555749.3393922215</v>
      </c>
      <c r="T438" s="9">
        <f t="shared" si="150"/>
        <v>434</v>
      </c>
      <c r="U438" s="18">
        <f t="shared" ca="1" si="135"/>
        <v>57589</v>
      </c>
    </row>
    <row r="439" spans="2:21" x14ac:dyDescent="0.2">
      <c r="B439" s="18">
        <f t="shared" ca="1" si="133"/>
        <v>57589</v>
      </c>
      <c r="C439" s="9">
        <f t="shared" si="136"/>
        <v>435</v>
      </c>
      <c r="D439" s="9"/>
      <c r="E439" s="13">
        <f t="shared" si="134"/>
        <v>2000</v>
      </c>
      <c r="F439" s="14">
        <f t="shared" si="137"/>
        <v>920000</v>
      </c>
      <c r="G439" s="15">
        <f t="shared" si="138"/>
        <v>0.16447638747399784</v>
      </c>
      <c r="H439" s="13">
        <f t="shared" si="139"/>
        <v>35551.925136062127</v>
      </c>
      <c r="I439" s="13">
        <f t="shared" si="140"/>
        <v>4643159.4414557461</v>
      </c>
      <c r="J439" s="15">
        <f t="shared" si="141"/>
        <v>0.83552361252600216</v>
      </c>
      <c r="K439" s="13">
        <f t="shared" si="142"/>
        <v>4673508.0659857225</v>
      </c>
      <c r="L439" s="13">
        <f t="shared" si="143"/>
        <v>519638867.5439747</v>
      </c>
      <c r="M439" s="15">
        <f t="shared" si="144"/>
        <v>0.83552361252600216</v>
      </c>
      <c r="N439" s="13">
        <f t="shared" si="145"/>
        <v>0</v>
      </c>
      <c r="O439" s="13">
        <f t="shared" si="146"/>
        <v>-30348.624529974535</v>
      </c>
      <c r="P439" s="15">
        <f t="shared" si="147"/>
        <v>-5.4552857686985534E-3</v>
      </c>
      <c r="Q439" s="7">
        <f t="shared" si="148"/>
        <v>5563159.4414557479</v>
      </c>
      <c r="R439" s="7">
        <f t="shared" si="149"/>
        <v>5593508.0659857225</v>
      </c>
      <c r="S439" s="13">
        <f>IF('BANCO DE DADOS'!$AD$32="Sim",R439,Q439)</f>
        <v>5593508.0659857225</v>
      </c>
      <c r="T439" s="9">
        <f t="shared" si="150"/>
        <v>435</v>
      </c>
      <c r="U439" s="18">
        <f t="shared" ca="1" si="135"/>
        <v>57619</v>
      </c>
    </row>
    <row r="440" spans="2:21" x14ac:dyDescent="0.2">
      <c r="B440" s="18">
        <f t="shared" ca="1" si="133"/>
        <v>57619</v>
      </c>
      <c r="C440" s="9">
        <f t="shared" si="136"/>
        <v>436</v>
      </c>
      <c r="D440" s="9"/>
      <c r="E440" s="13">
        <f t="shared" si="134"/>
        <v>2000</v>
      </c>
      <c r="F440" s="14">
        <f t="shared" si="137"/>
        <v>922000</v>
      </c>
      <c r="G440" s="15">
        <f t="shared" si="138"/>
        <v>0.16372163836240008</v>
      </c>
      <c r="H440" s="13">
        <f t="shared" si="139"/>
        <v>35793.535353076149</v>
      </c>
      <c r="I440" s="13">
        <f t="shared" si="140"/>
        <v>4678952.9768088218</v>
      </c>
      <c r="J440" s="15">
        <f t="shared" si="141"/>
        <v>0.83627836163759994</v>
      </c>
      <c r="K440" s="13">
        <f t="shared" si="142"/>
        <v>4709509.7333630417</v>
      </c>
      <c r="L440" s="13">
        <f t="shared" si="143"/>
        <v>524348377.27733773</v>
      </c>
      <c r="M440" s="15">
        <f t="shared" si="144"/>
        <v>0.83627836163759994</v>
      </c>
      <c r="N440" s="13">
        <f t="shared" si="145"/>
        <v>0</v>
      </c>
      <c r="O440" s="13">
        <f t="shared" si="146"/>
        <v>-30556.756554218009</v>
      </c>
      <c r="P440" s="15">
        <f t="shared" si="147"/>
        <v>-5.4556352607744805E-3</v>
      </c>
      <c r="Q440" s="7">
        <f t="shared" si="148"/>
        <v>5600952.9768088236</v>
      </c>
      <c r="R440" s="7">
        <f t="shared" si="149"/>
        <v>5631509.7333630417</v>
      </c>
      <c r="S440" s="13">
        <f>IF('BANCO DE DADOS'!$AD$32="Sim",R440,Q440)</f>
        <v>5631509.7333630417</v>
      </c>
      <c r="T440" s="9">
        <f t="shared" si="150"/>
        <v>436</v>
      </c>
      <c r="U440" s="18">
        <f t="shared" ca="1" si="135"/>
        <v>57650</v>
      </c>
    </row>
    <row r="441" spans="2:21" x14ac:dyDescent="0.2">
      <c r="B441" s="18">
        <f t="shared" ca="1" si="133"/>
        <v>57650</v>
      </c>
      <c r="C441" s="9">
        <f t="shared" si="136"/>
        <v>437</v>
      </c>
      <c r="D441" s="9"/>
      <c r="E441" s="13">
        <f t="shared" si="134"/>
        <v>2000</v>
      </c>
      <c r="F441" s="14">
        <f t="shared" si="137"/>
        <v>924000</v>
      </c>
      <c r="G441" s="15">
        <f t="shared" si="138"/>
        <v>0.1629699788748051</v>
      </c>
      <c r="H441" s="13">
        <f t="shared" si="139"/>
        <v>36036.700097501314</v>
      </c>
      <c r="I441" s="13">
        <f t="shared" si="140"/>
        <v>4714989.6769063231</v>
      </c>
      <c r="J441" s="15">
        <f t="shared" si="141"/>
        <v>0.83703002112519487</v>
      </c>
      <c r="K441" s="13">
        <f t="shared" si="142"/>
        <v>4745755.9046124965</v>
      </c>
      <c r="L441" s="13">
        <f t="shared" si="143"/>
        <v>529094133.18195021</v>
      </c>
      <c r="M441" s="15">
        <f t="shared" si="144"/>
        <v>0.83703002112519487</v>
      </c>
      <c r="N441" s="13">
        <f t="shared" si="145"/>
        <v>0</v>
      </c>
      <c r="O441" s="13">
        <f t="shared" si="146"/>
        <v>-30766.227706171572</v>
      </c>
      <c r="P441" s="15">
        <f t="shared" si="147"/>
        <v>-5.4559822714643821E-3</v>
      </c>
      <c r="Q441" s="7">
        <f t="shared" si="148"/>
        <v>5638989.6769063249</v>
      </c>
      <c r="R441" s="7">
        <f t="shared" si="149"/>
        <v>5669755.9046124965</v>
      </c>
      <c r="S441" s="13">
        <f>IF('BANCO DE DADOS'!$AD$32="Sim",R441,Q441)</f>
        <v>5669755.9046124965</v>
      </c>
      <c r="T441" s="9">
        <f t="shared" si="150"/>
        <v>437</v>
      </c>
      <c r="U441" s="18">
        <f t="shared" ca="1" si="135"/>
        <v>57680</v>
      </c>
    </row>
    <row r="442" spans="2:21" x14ac:dyDescent="0.2">
      <c r="B442" s="18">
        <f t="shared" ca="1" si="133"/>
        <v>57680</v>
      </c>
      <c r="C442" s="9">
        <f t="shared" si="136"/>
        <v>438</v>
      </c>
      <c r="D442" s="9"/>
      <c r="E442" s="13">
        <f t="shared" si="134"/>
        <v>2000</v>
      </c>
      <c r="F442" s="14">
        <f t="shared" si="137"/>
        <v>926000</v>
      </c>
      <c r="G442" s="15">
        <f t="shared" si="138"/>
        <v>0.16222139878990821</v>
      </c>
      <c r="H442" s="13">
        <f t="shared" si="139"/>
        <v>36281.42937121381</v>
      </c>
      <c r="I442" s="13">
        <f t="shared" si="140"/>
        <v>4751271.1062775366</v>
      </c>
      <c r="J442" s="15">
        <f t="shared" si="141"/>
        <v>0.83777860121009184</v>
      </c>
      <c r="K442" s="13">
        <f t="shared" si="142"/>
        <v>4782248.1528793629</v>
      </c>
      <c r="L442" s="13">
        <f t="shared" si="143"/>
        <v>533876381.33482957</v>
      </c>
      <c r="M442" s="15">
        <f t="shared" si="144"/>
        <v>0.83777860121009184</v>
      </c>
      <c r="N442" s="13">
        <f t="shared" si="145"/>
        <v>0</v>
      </c>
      <c r="O442" s="13">
        <f t="shared" si="146"/>
        <v>-30977.046601824462</v>
      </c>
      <c r="P442" s="15">
        <f t="shared" si="147"/>
        <v>-5.4563268200407342E-3</v>
      </c>
      <c r="Q442" s="7">
        <f t="shared" si="148"/>
        <v>5677271.1062775385</v>
      </c>
      <c r="R442" s="7">
        <f t="shared" si="149"/>
        <v>5708248.1528793629</v>
      </c>
      <c r="S442" s="13">
        <f>IF('BANCO DE DADOS'!$AD$32="Sim",R442,Q442)</f>
        <v>5708248.1528793629</v>
      </c>
      <c r="T442" s="9">
        <f t="shared" si="150"/>
        <v>438</v>
      </c>
      <c r="U442" s="18">
        <f t="shared" ca="1" si="135"/>
        <v>57711</v>
      </c>
    </row>
    <row r="443" spans="2:21" x14ac:dyDescent="0.2">
      <c r="B443" s="18">
        <f t="shared" ca="1" si="133"/>
        <v>57711</v>
      </c>
      <c r="C443" s="9">
        <f t="shared" si="136"/>
        <v>439</v>
      </c>
      <c r="D443" s="9"/>
      <c r="E443" s="13">
        <f t="shared" si="134"/>
        <v>2000</v>
      </c>
      <c r="F443" s="14">
        <f t="shared" si="137"/>
        <v>928000</v>
      </c>
      <c r="G443" s="15">
        <f t="shared" si="138"/>
        <v>0.16147588790518486</v>
      </c>
      <c r="H443" s="13">
        <f t="shared" si="139"/>
        <v>36527.733240442169</v>
      </c>
      <c r="I443" s="13">
        <f t="shared" si="140"/>
        <v>4787798.839517979</v>
      </c>
      <c r="J443" s="15">
        <f t="shared" si="141"/>
        <v>0.83852411209481514</v>
      </c>
      <c r="K443" s="13">
        <f t="shared" si="142"/>
        <v>4818988.06143058</v>
      </c>
      <c r="L443" s="13">
        <f t="shared" si="143"/>
        <v>538695369.39626014</v>
      </c>
      <c r="M443" s="15">
        <f t="shared" si="144"/>
        <v>0.83852411209481514</v>
      </c>
      <c r="N443" s="13">
        <f t="shared" si="145"/>
        <v>0</v>
      </c>
      <c r="O443" s="13">
        <f t="shared" si="146"/>
        <v>-31189.221912599169</v>
      </c>
      <c r="P443" s="15">
        <f t="shared" si="147"/>
        <v>-5.4566689256036497E-3</v>
      </c>
      <c r="Q443" s="7">
        <f t="shared" si="148"/>
        <v>5715798.8395179808</v>
      </c>
      <c r="R443" s="7">
        <f t="shared" si="149"/>
        <v>5746988.06143058</v>
      </c>
      <c r="S443" s="13">
        <f>IF('BANCO DE DADOS'!$AD$32="Sim",R443,Q443)</f>
        <v>5746988.06143058</v>
      </c>
      <c r="T443" s="9">
        <f t="shared" si="150"/>
        <v>439</v>
      </c>
      <c r="U443" s="18">
        <f t="shared" ca="1" si="135"/>
        <v>57742</v>
      </c>
    </row>
    <row r="444" spans="2:21" x14ac:dyDescent="0.2">
      <c r="B444" s="18">
        <f t="shared" ca="1" si="133"/>
        <v>57742</v>
      </c>
      <c r="C444" s="9">
        <f t="shared" si="136"/>
        <v>440</v>
      </c>
      <c r="D444" s="9"/>
      <c r="E444" s="13">
        <f t="shared" si="134"/>
        <v>2000</v>
      </c>
      <c r="F444" s="14">
        <f t="shared" si="137"/>
        <v>930000</v>
      </c>
      <c r="G444" s="15">
        <f t="shared" si="138"/>
        <v>0.16073343603694518</v>
      </c>
      <c r="H444" s="13">
        <f t="shared" si="139"/>
        <v>36775.621836181352</v>
      </c>
      <c r="I444" s="13">
        <f t="shared" si="140"/>
        <v>4824574.4613541607</v>
      </c>
      <c r="J444" s="15">
        <f t="shared" si="141"/>
        <v>0.83926656396305477</v>
      </c>
      <c r="K444" s="13">
        <f t="shared" si="142"/>
        <v>4855977.2237198744</v>
      </c>
      <c r="L444" s="13">
        <f t="shared" si="143"/>
        <v>543551346.61997998</v>
      </c>
      <c r="M444" s="15">
        <f t="shared" si="144"/>
        <v>0.83926656396305488</v>
      </c>
      <c r="N444" s="13">
        <f t="shared" si="145"/>
        <v>0</v>
      </c>
      <c r="O444" s="13">
        <f t="shared" si="146"/>
        <v>-31402.762365711853</v>
      </c>
      <c r="P444" s="15">
        <f t="shared" si="147"/>
        <v>-5.4570086070833768E-3</v>
      </c>
      <c r="Q444" s="7">
        <f t="shared" si="148"/>
        <v>5754574.4613541625</v>
      </c>
      <c r="R444" s="7">
        <f t="shared" si="149"/>
        <v>5785977.2237198744</v>
      </c>
      <c r="S444" s="13">
        <f>IF('BANCO DE DADOS'!$AD$32="Sim",R444,Q444)</f>
        <v>5785977.2237198744</v>
      </c>
      <c r="T444" s="9">
        <f t="shared" si="150"/>
        <v>440</v>
      </c>
      <c r="U444" s="18">
        <f t="shared" ca="1" si="135"/>
        <v>57770</v>
      </c>
    </row>
    <row r="445" spans="2:21" x14ac:dyDescent="0.2">
      <c r="B445" s="18">
        <f t="shared" ca="1" si="133"/>
        <v>57770</v>
      </c>
      <c r="C445" s="9">
        <f t="shared" si="136"/>
        <v>441</v>
      </c>
      <c r="D445" s="9"/>
      <c r="E445" s="13">
        <f t="shared" si="134"/>
        <v>2000</v>
      </c>
      <c r="F445" s="14">
        <f t="shared" si="137"/>
        <v>932000</v>
      </c>
      <c r="G445" s="15">
        <f t="shared" si="138"/>
        <v>0.15999403302038778</v>
      </c>
      <c r="H445" s="13">
        <f t="shared" si="139"/>
        <v>37025.105354609455</v>
      </c>
      <c r="I445" s="13">
        <f t="shared" si="140"/>
        <v>4861599.5667087706</v>
      </c>
      <c r="J445" s="15">
        <f t="shared" si="141"/>
        <v>0.84000596697961227</v>
      </c>
      <c r="K445" s="13">
        <f t="shared" si="142"/>
        <v>4893217.2434533024</v>
      </c>
      <c r="L445" s="13">
        <f t="shared" si="143"/>
        <v>548444563.86343324</v>
      </c>
      <c r="M445" s="15">
        <f t="shared" si="144"/>
        <v>0.84000596697961216</v>
      </c>
      <c r="N445" s="13">
        <f t="shared" si="145"/>
        <v>0</v>
      </c>
      <c r="O445" s="13">
        <f t="shared" si="146"/>
        <v>-31617.676744529977</v>
      </c>
      <c r="P445" s="15">
        <f t="shared" si="147"/>
        <v>-5.4573458832418657E-3</v>
      </c>
      <c r="Q445" s="7">
        <f t="shared" si="148"/>
        <v>5793599.5667087724</v>
      </c>
      <c r="R445" s="7">
        <f t="shared" si="149"/>
        <v>5825217.2434533024</v>
      </c>
      <c r="S445" s="13">
        <f>IF('BANCO DE DADOS'!$AD$32="Sim",R445,Q445)</f>
        <v>5825217.2434533024</v>
      </c>
      <c r="T445" s="9">
        <f t="shared" si="150"/>
        <v>441</v>
      </c>
      <c r="U445" s="18">
        <f t="shared" ca="1" si="135"/>
        <v>57801</v>
      </c>
    </row>
    <row r="446" spans="2:21" x14ac:dyDescent="0.2">
      <c r="B446" s="18">
        <f t="shared" ca="1" si="133"/>
        <v>57801</v>
      </c>
      <c r="C446" s="9">
        <f t="shared" si="136"/>
        <v>442</v>
      </c>
      <c r="D446" s="9"/>
      <c r="E446" s="13">
        <f t="shared" si="134"/>
        <v>2000</v>
      </c>
      <c r="F446" s="14">
        <f t="shared" si="137"/>
        <v>934000</v>
      </c>
      <c r="G446" s="15">
        <f t="shared" si="138"/>
        <v>0.15925766870965355</v>
      </c>
      <c r="H446" s="13">
        <f t="shared" si="139"/>
        <v>37276.194057507069</v>
      </c>
      <c r="I446" s="13">
        <f t="shared" si="140"/>
        <v>4898875.760766278</v>
      </c>
      <c r="J446" s="15">
        <f t="shared" si="141"/>
        <v>0.84074233129034648</v>
      </c>
      <c r="K446" s="13">
        <f t="shared" si="142"/>
        <v>4930709.7346552126</v>
      </c>
      <c r="L446" s="13">
        <f t="shared" si="143"/>
        <v>553375273.5980885</v>
      </c>
      <c r="M446" s="15">
        <f t="shared" si="144"/>
        <v>0.84074233129034648</v>
      </c>
      <c r="N446" s="13">
        <f t="shared" si="145"/>
        <v>0</v>
      </c>
      <c r="O446" s="13">
        <f t="shared" si="146"/>
        <v>-31833.973888932727</v>
      </c>
      <c r="P446" s="15">
        <f t="shared" si="147"/>
        <v>-5.4576807726744066E-3</v>
      </c>
      <c r="Q446" s="7">
        <f t="shared" si="148"/>
        <v>5832875.7607662799</v>
      </c>
      <c r="R446" s="7">
        <f t="shared" si="149"/>
        <v>5864709.7346552126</v>
      </c>
      <c r="S446" s="13">
        <f>IF('BANCO DE DADOS'!$AD$32="Sim",R446,Q446)</f>
        <v>5864709.7346552126</v>
      </c>
      <c r="T446" s="9">
        <f t="shared" si="150"/>
        <v>442</v>
      </c>
      <c r="U446" s="18">
        <f t="shared" ca="1" si="135"/>
        <v>57831</v>
      </c>
    </row>
    <row r="447" spans="2:21" x14ac:dyDescent="0.2">
      <c r="B447" s="18">
        <f t="shared" ca="1" si="133"/>
        <v>57831</v>
      </c>
      <c r="C447" s="9">
        <f t="shared" si="136"/>
        <v>443</v>
      </c>
      <c r="D447" s="9"/>
      <c r="E447" s="13">
        <f t="shared" si="134"/>
        <v>2000</v>
      </c>
      <c r="F447" s="14">
        <f t="shared" si="137"/>
        <v>936000</v>
      </c>
      <c r="G447" s="15">
        <f t="shared" si="138"/>
        <v>0.15852433297787835</v>
      </c>
      <c r="H447" s="13">
        <f t="shared" si="139"/>
        <v>37528.898272679413</v>
      </c>
      <c r="I447" s="13">
        <f t="shared" si="140"/>
        <v>4936404.6590389572</v>
      </c>
      <c r="J447" s="15">
        <f t="shared" si="141"/>
        <v>0.84147566702212162</v>
      </c>
      <c r="K447" s="13">
        <f t="shared" si="142"/>
        <v>4968456.3217346342</v>
      </c>
      <c r="L447" s="13">
        <f t="shared" si="143"/>
        <v>558343729.91982317</v>
      </c>
      <c r="M447" s="15">
        <f t="shared" si="144"/>
        <v>0.84147566702212162</v>
      </c>
      <c r="N447" s="13">
        <f t="shared" si="145"/>
        <v>0</v>
      </c>
      <c r="O447" s="13">
        <f t="shared" si="146"/>
        <v>-32051.662695675157</v>
      </c>
      <c r="P447" s="15">
        <f t="shared" si="147"/>
        <v>-5.4580132938114876E-3</v>
      </c>
      <c r="Q447" s="7">
        <f t="shared" si="148"/>
        <v>5872404.6590389591</v>
      </c>
      <c r="R447" s="7">
        <f t="shared" si="149"/>
        <v>5904456.3217346342</v>
      </c>
      <c r="S447" s="13">
        <f>IF('BANCO DE DADOS'!$AD$32="Sim",R447,Q447)</f>
        <v>5904456.3217346342</v>
      </c>
      <c r="T447" s="9">
        <f t="shared" si="150"/>
        <v>443</v>
      </c>
      <c r="U447" s="18">
        <f t="shared" ca="1" si="135"/>
        <v>57862</v>
      </c>
    </row>
    <row r="448" spans="2:21" x14ac:dyDescent="0.2">
      <c r="B448" s="18">
        <f t="shared" ca="1" si="133"/>
        <v>57862</v>
      </c>
      <c r="C448" s="9">
        <f t="shared" si="136"/>
        <v>444</v>
      </c>
      <c r="D448" s="9">
        <v>37</v>
      </c>
      <c r="E448" s="13">
        <f t="shared" si="134"/>
        <v>2000</v>
      </c>
      <c r="F448" s="14">
        <f t="shared" si="137"/>
        <v>938000</v>
      </c>
      <c r="G448" s="15">
        <f t="shared" si="138"/>
        <v>0.15779401571724566</v>
      </c>
      <c r="H448" s="13">
        <f t="shared" si="139"/>
        <v>37783.228394381091</v>
      </c>
      <c r="I448" s="13">
        <f t="shared" si="140"/>
        <v>4974187.887433338</v>
      </c>
      <c r="J448" s="15">
        <f t="shared" si="141"/>
        <v>0.84220598428275428</v>
      </c>
      <c r="K448" s="13">
        <f t="shared" si="142"/>
        <v>5006458.639552095</v>
      </c>
      <c r="L448" s="13">
        <f t="shared" si="143"/>
        <v>563350188.55937529</v>
      </c>
      <c r="M448" s="15">
        <f t="shared" si="144"/>
        <v>0.84220598428275439</v>
      </c>
      <c r="N448" s="13">
        <f t="shared" si="145"/>
        <v>0</v>
      </c>
      <c r="O448" s="13">
        <f t="shared" si="146"/>
        <v>-32270.752118755132</v>
      </c>
      <c r="P448" s="15">
        <f t="shared" si="147"/>
        <v>-5.458343464920707E-3</v>
      </c>
      <c r="Q448" s="7">
        <f t="shared" si="148"/>
        <v>5912187.8874333398</v>
      </c>
      <c r="R448" s="7">
        <f t="shared" si="149"/>
        <v>5944458.639552095</v>
      </c>
      <c r="S448" s="13">
        <f>IF('BANCO DE DADOS'!$AD$32="Sim",R448,Q448)</f>
        <v>5944458.639552095</v>
      </c>
      <c r="T448" s="9">
        <f t="shared" si="150"/>
        <v>444</v>
      </c>
      <c r="U448" s="18">
        <f t="shared" ca="1" si="135"/>
        <v>57892</v>
      </c>
    </row>
    <row r="449" spans="2:21" x14ac:dyDescent="0.2">
      <c r="B449" s="18">
        <f t="shared" ca="1" si="133"/>
        <v>57892</v>
      </c>
      <c r="C449" s="9">
        <f t="shared" si="136"/>
        <v>445</v>
      </c>
      <c r="D449" s="9"/>
      <c r="E449" s="13">
        <f t="shared" si="134"/>
        <v>2000</v>
      </c>
      <c r="F449" s="14">
        <f t="shared" si="137"/>
        <v>940000</v>
      </c>
      <c r="G449" s="15">
        <f t="shared" si="138"/>
        <v>0.15706670683903845</v>
      </c>
      <c r="H449" s="13">
        <f t="shared" si="139"/>
        <v>38039.194883743679</v>
      </c>
      <c r="I449" s="13">
        <f t="shared" si="140"/>
        <v>5012227.0823170813</v>
      </c>
      <c r="J449" s="15">
        <f t="shared" si="141"/>
        <v>0.84293329316096155</v>
      </c>
      <c r="K449" s="13">
        <f t="shared" si="142"/>
        <v>5044718.3334868634</v>
      </c>
      <c r="L449" s="13">
        <f t="shared" si="143"/>
        <v>568394906.8928622</v>
      </c>
      <c r="M449" s="15">
        <f t="shared" si="144"/>
        <v>0.84293329316096155</v>
      </c>
      <c r="N449" s="13">
        <f t="shared" si="145"/>
        <v>0</v>
      </c>
      <c r="O449" s="13">
        <f t="shared" si="146"/>
        <v>-32491.251169780269</v>
      </c>
      <c r="P449" s="15">
        <f t="shared" si="147"/>
        <v>-5.4586713041082559E-3</v>
      </c>
      <c r="Q449" s="7">
        <f t="shared" si="148"/>
        <v>5952227.0823170831</v>
      </c>
      <c r="R449" s="7">
        <f t="shared" si="149"/>
        <v>5984718.3334868634</v>
      </c>
      <c r="S449" s="13">
        <f>IF('BANCO DE DADOS'!$AD$32="Sim",R449,Q449)</f>
        <v>5984718.3334868634</v>
      </c>
      <c r="T449" s="9">
        <f t="shared" si="150"/>
        <v>445</v>
      </c>
      <c r="U449" s="18">
        <f t="shared" ca="1" si="135"/>
        <v>57923</v>
      </c>
    </row>
    <row r="450" spans="2:21" x14ac:dyDescent="0.2">
      <c r="B450" s="18">
        <f t="shared" ca="1" si="133"/>
        <v>57923</v>
      </c>
      <c r="C450" s="9">
        <f t="shared" si="136"/>
        <v>446</v>
      </c>
      <c r="D450" s="9"/>
      <c r="E450" s="13">
        <f t="shared" si="134"/>
        <v>2000</v>
      </c>
      <c r="F450" s="14">
        <f t="shared" si="137"/>
        <v>942000</v>
      </c>
      <c r="G450" s="15">
        <f t="shared" si="138"/>
        <v>0.15634239627369081</v>
      </c>
      <c r="H450" s="13">
        <f t="shared" si="139"/>
        <v>38296.808269205976</v>
      </c>
      <c r="I450" s="13">
        <f t="shared" si="140"/>
        <v>5050523.8905862877</v>
      </c>
      <c r="J450" s="15">
        <f t="shared" si="141"/>
        <v>0.84365760372630916</v>
      </c>
      <c r="K450" s="13">
        <f t="shared" si="142"/>
        <v>5083237.0595046273</v>
      </c>
      <c r="L450" s="13">
        <f t="shared" si="143"/>
        <v>573478143.95236683</v>
      </c>
      <c r="M450" s="15">
        <f t="shared" si="144"/>
        <v>0.84365760372630916</v>
      </c>
      <c r="N450" s="13">
        <f t="shared" si="145"/>
        <v>0</v>
      </c>
      <c r="O450" s="13">
        <f t="shared" si="146"/>
        <v>-32713.168918337673</v>
      </c>
      <c r="P450" s="15">
        <f t="shared" si="147"/>
        <v>-5.4589968293204619E-3</v>
      </c>
      <c r="Q450" s="7">
        <f t="shared" si="148"/>
        <v>5992523.8905862896</v>
      </c>
      <c r="R450" s="7">
        <f t="shared" si="149"/>
        <v>6025237.0595046273</v>
      </c>
      <c r="S450" s="13">
        <f>IF('BANCO DE DADOS'!$AD$32="Sim",R450,Q450)</f>
        <v>6025237.0595046273</v>
      </c>
      <c r="T450" s="9">
        <f t="shared" si="150"/>
        <v>446</v>
      </c>
      <c r="U450" s="18">
        <f t="shared" ca="1" si="135"/>
        <v>57954</v>
      </c>
    </row>
    <row r="451" spans="2:21" x14ac:dyDescent="0.2">
      <c r="B451" s="18">
        <f t="shared" ca="1" si="133"/>
        <v>57954</v>
      </c>
      <c r="C451" s="9">
        <f t="shared" si="136"/>
        <v>447</v>
      </c>
      <c r="D451" s="9"/>
      <c r="E451" s="13">
        <f t="shared" si="134"/>
        <v>2000</v>
      </c>
      <c r="F451" s="14">
        <f t="shared" si="137"/>
        <v>944000</v>
      </c>
      <c r="G451" s="15">
        <f t="shared" si="138"/>
        <v>0.15562107397083866</v>
      </c>
      <c r="H451" s="13">
        <f t="shared" si="139"/>
        <v>38556.079146947086</v>
      </c>
      <c r="I451" s="13">
        <f t="shared" si="140"/>
        <v>5089079.9697332345</v>
      </c>
      <c r="J451" s="15">
        <f t="shared" si="141"/>
        <v>0.84437892602916131</v>
      </c>
      <c r="K451" s="13">
        <f t="shared" si="142"/>
        <v>5122016.4842256084</v>
      </c>
      <c r="L451" s="13">
        <f t="shared" si="143"/>
        <v>578600160.43659246</v>
      </c>
      <c r="M451" s="15">
        <f t="shared" si="144"/>
        <v>0.84437892602916131</v>
      </c>
      <c r="N451" s="13">
        <f t="shared" si="145"/>
        <v>0</v>
      </c>
      <c r="O451" s="13">
        <f t="shared" si="146"/>
        <v>-32936.514492372051</v>
      </c>
      <c r="P451" s="15">
        <f t="shared" si="147"/>
        <v>-5.4593200583463175E-3</v>
      </c>
      <c r="Q451" s="7">
        <f t="shared" si="148"/>
        <v>6033079.9697332364</v>
      </c>
      <c r="R451" s="7">
        <f t="shared" si="149"/>
        <v>6066016.4842256084</v>
      </c>
      <c r="S451" s="13">
        <f>IF('BANCO DE DADOS'!$AD$32="Sim",R451,Q451)</f>
        <v>6066016.4842256084</v>
      </c>
      <c r="T451" s="9">
        <f t="shared" si="150"/>
        <v>447</v>
      </c>
      <c r="U451" s="18">
        <f t="shared" ca="1" si="135"/>
        <v>57984</v>
      </c>
    </row>
    <row r="452" spans="2:21" x14ac:dyDescent="0.2">
      <c r="B452" s="18">
        <f t="shared" ca="1" si="133"/>
        <v>57984</v>
      </c>
      <c r="C452" s="9">
        <f t="shared" si="136"/>
        <v>448</v>
      </c>
      <c r="D452" s="9"/>
      <c r="E452" s="13">
        <f t="shared" si="134"/>
        <v>2000</v>
      </c>
      <c r="F452" s="14">
        <f t="shared" si="137"/>
        <v>946000</v>
      </c>
      <c r="G452" s="15">
        <f t="shared" si="138"/>
        <v>0.15490272989937034</v>
      </c>
      <c r="H452" s="13">
        <f t="shared" si="139"/>
        <v>38817.01818132223</v>
      </c>
      <c r="I452" s="13">
        <f t="shared" si="140"/>
        <v>5127896.9879145566</v>
      </c>
      <c r="J452" s="15">
        <f t="shared" si="141"/>
        <v>0.84509727010062963</v>
      </c>
      <c r="K452" s="13">
        <f t="shared" si="142"/>
        <v>5161058.284993113</v>
      </c>
      <c r="L452" s="13">
        <f t="shared" si="143"/>
        <v>583761218.72158563</v>
      </c>
      <c r="M452" s="15">
        <f t="shared" si="144"/>
        <v>0.84509727010062963</v>
      </c>
      <c r="N452" s="13">
        <f t="shared" si="145"/>
        <v>0</v>
      </c>
      <c r="O452" s="13">
        <f t="shared" si="146"/>
        <v>-33161.297078554519</v>
      </c>
      <c r="P452" s="15">
        <f t="shared" si="147"/>
        <v>-5.4596410088180109E-3</v>
      </c>
      <c r="Q452" s="7">
        <f t="shared" si="148"/>
        <v>6073896.9879145585</v>
      </c>
      <c r="R452" s="7">
        <f t="shared" si="149"/>
        <v>6107058.284993113</v>
      </c>
      <c r="S452" s="13">
        <f>IF('BANCO DE DADOS'!$AD$32="Sim",R452,Q452)</f>
        <v>6107058.284993113</v>
      </c>
      <c r="T452" s="9">
        <f t="shared" si="150"/>
        <v>448</v>
      </c>
      <c r="U452" s="18">
        <f t="shared" ca="1" si="135"/>
        <v>58015</v>
      </c>
    </row>
    <row r="453" spans="2:21" x14ac:dyDescent="0.2">
      <c r="B453" s="18">
        <f t="shared" ca="1" si="133"/>
        <v>58015</v>
      </c>
      <c r="C453" s="9">
        <f t="shared" si="136"/>
        <v>449</v>
      </c>
      <c r="D453" s="9"/>
      <c r="E453" s="13">
        <f t="shared" si="134"/>
        <v>2000</v>
      </c>
      <c r="F453" s="14">
        <f t="shared" si="137"/>
        <v>948000</v>
      </c>
      <c r="G453" s="15">
        <f t="shared" si="138"/>
        <v>0.15418735404747652</v>
      </c>
      <c r="H453" s="13">
        <f t="shared" si="139"/>
        <v>39079.636105301412</v>
      </c>
      <c r="I453" s="13">
        <f t="shared" si="140"/>
        <v>5166976.6240198584</v>
      </c>
      <c r="J453" s="15">
        <f t="shared" si="141"/>
        <v>0.84581264595252348</v>
      </c>
      <c r="K453" s="13">
        <f t="shared" si="142"/>
        <v>5200364.1499425247</v>
      </c>
      <c r="L453" s="13">
        <f t="shared" si="143"/>
        <v>588961582.87152815</v>
      </c>
      <c r="M453" s="15">
        <f t="shared" si="144"/>
        <v>0.84581264595252348</v>
      </c>
      <c r="N453" s="13">
        <f t="shared" si="145"/>
        <v>0</v>
      </c>
      <c r="O453" s="13">
        <f t="shared" si="146"/>
        <v>-33387.525922664441</v>
      </c>
      <c r="P453" s="15">
        <f t="shared" si="147"/>
        <v>-5.4599596982132315E-3</v>
      </c>
      <c r="Q453" s="7">
        <f t="shared" si="148"/>
        <v>6114976.6240198603</v>
      </c>
      <c r="R453" s="7">
        <f t="shared" si="149"/>
        <v>6148364.1499425247</v>
      </c>
      <c r="S453" s="13">
        <f>IF('BANCO DE DADOS'!$AD$32="Sim",R453,Q453)</f>
        <v>6148364.1499425247</v>
      </c>
      <c r="T453" s="9">
        <f t="shared" si="150"/>
        <v>449</v>
      </c>
      <c r="U453" s="18">
        <f t="shared" ca="1" si="135"/>
        <v>58045</v>
      </c>
    </row>
    <row r="454" spans="2:21" x14ac:dyDescent="0.2">
      <c r="B454" s="18">
        <f t="shared" ref="B454:B517" ca="1" si="151">DATE(YEAR(B453),MONTH(B453)+1,1)</f>
        <v>58045</v>
      </c>
      <c r="C454" s="9">
        <f t="shared" si="136"/>
        <v>450</v>
      </c>
      <c r="D454" s="9"/>
      <c r="E454" s="13">
        <f t="shared" ref="E454:E517" si="152">IF($AE$33,IF($AE$34,$E453*(1+Inflação)*(1+Crescimento_Salário),$E453*(1+Inflação)),IF($AE$34,$E453*(1+Crescimento_Salário),$E453))</f>
        <v>2000</v>
      </c>
      <c r="F454" s="14">
        <f t="shared" si="137"/>
        <v>950000</v>
      </c>
      <c r="G454" s="15">
        <f t="shared" si="138"/>
        <v>0.15347493642269952</v>
      </c>
      <c r="H454" s="13">
        <f t="shared" si="139"/>
        <v>39343.943720910909</v>
      </c>
      <c r="I454" s="13">
        <f t="shared" si="140"/>
        <v>5206320.5677407691</v>
      </c>
      <c r="J454" s="15">
        <f t="shared" si="141"/>
        <v>0.84652506357730051</v>
      </c>
      <c r="K454" s="13">
        <f t="shared" si="142"/>
        <v>5239935.7780707404</v>
      </c>
      <c r="L454" s="13">
        <f t="shared" si="143"/>
        <v>594201518.64959884</v>
      </c>
      <c r="M454" s="15">
        <f t="shared" si="144"/>
        <v>0.84652506357730051</v>
      </c>
      <c r="N454" s="13">
        <f t="shared" si="145"/>
        <v>0</v>
      </c>
      <c r="O454" s="13">
        <f t="shared" si="146"/>
        <v>-33615.210329969414</v>
      </c>
      <c r="P454" s="15">
        <f t="shared" si="147"/>
        <v>-5.4602761438567234E-3</v>
      </c>
      <c r="Q454" s="7">
        <f t="shared" si="148"/>
        <v>6156320.567740771</v>
      </c>
      <c r="R454" s="7">
        <f t="shared" si="149"/>
        <v>6189935.7780707404</v>
      </c>
      <c r="S454" s="13">
        <f>IF('BANCO DE DADOS'!$AD$32="Sim",R454,Q454)</f>
        <v>6189935.7780707404</v>
      </c>
      <c r="T454" s="9">
        <f t="shared" si="150"/>
        <v>450</v>
      </c>
      <c r="U454" s="18">
        <f t="shared" ref="U454:U517" ca="1" si="153">DATE(YEAR(U453),MONTH(U453)+1,1)</f>
        <v>58076</v>
      </c>
    </row>
    <row r="455" spans="2:21" x14ac:dyDescent="0.2">
      <c r="B455" s="18">
        <f t="shared" ca="1" si="151"/>
        <v>58076</v>
      </c>
      <c r="C455" s="9">
        <f t="shared" ref="C455:C518" si="154">C454+1</f>
        <v>451</v>
      </c>
      <c r="D455" s="9"/>
      <c r="E455" s="13">
        <f t="shared" si="152"/>
        <v>2000</v>
      </c>
      <c r="F455" s="14">
        <f t="shared" si="137"/>
        <v>952000</v>
      </c>
      <c r="G455" s="15">
        <f t="shared" si="138"/>
        <v>0.1527654670519823</v>
      </c>
      <c r="H455" s="13">
        <f t="shared" si="139"/>
        <v>39609.95189967753</v>
      </c>
      <c r="I455" s="13">
        <f t="shared" si="140"/>
        <v>5245930.5196404466</v>
      </c>
      <c r="J455" s="15">
        <f t="shared" si="141"/>
        <v>0.84723453294801776</v>
      </c>
      <c r="K455" s="13">
        <f t="shared" si="142"/>
        <v>5279774.8793060547</v>
      </c>
      <c r="L455" s="13">
        <f t="shared" si="143"/>
        <v>599481293.52890491</v>
      </c>
      <c r="M455" s="15">
        <f t="shared" si="144"/>
        <v>0.84723453294801776</v>
      </c>
      <c r="N455" s="13">
        <f t="shared" si="145"/>
        <v>0</v>
      </c>
      <c r="O455" s="13">
        <f t="shared" si="146"/>
        <v>-33844.359665606171</v>
      </c>
      <c r="P455" s="15">
        <f t="shared" si="147"/>
        <v>-5.4605903629215795E-3</v>
      </c>
      <c r="Q455" s="7">
        <f t="shared" si="148"/>
        <v>6197930.5196404485</v>
      </c>
      <c r="R455" s="7">
        <f t="shared" si="149"/>
        <v>6231774.8793060547</v>
      </c>
      <c r="S455" s="13">
        <f>IF('BANCO DE DADOS'!$AD$32="Sim",R455,Q455)</f>
        <v>6231774.8793060547</v>
      </c>
      <c r="T455" s="9">
        <f t="shared" si="150"/>
        <v>451</v>
      </c>
      <c r="U455" s="18">
        <f t="shared" ca="1" si="153"/>
        <v>58107</v>
      </c>
    </row>
    <row r="456" spans="2:21" x14ac:dyDescent="0.2">
      <c r="B456" s="18">
        <f t="shared" ca="1" si="151"/>
        <v>58107</v>
      </c>
      <c r="C456" s="9">
        <f t="shared" si="154"/>
        <v>452</v>
      </c>
      <c r="D456" s="9"/>
      <c r="E456" s="13">
        <f t="shared" si="152"/>
        <v>2000</v>
      </c>
      <c r="F456" s="14">
        <f t="shared" si="137"/>
        <v>954000</v>
      </c>
      <c r="G456" s="15">
        <f t="shared" si="138"/>
        <v>0.1520589359817166</v>
      </c>
      <c r="H456" s="13">
        <f t="shared" si="139"/>
        <v>39877.671583075855</v>
      </c>
      <c r="I456" s="13">
        <f t="shared" si="140"/>
        <v>5285808.1912235226</v>
      </c>
      <c r="J456" s="15">
        <f t="shared" si="141"/>
        <v>0.8479410640182834</v>
      </c>
      <c r="K456" s="13">
        <f t="shared" si="142"/>
        <v>5319883.1745784925</v>
      </c>
      <c r="L456" s="13">
        <f t="shared" si="143"/>
        <v>604801176.70348346</v>
      </c>
      <c r="M456" s="15">
        <f t="shared" si="144"/>
        <v>0.8479410640182834</v>
      </c>
      <c r="N456" s="13">
        <f t="shared" si="145"/>
        <v>0</v>
      </c>
      <c r="O456" s="13">
        <f t="shared" si="146"/>
        <v>-34074.983354968019</v>
      </c>
      <c r="P456" s="15">
        <f t="shared" si="147"/>
        <v>-5.4609023724311746E-3</v>
      </c>
      <c r="Q456" s="7">
        <f t="shared" si="148"/>
        <v>6239808.1912235245</v>
      </c>
      <c r="R456" s="7">
        <f t="shared" si="149"/>
        <v>6273883.1745784925</v>
      </c>
      <c r="S456" s="13">
        <f>IF('BANCO DE DADOS'!$AD$32="Sim",R456,Q456)</f>
        <v>6273883.1745784925</v>
      </c>
      <c r="T456" s="9">
        <f t="shared" si="150"/>
        <v>452</v>
      </c>
      <c r="U456" s="18">
        <f t="shared" ca="1" si="153"/>
        <v>58135</v>
      </c>
    </row>
    <row r="457" spans="2:21" x14ac:dyDescent="0.2">
      <c r="B457" s="18">
        <f t="shared" ca="1" si="151"/>
        <v>58135</v>
      </c>
      <c r="C457" s="9">
        <f t="shared" si="154"/>
        <v>453</v>
      </c>
      <c r="D457" s="9"/>
      <c r="E457" s="13">
        <f t="shared" si="152"/>
        <v>2000</v>
      </c>
      <c r="F457" s="14">
        <f t="shared" si="137"/>
        <v>956000</v>
      </c>
      <c r="G457" s="15">
        <f t="shared" si="138"/>
        <v>0.15135533327779108</v>
      </c>
      <c r="H457" s="13">
        <f t="shared" si="139"/>
        <v>40147.113782978202</v>
      </c>
      <c r="I457" s="13">
        <f t="shared" si="140"/>
        <v>5325955.3050065013</v>
      </c>
      <c r="J457" s="15">
        <f t="shared" si="141"/>
        <v>0.84864466672220895</v>
      </c>
      <c r="K457" s="13">
        <f t="shared" si="142"/>
        <v>5360262.3958905945</v>
      </c>
      <c r="L457" s="13">
        <f t="shared" si="143"/>
        <v>610161439.09937406</v>
      </c>
      <c r="M457" s="15">
        <f t="shared" si="144"/>
        <v>0.84864466672220895</v>
      </c>
      <c r="N457" s="13">
        <f t="shared" si="145"/>
        <v>0</v>
      </c>
      <c r="O457" s="13">
        <f t="shared" si="146"/>
        <v>-34307.090884091333</v>
      </c>
      <c r="P457" s="15">
        <f t="shared" si="147"/>
        <v>-5.4612121892605248E-3</v>
      </c>
      <c r="Q457" s="7">
        <f t="shared" si="148"/>
        <v>6281955.3050065031</v>
      </c>
      <c r="R457" s="7">
        <f t="shared" si="149"/>
        <v>6316262.3958905945</v>
      </c>
      <c r="S457" s="13">
        <f>IF('BANCO DE DADOS'!$AD$32="Sim",R457,Q457)</f>
        <v>6316262.3958905945</v>
      </c>
      <c r="T457" s="9">
        <f t="shared" si="150"/>
        <v>453</v>
      </c>
      <c r="U457" s="18">
        <f t="shared" ca="1" si="153"/>
        <v>58166</v>
      </c>
    </row>
    <row r="458" spans="2:21" x14ac:dyDescent="0.2">
      <c r="B458" s="18">
        <f t="shared" ca="1" si="151"/>
        <v>58166</v>
      </c>
      <c r="C458" s="9">
        <f t="shared" si="154"/>
        <v>454</v>
      </c>
      <c r="D458" s="9"/>
      <c r="E458" s="13">
        <f t="shared" si="152"/>
        <v>2000</v>
      </c>
      <c r="F458" s="14">
        <f t="shared" si="137"/>
        <v>958000</v>
      </c>
      <c r="G458" s="15">
        <f t="shared" si="138"/>
        <v>0.15065464902563824</v>
      </c>
      <c r="H458" s="13">
        <f t="shared" si="139"/>
        <v>40418.289582107624</v>
      </c>
      <c r="I458" s="13">
        <f t="shared" si="140"/>
        <v>5366373.5945886085</v>
      </c>
      <c r="J458" s="15">
        <f t="shared" si="141"/>
        <v>0.84934535097436181</v>
      </c>
      <c r="K458" s="13">
        <f t="shared" si="142"/>
        <v>5400914.2863886571</v>
      </c>
      <c r="L458" s="13">
        <f t="shared" si="143"/>
        <v>615562353.38576269</v>
      </c>
      <c r="M458" s="15">
        <f t="shared" si="144"/>
        <v>0.8493453509743617</v>
      </c>
      <c r="N458" s="13">
        <f t="shared" si="145"/>
        <v>0</v>
      </c>
      <c r="O458" s="13">
        <f t="shared" si="146"/>
        <v>-34540.691800046712</v>
      </c>
      <c r="P458" s="15">
        <f t="shared" si="147"/>
        <v>-5.4615198301379798E-3</v>
      </c>
      <c r="Q458" s="7">
        <f t="shared" si="148"/>
        <v>6324373.5945886103</v>
      </c>
      <c r="R458" s="7">
        <f t="shared" si="149"/>
        <v>6358914.2863886571</v>
      </c>
      <c r="S458" s="13">
        <f>IF('BANCO DE DADOS'!$AD$32="Sim",R458,Q458)</f>
        <v>6358914.2863886571</v>
      </c>
      <c r="T458" s="9">
        <f t="shared" si="150"/>
        <v>454</v>
      </c>
      <c r="U458" s="18">
        <f t="shared" ca="1" si="153"/>
        <v>58196</v>
      </c>
    </row>
    <row r="459" spans="2:21" x14ac:dyDescent="0.2">
      <c r="B459" s="18">
        <f t="shared" ca="1" si="151"/>
        <v>58196</v>
      </c>
      <c r="C459" s="9">
        <f t="shared" si="154"/>
        <v>455</v>
      </c>
      <c r="D459" s="9"/>
      <c r="E459" s="13">
        <f t="shared" si="152"/>
        <v>2000</v>
      </c>
      <c r="F459" s="14">
        <f t="shared" si="137"/>
        <v>960000</v>
      </c>
      <c r="G459" s="15">
        <f t="shared" si="138"/>
        <v>0.14995687333028157</v>
      </c>
      <c r="H459" s="13">
        <f t="shared" si="139"/>
        <v>40691.210134493747</v>
      </c>
      <c r="I459" s="13">
        <f t="shared" si="140"/>
        <v>5407064.8047231026</v>
      </c>
      <c r="J459" s="15">
        <f t="shared" si="141"/>
        <v>0.85004312666971837</v>
      </c>
      <c r="K459" s="13">
        <f t="shared" si="142"/>
        <v>5441840.6004344327</v>
      </c>
      <c r="L459" s="13">
        <f t="shared" si="143"/>
        <v>621004193.98619711</v>
      </c>
      <c r="M459" s="15">
        <f t="shared" si="144"/>
        <v>0.85004312666971837</v>
      </c>
      <c r="N459" s="13">
        <f t="shared" si="145"/>
        <v>0</v>
      </c>
      <c r="O459" s="13">
        <f t="shared" si="146"/>
        <v>-34775.795711328276</v>
      </c>
      <c r="P459" s="15">
        <f t="shared" si="147"/>
        <v>-5.4618253116461924E-3</v>
      </c>
      <c r="Q459" s="7">
        <f t="shared" si="148"/>
        <v>6367064.8047231045</v>
      </c>
      <c r="R459" s="7">
        <f t="shared" si="149"/>
        <v>6401840.6004344327</v>
      </c>
      <c r="S459" s="13">
        <f>IF('BANCO DE DADOS'!$AD$32="Sim",R459,Q459)</f>
        <v>6401840.6004344327</v>
      </c>
      <c r="T459" s="9">
        <f t="shared" si="150"/>
        <v>455</v>
      </c>
      <c r="U459" s="18">
        <f t="shared" ca="1" si="153"/>
        <v>58227</v>
      </c>
    </row>
    <row r="460" spans="2:21" x14ac:dyDescent="0.2">
      <c r="B460" s="18">
        <f t="shared" ca="1" si="151"/>
        <v>58227</v>
      </c>
      <c r="C460" s="9">
        <f t="shared" si="154"/>
        <v>456</v>
      </c>
      <c r="D460" s="9">
        <v>38</v>
      </c>
      <c r="E460" s="13">
        <f t="shared" si="152"/>
        <v>2000</v>
      </c>
      <c r="F460" s="14">
        <f t="shared" si="137"/>
        <v>962000</v>
      </c>
      <c r="G460" s="15">
        <f t="shared" si="138"/>
        <v>0.14926199631638154</v>
      </c>
      <c r="H460" s="13">
        <f t="shared" si="139"/>
        <v>40965.886665931568</v>
      </c>
      <c r="I460" s="13">
        <f t="shared" si="140"/>
        <v>5448030.6913890345</v>
      </c>
      <c r="J460" s="15">
        <f t="shared" si="141"/>
        <v>0.85073800368361852</v>
      </c>
      <c r="K460" s="13">
        <f t="shared" si="142"/>
        <v>5483043.1036772905</v>
      </c>
      <c r="L460" s="13">
        <f t="shared" si="143"/>
        <v>626487237.08987439</v>
      </c>
      <c r="M460" s="15">
        <f t="shared" si="144"/>
        <v>0.8507380036836184</v>
      </c>
      <c r="N460" s="13">
        <f t="shared" si="145"/>
        <v>0</v>
      </c>
      <c r="O460" s="13">
        <f t="shared" si="146"/>
        <v>-35012.412288254127</v>
      </c>
      <c r="P460" s="15">
        <f t="shared" si="147"/>
        <v>-5.4621286502244551E-3</v>
      </c>
      <c r="Q460" s="7">
        <f t="shared" si="148"/>
        <v>6410030.6913890364</v>
      </c>
      <c r="R460" s="7">
        <f t="shared" si="149"/>
        <v>6445043.1036772905</v>
      </c>
      <c r="S460" s="13">
        <f>IF('BANCO DE DADOS'!$AD$32="Sim",R460,Q460)</f>
        <v>6445043.1036772905</v>
      </c>
      <c r="T460" s="9">
        <f t="shared" si="150"/>
        <v>456</v>
      </c>
      <c r="U460" s="18">
        <f t="shared" ca="1" si="153"/>
        <v>58257</v>
      </c>
    </row>
    <row r="461" spans="2:21" x14ac:dyDescent="0.2">
      <c r="B461" s="18">
        <f t="shared" ca="1" si="151"/>
        <v>58257</v>
      </c>
      <c r="C461" s="9">
        <f t="shared" si="154"/>
        <v>457</v>
      </c>
      <c r="D461" s="9"/>
      <c r="E461" s="13">
        <f t="shared" si="152"/>
        <v>2000</v>
      </c>
      <c r="F461" s="14">
        <f t="shared" si="137"/>
        <v>964000</v>
      </c>
      <c r="G461" s="15">
        <f t="shared" si="138"/>
        <v>0.14857000812828139</v>
      </c>
      <c r="H461" s="13">
        <f t="shared" si="139"/>
        <v>41242.330474443166</v>
      </c>
      <c r="I461" s="13">
        <f t="shared" si="140"/>
        <v>5489273.0218634773</v>
      </c>
      <c r="J461" s="15">
        <f t="shared" si="141"/>
        <v>0.85142999187171864</v>
      </c>
      <c r="K461" s="13">
        <f t="shared" si="142"/>
        <v>5524523.5731268404</v>
      </c>
      <c r="L461" s="13">
        <f t="shared" si="143"/>
        <v>632011760.66300118</v>
      </c>
      <c r="M461" s="15">
        <f t="shared" si="144"/>
        <v>0.85142999187171864</v>
      </c>
      <c r="N461" s="13">
        <f t="shared" si="145"/>
        <v>0</v>
      </c>
      <c r="O461" s="13">
        <f t="shared" si="146"/>
        <v>-35250.551263361238</v>
      </c>
      <c r="P461" s="15">
        <f t="shared" si="147"/>
        <v>-5.462429862169711E-3</v>
      </c>
      <c r="Q461" s="7">
        <f t="shared" si="148"/>
        <v>6453273.0218634792</v>
      </c>
      <c r="R461" s="7">
        <f t="shared" si="149"/>
        <v>6488523.5731268404</v>
      </c>
      <c r="S461" s="13">
        <f>IF('BANCO DE DADOS'!$AD$32="Sim",R461,Q461)</f>
        <v>6488523.5731268404</v>
      </c>
      <c r="T461" s="9">
        <f t="shared" si="150"/>
        <v>457</v>
      </c>
      <c r="U461" s="18">
        <f t="shared" ca="1" si="153"/>
        <v>58288</v>
      </c>
    </row>
    <row r="462" spans="2:21" x14ac:dyDescent="0.2">
      <c r="B462" s="18">
        <f t="shared" ca="1" si="151"/>
        <v>58288</v>
      </c>
      <c r="C462" s="9">
        <f t="shared" si="154"/>
        <v>458</v>
      </c>
      <c r="D462" s="9"/>
      <c r="E462" s="13">
        <f t="shared" si="152"/>
        <v>2000</v>
      </c>
      <c r="F462" s="14">
        <f t="shared" si="137"/>
        <v>966000</v>
      </c>
      <c r="G462" s="15">
        <f t="shared" si="138"/>
        <v>0.14788089893005227</v>
      </c>
      <c r="H462" s="13">
        <f t="shared" si="139"/>
        <v>41520.552930742451</v>
      </c>
      <c r="I462" s="13">
        <f t="shared" si="140"/>
        <v>5530793.5747942198</v>
      </c>
      <c r="J462" s="15">
        <f t="shared" si="141"/>
        <v>0.8521191010699477</v>
      </c>
      <c r="K462" s="13">
        <f t="shared" si="142"/>
        <v>5566283.7972260257</v>
      </c>
      <c r="L462" s="13">
        <f t="shared" si="143"/>
        <v>637578044.46022725</v>
      </c>
      <c r="M462" s="15">
        <f t="shared" si="144"/>
        <v>0.8521191010699477</v>
      </c>
      <c r="N462" s="13">
        <f t="shared" si="145"/>
        <v>0</v>
      </c>
      <c r="O462" s="13">
        <f t="shared" si="146"/>
        <v>-35490.222431804053</v>
      </c>
      <c r="P462" s="15">
        <f t="shared" si="147"/>
        <v>-5.462728963637753E-3</v>
      </c>
      <c r="Q462" s="7">
        <f t="shared" si="148"/>
        <v>6496793.5747942217</v>
      </c>
      <c r="R462" s="7">
        <f t="shared" si="149"/>
        <v>6532283.7972260257</v>
      </c>
      <c r="S462" s="13">
        <f>IF('BANCO DE DADOS'!$AD$32="Sim",R462,Q462)</f>
        <v>6532283.7972260257</v>
      </c>
      <c r="T462" s="9">
        <f t="shared" si="150"/>
        <v>458</v>
      </c>
      <c r="U462" s="18">
        <f t="shared" ca="1" si="153"/>
        <v>58319</v>
      </c>
    </row>
    <row r="463" spans="2:21" x14ac:dyDescent="0.2">
      <c r="B463" s="18">
        <f t="shared" ca="1" si="151"/>
        <v>58319</v>
      </c>
      <c r="C463" s="9">
        <f t="shared" si="154"/>
        <v>459</v>
      </c>
      <c r="D463" s="9"/>
      <c r="E463" s="13">
        <f t="shared" si="152"/>
        <v>2000</v>
      </c>
      <c r="F463" s="14">
        <f t="shared" si="137"/>
        <v>968000</v>
      </c>
      <c r="G463" s="15">
        <f t="shared" si="138"/>
        <v>0.14719465890553804</v>
      </c>
      <c r="H463" s="13">
        <f t="shared" si="139"/>
        <v>41800.565478702847</v>
      </c>
      <c r="I463" s="13">
        <f t="shared" si="140"/>
        <v>5572594.1402729228</v>
      </c>
      <c r="J463" s="15">
        <f t="shared" si="141"/>
        <v>0.85280534109446193</v>
      </c>
      <c r="K463" s="13">
        <f t="shared" si="142"/>
        <v>5608325.5759246852</v>
      </c>
      <c r="L463" s="13">
        <f t="shared" si="143"/>
        <v>643186370.03615189</v>
      </c>
      <c r="M463" s="15">
        <f t="shared" si="144"/>
        <v>0.85280534109446193</v>
      </c>
      <c r="N463" s="13">
        <f t="shared" si="145"/>
        <v>0</v>
      </c>
      <c r="O463" s="13">
        <f t="shared" si="146"/>
        <v>-35731.435651760548</v>
      </c>
      <c r="P463" s="15">
        <f t="shared" si="147"/>
        <v>-5.4630259706451613E-3</v>
      </c>
      <c r="Q463" s="7">
        <f t="shared" si="148"/>
        <v>6540594.1402729247</v>
      </c>
      <c r="R463" s="7">
        <f t="shared" si="149"/>
        <v>6576325.5759246852</v>
      </c>
      <c r="S463" s="13">
        <f>IF('BANCO DE DADOS'!$AD$32="Sim",R463,Q463)</f>
        <v>6576325.5759246852</v>
      </c>
      <c r="T463" s="9">
        <f t="shared" si="150"/>
        <v>459</v>
      </c>
      <c r="U463" s="18">
        <f t="shared" ca="1" si="153"/>
        <v>58349</v>
      </c>
    </row>
    <row r="464" spans="2:21" x14ac:dyDescent="0.2">
      <c r="B464" s="18">
        <f t="shared" ca="1" si="151"/>
        <v>58349</v>
      </c>
      <c r="C464" s="9">
        <f t="shared" si="154"/>
        <v>460</v>
      </c>
      <c r="D464" s="9"/>
      <c r="E464" s="13">
        <f t="shared" si="152"/>
        <v>2000</v>
      </c>
      <c r="F464" s="14">
        <f t="shared" si="137"/>
        <v>970000</v>
      </c>
      <c r="G464" s="15">
        <f t="shared" si="138"/>
        <v>0.14651127825839913</v>
      </c>
      <c r="H464" s="13">
        <f t="shared" si="139"/>
        <v>42082.379635827994</v>
      </c>
      <c r="I464" s="13">
        <f t="shared" si="140"/>
        <v>5614676.5199087504</v>
      </c>
      <c r="J464" s="15">
        <f t="shared" si="141"/>
        <v>0.85348872174160084</v>
      </c>
      <c r="K464" s="13">
        <f t="shared" si="142"/>
        <v>5650650.7207535906</v>
      </c>
      <c r="L464" s="13">
        <f t="shared" si="143"/>
        <v>648837020.75690544</v>
      </c>
      <c r="M464" s="15">
        <f t="shared" si="144"/>
        <v>0.85348872174160084</v>
      </c>
      <c r="N464" s="13">
        <f t="shared" si="145"/>
        <v>0</v>
      </c>
      <c r="O464" s="13">
        <f t="shared" si="146"/>
        <v>-35974.200844838284</v>
      </c>
      <c r="P464" s="15">
        <f t="shared" si="147"/>
        <v>-5.463320899070802E-3</v>
      </c>
      <c r="Q464" s="7">
        <f t="shared" si="148"/>
        <v>6584676.5199087523</v>
      </c>
      <c r="R464" s="7">
        <f t="shared" si="149"/>
        <v>6620650.7207535906</v>
      </c>
      <c r="S464" s="13">
        <f>IF('BANCO DE DADOS'!$AD$32="Sim",R464,Q464)</f>
        <v>6620650.7207535906</v>
      </c>
      <c r="T464" s="9">
        <f t="shared" si="150"/>
        <v>460</v>
      </c>
      <c r="U464" s="18">
        <f t="shared" ca="1" si="153"/>
        <v>58380</v>
      </c>
    </row>
    <row r="465" spans="2:21" x14ac:dyDescent="0.2">
      <c r="B465" s="18">
        <f t="shared" ca="1" si="151"/>
        <v>58380</v>
      </c>
      <c r="C465" s="9">
        <f t="shared" si="154"/>
        <v>461</v>
      </c>
      <c r="D465" s="9"/>
      <c r="E465" s="13">
        <f t="shared" si="152"/>
        <v>2000</v>
      </c>
      <c r="F465" s="14">
        <f t="shared" si="137"/>
        <v>972000</v>
      </c>
      <c r="G465" s="15">
        <f t="shared" si="138"/>
        <v>0.14583074721215633</v>
      </c>
      <c r="H465" s="13">
        <f t="shared" si="139"/>
        <v>42366.006993725518</v>
      </c>
      <c r="I465" s="13">
        <f t="shared" si="140"/>
        <v>5657042.5269024763</v>
      </c>
      <c r="J465" s="15">
        <f t="shared" si="141"/>
        <v>0.85416925278784372</v>
      </c>
      <c r="K465" s="13">
        <f t="shared" si="142"/>
        <v>5693261.0548989549</v>
      </c>
      <c r="L465" s="13">
        <f t="shared" si="143"/>
        <v>654530281.81180441</v>
      </c>
      <c r="M465" s="15">
        <f t="shared" si="144"/>
        <v>0.85416925278784361</v>
      </c>
      <c r="N465" s="13">
        <f t="shared" si="145"/>
        <v>0</v>
      </c>
      <c r="O465" s="13">
        <f t="shared" si="146"/>
        <v>-36218.52799647674</v>
      </c>
      <c r="P465" s="15">
        <f t="shared" si="147"/>
        <v>-5.4636137646563573E-3</v>
      </c>
      <c r="Q465" s="7">
        <f t="shared" si="148"/>
        <v>6629042.5269024782</v>
      </c>
      <c r="R465" s="7">
        <f t="shared" si="149"/>
        <v>6665261.0548989549</v>
      </c>
      <c r="S465" s="13">
        <f>IF('BANCO DE DADOS'!$AD$32="Sim",R465,Q465)</f>
        <v>6665261.0548989549</v>
      </c>
      <c r="T465" s="9">
        <f t="shared" si="150"/>
        <v>461</v>
      </c>
      <c r="U465" s="18">
        <f t="shared" ca="1" si="153"/>
        <v>58410</v>
      </c>
    </row>
    <row r="466" spans="2:21" x14ac:dyDescent="0.2">
      <c r="B466" s="18">
        <f t="shared" ca="1" si="151"/>
        <v>58410</v>
      </c>
      <c r="C466" s="9">
        <f t="shared" si="154"/>
        <v>462</v>
      </c>
      <c r="D466" s="9"/>
      <c r="E466" s="13">
        <f t="shared" si="152"/>
        <v>2000</v>
      </c>
      <c r="F466" s="14">
        <f t="shared" si="137"/>
        <v>974000</v>
      </c>
      <c r="G466" s="15">
        <f t="shared" si="138"/>
        <v>0.14515305601023379</v>
      </c>
      <c r="H466" s="13">
        <f t="shared" si="139"/>
        <v>42651.459218583768</v>
      </c>
      <c r="I466" s="13">
        <f t="shared" si="140"/>
        <v>5699693.9861210603</v>
      </c>
      <c r="J466" s="15">
        <f t="shared" si="141"/>
        <v>0.85484694398976624</v>
      </c>
      <c r="K466" s="13">
        <f t="shared" si="142"/>
        <v>5736158.4132774277</v>
      </c>
      <c r="L466" s="13">
        <f t="shared" si="143"/>
        <v>660266440.2250818</v>
      </c>
      <c r="M466" s="15">
        <f t="shared" si="144"/>
        <v>0.85484694398976624</v>
      </c>
      <c r="N466" s="13">
        <f t="shared" si="145"/>
        <v>0</v>
      </c>
      <c r="O466" s="13">
        <f t="shared" si="146"/>
        <v>-36464.427156365477</v>
      </c>
      <c r="P466" s="15">
        <f t="shared" si="147"/>
        <v>-5.4639045830088507E-3</v>
      </c>
      <c r="Q466" s="7">
        <f t="shared" si="148"/>
        <v>6673693.9861210622</v>
      </c>
      <c r="R466" s="7">
        <f t="shared" si="149"/>
        <v>6710158.4132774277</v>
      </c>
      <c r="S466" s="13">
        <f>IF('BANCO DE DADOS'!$AD$32="Sim",R466,Q466)</f>
        <v>6710158.4132774277</v>
      </c>
      <c r="T466" s="9">
        <f t="shared" si="150"/>
        <v>462</v>
      </c>
      <c r="U466" s="18">
        <f t="shared" ca="1" si="153"/>
        <v>58441</v>
      </c>
    </row>
    <row r="467" spans="2:21" x14ac:dyDescent="0.2">
      <c r="B467" s="18">
        <f t="shared" ca="1" si="151"/>
        <v>58441</v>
      </c>
      <c r="C467" s="9">
        <f t="shared" si="154"/>
        <v>463</v>
      </c>
      <c r="D467" s="9"/>
      <c r="E467" s="13">
        <f t="shared" si="152"/>
        <v>2000</v>
      </c>
      <c r="F467" s="14">
        <f t="shared" si="137"/>
        <v>976000</v>
      </c>
      <c r="G467" s="15">
        <f t="shared" si="138"/>
        <v>0.14447819491600142</v>
      </c>
      <c r="H467" s="13">
        <f t="shared" si="139"/>
        <v>42938.748051651732</v>
      </c>
      <c r="I467" s="13">
        <f t="shared" si="140"/>
        <v>5742632.7341727121</v>
      </c>
      <c r="J467" s="15">
        <f t="shared" si="141"/>
        <v>0.85552180508399855</v>
      </c>
      <c r="K467" s="13">
        <f t="shared" si="142"/>
        <v>5779344.6426115679</v>
      </c>
      <c r="L467" s="13">
        <f t="shared" si="143"/>
        <v>666045784.86769342</v>
      </c>
      <c r="M467" s="15">
        <f t="shared" si="144"/>
        <v>0.85552180508399855</v>
      </c>
      <c r="N467" s="13">
        <f t="shared" si="145"/>
        <v>0</v>
      </c>
      <c r="O467" s="13">
        <f t="shared" si="146"/>
        <v>-36711.90843885392</v>
      </c>
      <c r="P467" s="15">
        <f t="shared" si="147"/>
        <v>-5.4641933696014675E-3</v>
      </c>
      <c r="Q467" s="7">
        <f t="shared" si="148"/>
        <v>6718632.7341727139</v>
      </c>
      <c r="R467" s="7">
        <f t="shared" si="149"/>
        <v>6755344.6426115679</v>
      </c>
      <c r="S467" s="13">
        <f>IF('BANCO DE DADOS'!$AD$32="Sim",R467,Q467)</f>
        <v>6755344.6426115679</v>
      </c>
      <c r="T467" s="9">
        <f t="shared" si="150"/>
        <v>463</v>
      </c>
      <c r="U467" s="18">
        <f t="shared" ca="1" si="153"/>
        <v>58472</v>
      </c>
    </row>
    <row r="468" spans="2:21" x14ac:dyDescent="0.2">
      <c r="B468" s="18">
        <f t="shared" ca="1" si="151"/>
        <v>58472</v>
      </c>
      <c r="C468" s="9">
        <f t="shared" si="154"/>
        <v>464</v>
      </c>
      <c r="D468" s="9"/>
      <c r="E468" s="13">
        <f t="shared" si="152"/>
        <v>2000</v>
      </c>
      <c r="F468" s="14">
        <f t="shared" si="137"/>
        <v>978000</v>
      </c>
      <c r="G468" s="15">
        <f t="shared" si="138"/>
        <v>0.14380615421281695</v>
      </c>
      <c r="H468" s="13">
        <f t="shared" si="139"/>
        <v>43227.885309721911</v>
      </c>
      <c r="I468" s="13">
        <f t="shared" si="140"/>
        <v>5785860.6194824344</v>
      </c>
      <c r="J468" s="15">
        <f t="shared" si="141"/>
        <v>0.85619384578718305</v>
      </c>
      <c r="K468" s="13">
        <f t="shared" si="142"/>
        <v>5822821.6015058011</v>
      </c>
      <c r="L468" s="13">
        <f t="shared" si="143"/>
        <v>671868606.46919918</v>
      </c>
      <c r="M468" s="15">
        <f t="shared" si="144"/>
        <v>0.85619384578718305</v>
      </c>
      <c r="N468" s="13">
        <f t="shared" si="145"/>
        <v>0</v>
      </c>
      <c r="O468" s="13">
        <f t="shared" si="146"/>
        <v>-36960.982023364864</v>
      </c>
      <c r="P468" s="15">
        <f t="shared" si="147"/>
        <v>-5.4644801397745364E-3</v>
      </c>
      <c r="Q468" s="7">
        <f t="shared" si="148"/>
        <v>6763860.6194824362</v>
      </c>
      <c r="R468" s="7">
        <f t="shared" si="149"/>
        <v>6800821.6015058011</v>
      </c>
      <c r="S468" s="13">
        <f>IF('BANCO DE DADOS'!$AD$32="Sim",R468,Q468)</f>
        <v>6800821.6015058011</v>
      </c>
      <c r="T468" s="9">
        <f t="shared" si="150"/>
        <v>464</v>
      </c>
      <c r="U468" s="18">
        <f t="shared" ca="1" si="153"/>
        <v>58501</v>
      </c>
    </row>
    <row r="469" spans="2:21" x14ac:dyDescent="0.2">
      <c r="B469" s="18">
        <f t="shared" ca="1" si="151"/>
        <v>58501</v>
      </c>
      <c r="C469" s="9">
        <f t="shared" si="154"/>
        <v>465</v>
      </c>
      <c r="D469" s="9"/>
      <c r="E469" s="13">
        <f t="shared" si="152"/>
        <v>2000</v>
      </c>
      <c r="F469" s="14">
        <f t="shared" si="137"/>
        <v>980000</v>
      </c>
      <c r="G469" s="15">
        <f t="shared" si="138"/>
        <v>0.1431369242040674</v>
      </c>
      <c r="H469" s="13">
        <f t="shared" si="139"/>
        <v>43518.882885616447</v>
      </c>
      <c r="I469" s="13">
        <f t="shared" si="140"/>
        <v>5829379.5023680506</v>
      </c>
      <c r="J469" s="15">
        <f t="shared" si="141"/>
        <v>0.85686307579593257</v>
      </c>
      <c r="K469" s="13">
        <f t="shared" si="142"/>
        <v>5866591.1605228707</v>
      </c>
      <c r="L469" s="13">
        <f t="shared" si="143"/>
        <v>677735197.629722</v>
      </c>
      <c r="M469" s="15">
        <f t="shared" si="144"/>
        <v>0.85686307579593257</v>
      </c>
      <c r="N469" s="13">
        <f t="shared" si="145"/>
        <v>0</v>
      </c>
      <c r="O469" s="13">
        <f t="shared" si="146"/>
        <v>-37211.658154818229</v>
      </c>
      <c r="P469" s="15">
        <f t="shared" si="147"/>
        <v>-5.464764908737629E-3</v>
      </c>
      <c r="Q469" s="7">
        <f t="shared" si="148"/>
        <v>6809379.5023680525</v>
      </c>
      <c r="R469" s="7">
        <f t="shared" si="149"/>
        <v>6846591.1605228707</v>
      </c>
      <c r="S469" s="13">
        <f>IF('BANCO DE DADOS'!$AD$32="Sim",R469,Q469)</f>
        <v>6846591.1605228707</v>
      </c>
      <c r="T469" s="9">
        <f t="shared" si="150"/>
        <v>465</v>
      </c>
      <c r="U469" s="18">
        <f t="shared" ca="1" si="153"/>
        <v>58532</v>
      </c>
    </row>
    <row r="470" spans="2:21" x14ac:dyDescent="0.2">
      <c r="B470" s="18">
        <f t="shared" ca="1" si="151"/>
        <v>58532</v>
      </c>
      <c r="C470" s="9">
        <f t="shared" si="154"/>
        <v>466</v>
      </c>
      <c r="D470" s="9"/>
      <c r="E470" s="13">
        <f t="shared" si="152"/>
        <v>2000</v>
      </c>
      <c r="F470" s="14">
        <f t="shared" si="137"/>
        <v>982000</v>
      </c>
      <c r="G470" s="15">
        <f t="shared" si="138"/>
        <v>0.14247049521320981</v>
      </c>
      <c r="H470" s="13">
        <f t="shared" si="139"/>
        <v>43811.752748676226</v>
      </c>
      <c r="I470" s="13">
        <f t="shared" si="140"/>
        <v>5873191.2551167272</v>
      </c>
      <c r="J470" s="15">
        <f t="shared" si="141"/>
        <v>0.85752950478679013</v>
      </c>
      <c r="K470" s="13">
        <f t="shared" si="142"/>
        <v>5910655.2022607783</v>
      </c>
      <c r="L470" s="13">
        <f t="shared" si="143"/>
        <v>683645852.83198273</v>
      </c>
      <c r="M470" s="15">
        <f t="shared" si="144"/>
        <v>0.85752950478679013</v>
      </c>
      <c r="N470" s="13">
        <f t="shared" si="145"/>
        <v>0</v>
      </c>
      <c r="O470" s="13">
        <f t="shared" si="146"/>
        <v>-37463.94714404922</v>
      </c>
      <c r="P470" s="15">
        <f t="shared" si="147"/>
        <v>-5.4650476915703919E-3</v>
      </c>
      <c r="Q470" s="7">
        <f t="shared" si="148"/>
        <v>6855191.2551167291</v>
      </c>
      <c r="R470" s="7">
        <f t="shared" si="149"/>
        <v>6892655.2022607783</v>
      </c>
      <c r="S470" s="13">
        <f>IF('BANCO DE DADOS'!$AD$32="Sim",R470,Q470)</f>
        <v>6892655.2022607783</v>
      </c>
      <c r="T470" s="9">
        <f t="shared" si="150"/>
        <v>466</v>
      </c>
      <c r="U470" s="18">
        <f t="shared" ca="1" si="153"/>
        <v>58562</v>
      </c>
    </row>
    <row r="471" spans="2:21" x14ac:dyDescent="0.2">
      <c r="B471" s="18">
        <f t="shared" ca="1" si="151"/>
        <v>58562</v>
      </c>
      <c r="C471" s="9">
        <f t="shared" si="154"/>
        <v>467</v>
      </c>
      <c r="D471" s="9"/>
      <c r="E471" s="13">
        <f t="shared" si="152"/>
        <v>2000</v>
      </c>
      <c r="F471" s="14">
        <f t="shared" si="137"/>
        <v>984000</v>
      </c>
      <c r="G471" s="15">
        <f t="shared" si="138"/>
        <v>0.14180685758381179</v>
      </c>
      <c r="H471" s="13">
        <f t="shared" si="139"/>
        <v>44106.506945253241</v>
      </c>
      <c r="I471" s="13">
        <f t="shared" si="140"/>
        <v>5917297.7620619806</v>
      </c>
      <c r="J471" s="15">
        <f t="shared" si="141"/>
        <v>0.85819314241618816</v>
      </c>
      <c r="K471" s="13">
        <f t="shared" si="142"/>
        <v>5955015.6214302164</v>
      </c>
      <c r="L471" s="13">
        <f t="shared" si="143"/>
        <v>689600868.45341289</v>
      </c>
      <c r="M471" s="15">
        <f t="shared" si="144"/>
        <v>0.85819314241618816</v>
      </c>
      <c r="N471" s="13">
        <f t="shared" si="145"/>
        <v>0</v>
      </c>
      <c r="O471" s="13">
        <f t="shared" si="146"/>
        <v>-37717.859368233941</v>
      </c>
      <c r="P471" s="15">
        <f t="shared" si="147"/>
        <v>-5.465328503224085E-3</v>
      </c>
      <c r="Q471" s="7">
        <f t="shared" si="148"/>
        <v>6901297.7620619824</v>
      </c>
      <c r="R471" s="7">
        <f t="shared" si="149"/>
        <v>6939015.6214302164</v>
      </c>
      <c r="S471" s="13">
        <f>IF('BANCO DE DADOS'!$AD$32="Sim",R471,Q471)</f>
        <v>6939015.6214302164</v>
      </c>
      <c r="T471" s="9">
        <f t="shared" si="150"/>
        <v>467</v>
      </c>
      <c r="U471" s="18">
        <f t="shared" ca="1" si="153"/>
        <v>58593</v>
      </c>
    </row>
    <row r="472" spans="2:21" x14ac:dyDescent="0.2">
      <c r="B472" s="18">
        <f t="shared" ca="1" si="151"/>
        <v>58593</v>
      </c>
      <c r="C472" s="9">
        <f t="shared" si="154"/>
        <v>468</v>
      </c>
      <c r="D472" s="9">
        <v>39</v>
      </c>
      <c r="E472" s="13">
        <f t="shared" si="152"/>
        <v>2000</v>
      </c>
      <c r="F472" s="14">
        <f t="shared" si="137"/>
        <v>986000</v>
      </c>
      <c r="G472" s="15">
        <f t="shared" si="138"/>
        <v>0.14114600167959118</v>
      </c>
      <c r="H472" s="13">
        <f t="shared" si="139"/>
        <v>44403.157599206083</v>
      </c>
      <c r="I472" s="13">
        <f t="shared" si="140"/>
        <v>5961700.9196611866</v>
      </c>
      <c r="J472" s="15">
        <f t="shared" si="141"/>
        <v>0.85885399832040887</v>
      </c>
      <c r="K472" s="13">
        <f t="shared" si="142"/>
        <v>5999674.3249325026</v>
      </c>
      <c r="L472" s="13">
        <f t="shared" si="143"/>
        <v>695600542.77834535</v>
      </c>
      <c r="M472" s="15">
        <f t="shared" si="144"/>
        <v>0.85885399832040887</v>
      </c>
      <c r="N472" s="13">
        <f t="shared" si="145"/>
        <v>0</v>
      </c>
      <c r="O472" s="13">
        <f t="shared" si="146"/>
        <v>-37973.405271314085</v>
      </c>
      <c r="P472" s="15">
        <f t="shared" si="147"/>
        <v>-5.465607358522551E-3</v>
      </c>
      <c r="Q472" s="7">
        <f t="shared" si="148"/>
        <v>6947700.9196611885</v>
      </c>
      <c r="R472" s="7">
        <f t="shared" si="149"/>
        <v>6985674.3249325026</v>
      </c>
      <c r="S472" s="13">
        <f>IF('BANCO DE DADOS'!$AD$32="Sim",R472,Q472)</f>
        <v>6985674.3249325026</v>
      </c>
      <c r="T472" s="9">
        <f t="shared" si="150"/>
        <v>468</v>
      </c>
      <c r="U472" s="18">
        <f t="shared" ca="1" si="153"/>
        <v>58623</v>
      </c>
    </row>
    <row r="473" spans="2:21" x14ac:dyDescent="0.2">
      <c r="B473" s="18">
        <f t="shared" ca="1" si="151"/>
        <v>58623</v>
      </c>
      <c r="C473" s="9">
        <f t="shared" si="154"/>
        <v>469</v>
      </c>
      <c r="D473" s="9"/>
      <c r="E473" s="13">
        <f t="shared" si="152"/>
        <v>2000</v>
      </c>
      <c r="F473" s="14">
        <f t="shared" si="137"/>
        <v>988000</v>
      </c>
      <c r="G473" s="15">
        <f t="shared" si="138"/>
        <v>0.14048791788445536</v>
      </c>
      <c r="H473" s="13">
        <f t="shared" si="139"/>
        <v>44701.71691239861</v>
      </c>
      <c r="I473" s="13">
        <f t="shared" si="140"/>
        <v>6006402.6365735857</v>
      </c>
      <c r="J473" s="15">
        <f t="shared" si="141"/>
        <v>0.85951208211554464</v>
      </c>
      <c r="K473" s="13">
        <f t="shared" si="142"/>
        <v>6044633.2319380166</v>
      </c>
      <c r="L473" s="13">
        <f t="shared" si="143"/>
        <v>701645176.01028335</v>
      </c>
      <c r="M473" s="15">
        <f t="shared" si="144"/>
        <v>0.85951208211554464</v>
      </c>
      <c r="N473" s="13">
        <f t="shared" si="145"/>
        <v>0</v>
      </c>
      <c r="O473" s="13">
        <f t="shared" si="146"/>
        <v>-38230.595364429057</v>
      </c>
      <c r="P473" s="15">
        <f t="shared" si="147"/>
        <v>-5.4658842721638668E-3</v>
      </c>
      <c r="Q473" s="7">
        <f t="shared" si="148"/>
        <v>6994402.6365735875</v>
      </c>
      <c r="R473" s="7">
        <f t="shared" si="149"/>
        <v>7032633.2319380166</v>
      </c>
      <c r="S473" s="13">
        <f>IF('BANCO DE DADOS'!$AD$32="Sim",R473,Q473)</f>
        <v>7032633.2319380166</v>
      </c>
      <c r="T473" s="9">
        <f t="shared" si="150"/>
        <v>469</v>
      </c>
      <c r="U473" s="18">
        <f t="shared" ca="1" si="153"/>
        <v>58654</v>
      </c>
    </row>
    <row r="474" spans="2:21" x14ac:dyDescent="0.2">
      <c r="B474" s="18">
        <f t="shared" ca="1" si="151"/>
        <v>58654</v>
      </c>
      <c r="C474" s="9">
        <f t="shared" si="154"/>
        <v>470</v>
      </c>
      <c r="D474" s="9"/>
      <c r="E474" s="13">
        <f t="shared" si="152"/>
        <v>2000</v>
      </c>
      <c r="F474" s="14">
        <f t="shared" si="137"/>
        <v>990000</v>
      </c>
      <c r="G474" s="15">
        <f t="shared" si="138"/>
        <v>0.13983259660254005</v>
      </c>
      <c r="H474" s="13">
        <f t="shared" si="139"/>
        <v>45002.19716520184</v>
      </c>
      <c r="I474" s="13">
        <f t="shared" si="140"/>
        <v>6051404.8337387871</v>
      </c>
      <c r="J474" s="15">
        <f t="shared" si="141"/>
        <v>0.86016740339746001</v>
      </c>
      <c r="K474" s="13">
        <f t="shared" si="142"/>
        <v>6089894.2739651361</v>
      </c>
      <c r="L474" s="13">
        <f t="shared" si="143"/>
        <v>707735070.28424847</v>
      </c>
      <c r="M474" s="15">
        <f t="shared" si="144"/>
        <v>0.86016740339746001</v>
      </c>
      <c r="N474" s="13">
        <f t="shared" si="145"/>
        <v>0</v>
      </c>
      <c r="O474" s="13">
        <f t="shared" si="146"/>
        <v>-38489.440226347186</v>
      </c>
      <c r="P474" s="15">
        <f t="shared" si="147"/>
        <v>-5.4661592587214401E-3</v>
      </c>
      <c r="Q474" s="7">
        <f t="shared" si="148"/>
        <v>7041404.833738789</v>
      </c>
      <c r="R474" s="7">
        <f t="shared" si="149"/>
        <v>7079894.2739651361</v>
      </c>
      <c r="S474" s="13">
        <f>IF('BANCO DE DADOS'!$AD$32="Sim",R474,Q474)</f>
        <v>7079894.2739651361</v>
      </c>
      <c r="T474" s="9">
        <f t="shared" si="150"/>
        <v>470</v>
      </c>
      <c r="U474" s="18">
        <f t="shared" ca="1" si="153"/>
        <v>58685</v>
      </c>
    </row>
    <row r="475" spans="2:21" x14ac:dyDescent="0.2">
      <c r="B475" s="18">
        <f t="shared" ca="1" si="151"/>
        <v>58685</v>
      </c>
      <c r="C475" s="9">
        <f t="shared" si="154"/>
        <v>471</v>
      </c>
      <c r="D475" s="9"/>
      <c r="E475" s="13">
        <f t="shared" si="152"/>
        <v>2000</v>
      </c>
      <c r="F475" s="14">
        <f t="shared" si="137"/>
        <v>992000</v>
      </c>
      <c r="G475" s="15">
        <f t="shared" si="138"/>
        <v>0.13918002825824732</v>
      </c>
      <c r="H475" s="13">
        <f t="shared" si="139"/>
        <v>45304.610716999065</v>
      </c>
      <c r="I475" s="13">
        <f t="shared" si="140"/>
        <v>6096709.4444557866</v>
      </c>
      <c r="J475" s="15">
        <f t="shared" si="141"/>
        <v>0.86081997174175262</v>
      </c>
      <c r="K475" s="13">
        <f t="shared" si="142"/>
        <v>6135459.3949596891</v>
      </c>
      <c r="L475" s="13">
        <f t="shared" si="143"/>
        <v>713870529.67920816</v>
      </c>
      <c r="M475" s="15">
        <f t="shared" si="144"/>
        <v>0.86081997174175262</v>
      </c>
      <c r="N475" s="13">
        <f t="shared" si="145"/>
        <v>0</v>
      </c>
      <c r="O475" s="13">
        <f t="shared" si="146"/>
        <v>-38749.950503900647</v>
      </c>
      <c r="P475" s="15">
        <f t="shared" si="147"/>
        <v>-5.4664323326452189E-3</v>
      </c>
      <c r="Q475" s="7">
        <f t="shared" si="148"/>
        <v>7088709.4444557885</v>
      </c>
      <c r="R475" s="7">
        <f t="shared" si="149"/>
        <v>7127459.3949596891</v>
      </c>
      <c r="S475" s="13">
        <f>IF('BANCO DE DADOS'!$AD$32="Sim",R475,Q475)</f>
        <v>7127459.3949596891</v>
      </c>
      <c r="T475" s="9">
        <f t="shared" si="150"/>
        <v>471</v>
      </c>
      <c r="U475" s="18">
        <f t="shared" ca="1" si="153"/>
        <v>58715</v>
      </c>
    </row>
    <row r="476" spans="2:21" x14ac:dyDescent="0.2">
      <c r="B476" s="18">
        <f t="shared" ca="1" si="151"/>
        <v>58715</v>
      </c>
      <c r="C476" s="9">
        <f t="shared" si="154"/>
        <v>472</v>
      </c>
      <c r="D476" s="9"/>
      <c r="E476" s="13">
        <f t="shared" si="152"/>
        <v>2000</v>
      </c>
      <c r="F476" s="14">
        <f t="shared" si="137"/>
        <v>994000</v>
      </c>
      <c r="G476" s="15">
        <f t="shared" si="138"/>
        <v>0.13853020329628352</v>
      </c>
      <c r="H476" s="13">
        <f t="shared" si="139"/>
        <v>45608.970006694231</v>
      </c>
      <c r="I476" s="13">
        <f t="shared" si="140"/>
        <v>6142318.4144624807</v>
      </c>
      <c r="J476" s="15">
        <f t="shared" si="141"/>
        <v>0.86146979670371648</v>
      </c>
      <c r="K476" s="13">
        <f t="shared" si="142"/>
        <v>6181330.5513749067</v>
      </c>
      <c r="L476" s="13">
        <f t="shared" si="143"/>
        <v>720051860.23058307</v>
      </c>
      <c r="M476" s="15">
        <f t="shared" si="144"/>
        <v>0.86146979670371648</v>
      </c>
      <c r="N476" s="13">
        <f t="shared" si="145"/>
        <v>0</v>
      </c>
      <c r="O476" s="13">
        <f t="shared" si="146"/>
        <v>-39012.136912424117</v>
      </c>
      <c r="P476" s="15">
        <f t="shared" si="147"/>
        <v>-5.4667035082630296E-3</v>
      </c>
      <c r="Q476" s="7">
        <f t="shared" si="148"/>
        <v>7136318.4144624826</v>
      </c>
      <c r="R476" s="7">
        <f t="shared" si="149"/>
        <v>7175330.5513749067</v>
      </c>
      <c r="S476" s="13">
        <f>IF('BANCO DE DADOS'!$AD$32="Sim",R476,Q476)</f>
        <v>7175330.5513749067</v>
      </c>
      <c r="T476" s="9">
        <f t="shared" si="150"/>
        <v>472</v>
      </c>
      <c r="U476" s="18">
        <f t="shared" ca="1" si="153"/>
        <v>58746</v>
      </c>
    </row>
    <row r="477" spans="2:21" x14ac:dyDescent="0.2">
      <c r="B477" s="18">
        <f t="shared" ca="1" si="151"/>
        <v>58746</v>
      </c>
      <c r="C477" s="9">
        <f t="shared" si="154"/>
        <v>473</v>
      </c>
      <c r="D477" s="9"/>
      <c r="E477" s="13">
        <f t="shared" si="152"/>
        <v>2000</v>
      </c>
      <c r="F477" s="14">
        <f t="shared" si="137"/>
        <v>996000</v>
      </c>
      <c r="G477" s="15">
        <f t="shared" si="138"/>
        <v>0.13788311218169608</v>
      </c>
      <c r="H477" s="13">
        <f t="shared" si="139"/>
        <v>45915.287553223548</v>
      </c>
      <c r="I477" s="13">
        <f t="shared" si="140"/>
        <v>6188233.7020157045</v>
      </c>
      <c r="J477" s="15">
        <f t="shared" si="141"/>
        <v>0.86211688781830387</v>
      </c>
      <c r="K477" s="13">
        <f t="shared" si="142"/>
        <v>6227509.7122519007</v>
      </c>
      <c r="L477" s="13">
        <f t="shared" si="143"/>
        <v>726279369.94283497</v>
      </c>
      <c r="M477" s="15">
        <f t="shared" si="144"/>
        <v>0.86211688781830387</v>
      </c>
      <c r="N477" s="13">
        <f t="shared" si="145"/>
        <v>0</v>
      </c>
      <c r="O477" s="13">
        <f t="shared" si="146"/>
        <v>-39276.010236194357</v>
      </c>
      <c r="P477" s="15">
        <f t="shared" si="147"/>
        <v>-5.4669727997816312E-3</v>
      </c>
      <c r="Q477" s="7">
        <f t="shared" si="148"/>
        <v>7184233.7020157063</v>
      </c>
      <c r="R477" s="7">
        <f t="shared" si="149"/>
        <v>7223509.7122519007</v>
      </c>
      <c r="S477" s="13">
        <f>IF('BANCO DE DADOS'!$AD$32="Sim",R477,Q477)</f>
        <v>7223509.7122519007</v>
      </c>
      <c r="T477" s="9">
        <f t="shared" si="150"/>
        <v>473</v>
      </c>
      <c r="U477" s="18">
        <f t="shared" ca="1" si="153"/>
        <v>58776</v>
      </c>
    </row>
    <row r="478" spans="2:21" x14ac:dyDescent="0.2">
      <c r="B478" s="18">
        <f t="shared" ca="1" si="151"/>
        <v>58776</v>
      </c>
      <c r="C478" s="9">
        <f t="shared" si="154"/>
        <v>474</v>
      </c>
      <c r="D478" s="9"/>
      <c r="E478" s="13">
        <f t="shared" si="152"/>
        <v>2000</v>
      </c>
      <c r="F478" s="14">
        <f t="shared" si="137"/>
        <v>998000</v>
      </c>
      <c r="G478" s="15">
        <f t="shared" si="138"/>
        <v>0.13723874539991027</v>
      </c>
      <c r="H478" s="13">
        <f t="shared" si="139"/>
        <v>46223.575956070468</v>
      </c>
      <c r="I478" s="13">
        <f t="shared" si="140"/>
        <v>6234457.2779717753</v>
      </c>
      <c r="J478" s="15">
        <f t="shared" si="141"/>
        <v>0.86276125460008979</v>
      </c>
      <c r="K478" s="13">
        <f t="shared" si="142"/>
        <v>6273998.8593006516</v>
      </c>
      <c r="L478" s="13">
        <f t="shared" si="143"/>
        <v>732553368.80213559</v>
      </c>
      <c r="M478" s="15">
        <f t="shared" si="144"/>
        <v>0.86276125460008979</v>
      </c>
      <c r="N478" s="13">
        <f t="shared" si="145"/>
        <v>0</v>
      </c>
      <c r="O478" s="13">
        <f t="shared" si="146"/>
        <v>-39541.581328874454</v>
      </c>
      <c r="P478" s="15">
        <f t="shared" si="147"/>
        <v>-5.4672402212880044E-3</v>
      </c>
      <c r="Q478" s="7">
        <f t="shared" si="148"/>
        <v>7232457.2779717771</v>
      </c>
      <c r="R478" s="7">
        <f t="shared" si="149"/>
        <v>7271998.8593006516</v>
      </c>
      <c r="S478" s="13">
        <f>IF('BANCO DE DADOS'!$AD$32="Sim",R478,Q478)</f>
        <v>7271998.8593006516</v>
      </c>
      <c r="T478" s="9">
        <f t="shared" si="150"/>
        <v>474</v>
      </c>
      <c r="U478" s="18">
        <f t="shared" ca="1" si="153"/>
        <v>58807</v>
      </c>
    </row>
    <row r="479" spans="2:21" x14ac:dyDescent="0.2">
      <c r="B479" s="18">
        <f t="shared" ca="1" si="151"/>
        <v>58807</v>
      </c>
      <c r="C479" s="9">
        <f t="shared" si="154"/>
        <v>475</v>
      </c>
      <c r="D479" s="9"/>
      <c r="E479" s="13">
        <f t="shared" si="152"/>
        <v>2000</v>
      </c>
      <c r="F479" s="14">
        <f t="shared" si="137"/>
        <v>1000000</v>
      </c>
      <c r="G479" s="15">
        <f t="shared" si="138"/>
        <v>0.13659709345676513</v>
      </c>
      <c r="H479" s="13">
        <f t="shared" si="139"/>
        <v>46533.84789578386</v>
      </c>
      <c r="I479" s="13">
        <f t="shared" si="140"/>
        <v>6280991.1258675596</v>
      </c>
      <c r="J479" s="15">
        <f t="shared" si="141"/>
        <v>0.86340290654323493</v>
      </c>
      <c r="K479" s="13">
        <f t="shared" si="142"/>
        <v>6320799.9869815223</v>
      </c>
      <c r="L479" s="13">
        <f t="shared" si="143"/>
        <v>738874168.7891171</v>
      </c>
      <c r="M479" s="15">
        <f t="shared" si="144"/>
        <v>0.86340290654323482</v>
      </c>
      <c r="N479" s="13">
        <f t="shared" si="145"/>
        <v>0</v>
      </c>
      <c r="O479" s="13">
        <f t="shared" si="146"/>
        <v>-39808.861113960855</v>
      </c>
      <c r="P479" s="15">
        <f t="shared" si="147"/>
        <v>-5.4675057867506266E-3</v>
      </c>
      <c r="Q479" s="7">
        <f t="shared" si="148"/>
        <v>7280991.1258675614</v>
      </c>
      <c r="R479" s="7">
        <f t="shared" si="149"/>
        <v>7320799.9869815223</v>
      </c>
      <c r="S479" s="13">
        <f>IF('BANCO DE DADOS'!$AD$32="Sim",R479,Q479)</f>
        <v>7320799.9869815223</v>
      </c>
      <c r="T479" s="9">
        <f t="shared" si="150"/>
        <v>475</v>
      </c>
      <c r="U479" s="18">
        <f t="shared" ca="1" si="153"/>
        <v>58838</v>
      </c>
    </row>
    <row r="480" spans="2:21" x14ac:dyDescent="0.2">
      <c r="B480" s="18">
        <f t="shared" ca="1" si="151"/>
        <v>58838</v>
      </c>
      <c r="C480" s="9">
        <f t="shared" si="154"/>
        <v>476</v>
      </c>
      <c r="D480" s="9"/>
      <c r="E480" s="13">
        <f t="shared" si="152"/>
        <v>2000</v>
      </c>
      <c r="F480" s="14">
        <f t="shared" si="137"/>
        <v>1002000</v>
      </c>
      <c r="G480" s="15">
        <f t="shared" si="138"/>
        <v>0.13595814687854901</v>
      </c>
      <c r="H480" s="13">
        <f t="shared" si="139"/>
        <v>46846.116134499665</v>
      </c>
      <c r="I480" s="13">
        <f t="shared" si="140"/>
        <v>6327837.2420020588</v>
      </c>
      <c r="J480" s="15">
        <f t="shared" si="141"/>
        <v>0.86404185312145099</v>
      </c>
      <c r="K480" s="13">
        <f t="shared" si="142"/>
        <v>6367915.1025872938</v>
      </c>
      <c r="L480" s="13">
        <f t="shared" si="143"/>
        <v>745242083.89170444</v>
      </c>
      <c r="M480" s="15">
        <f t="shared" si="144"/>
        <v>0.86404185312145099</v>
      </c>
      <c r="N480" s="13">
        <f t="shared" si="145"/>
        <v>0</v>
      </c>
      <c r="O480" s="13">
        <f t="shared" si="146"/>
        <v>-40077.860585233197</v>
      </c>
      <c r="P480" s="15">
        <f t="shared" si="147"/>
        <v>-5.4677695100207148E-3</v>
      </c>
      <c r="Q480" s="7">
        <f t="shared" si="148"/>
        <v>7329837.2420020606</v>
      </c>
      <c r="R480" s="7">
        <f t="shared" si="149"/>
        <v>7369915.1025872938</v>
      </c>
      <c r="S480" s="13">
        <f>IF('BANCO DE DADOS'!$AD$32="Sim",R480,Q480)</f>
        <v>7369915.1025872938</v>
      </c>
      <c r="T480" s="9">
        <f t="shared" si="150"/>
        <v>476</v>
      </c>
      <c r="U480" s="18">
        <f t="shared" ca="1" si="153"/>
        <v>58866</v>
      </c>
    </row>
    <row r="481" spans="2:21" x14ac:dyDescent="0.2">
      <c r="B481" s="18">
        <f t="shared" ca="1" si="151"/>
        <v>58866</v>
      </c>
      <c r="C481" s="9">
        <f t="shared" si="154"/>
        <v>477</v>
      </c>
      <c r="D481" s="9"/>
      <c r="E481" s="13">
        <f t="shared" si="152"/>
        <v>2000</v>
      </c>
      <c r="F481" s="14">
        <f t="shared" si="137"/>
        <v>1004000</v>
      </c>
      <c r="G481" s="15">
        <f t="shared" si="138"/>
        <v>0.13532189621203447</v>
      </c>
      <c r="H481" s="13">
        <f t="shared" si="139"/>
        <v>47160.39351646576</v>
      </c>
      <c r="I481" s="13">
        <f t="shared" si="140"/>
        <v>6374997.6355185248</v>
      </c>
      <c r="J481" s="15">
        <f t="shared" si="141"/>
        <v>0.8646781037879655</v>
      </c>
      <c r="K481" s="13">
        <f t="shared" si="142"/>
        <v>6415346.2263257299</v>
      </c>
      <c r="L481" s="13">
        <f t="shared" si="143"/>
        <v>751657430.11803019</v>
      </c>
      <c r="M481" s="15">
        <f t="shared" si="144"/>
        <v>0.8646781037879655</v>
      </c>
      <c r="N481" s="13">
        <f t="shared" si="145"/>
        <v>0</v>
      </c>
      <c r="O481" s="13">
        <f t="shared" si="146"/>
        <v>-40348.590807203203</v>
      </c>
      <c r="P481" s="15">
        <f t="shared" si="147"/>
        <v>-5.4680314048329249E-3</v>
      </c>
      <c r="Q481" s="7">
        <f t="shared" si="148"/>
        <v>7378997.6355185267</v>
      </c>
      <c r="R481" s="7">
        <f t="shared" si="149"/>
        <v>7419346.2263257299</v>
      </c>
      <c r="S481" s="13">
        <f>IF('BANCO DE DADOS'!$AD$32="Sim",R481,Q481)</f>
        <v>7419346.2263257299</v>
      </c>
      <c r="T481" s="9">
        <f t="shared" si="150"/>
        <v>477</v>
      </c>
      <c r="U481" s="18">
        <f t="shared" ca="1" si="153"/>
        <v>58897</v>
      </c>
    </row>
    <row r="482" spans="2:21" x14ac:dyDescent="0.2">
      <c r="B482" s="18">
        <f t="shared" ca="1" si="151"/>
        <v>58897</v>
      </c>
      <c r="C482" s="9">
        <f t="shared" si="154"/>
        <v>478</v>
      </c>
      <c r="D482" s="9"/>
      <c r="E482" s="13">
        <f t="shared" si="152"/>
        <v>2000</v>
      </c>
      <c r="F482" s="14">
        <f t="shared" si="137"/>
        <v>1006000</v>
      </c>
      <c r="G482" s="15">
        <f t="shared" si="138"/>
        <v>0.13468833202451264</v>
      </c>
      <c r="H482" s="13">
        <f t="shared" si="139"/>
        <v>47476.692968570314</v>
      </c>
      <c r="I482" s="13">
        <f t="shared" si="140"/>
        <v>6422474.3284870954</v>
      </c>
      <c r="J482" s="15">
        <f t="shared" si="141"/>
        <v>0.86531166797548731</v>
      </c>
      <c r="K482" s="13">
        <f t="shared" si="142"/>
        <v>6463095.3914026702</v>
      </c>
      <c r="L482" s="13">
        <f t="shared" si="143"/>
        <v>758120525.50943291</v>
      </c>
      <c r="M482" s="15">
        <f t="shared" si="144"/>
        <v>0.86531166797548742</v>
      </c>
      <c r="N482" s="13">
        <f t="shared" si="145"/>
        <v>0</v>
      </c>
      <c r="O482" s="13">
        <f t="shared" si="146"/>
        <v>-40621.062915572897</v>
      </c>
      <c r="P482" s="15">
        <f t="shared" si="147"/>
        <v>-5.4682914848069334E-3</v>
      </c>
      <c r="Q482" s="7">
        <f t="shared" si="148"/>
        <v>7428474.3284870973</v>
      </c>
      <c r="R482" s="7">
        <f t="shared" si="149"/>
        <v>7469095.3914026702</v>
      </c>
      <c r="S482" s="13">
        <f>IF('BANCO DE DADOS'!$AD$32="Sim",R482,Q482)</f>
        <v>7469095.3914026702</v>
      </c>
      <c r="T482" s="9">
        <f t="shared" si="150"/>
        <v>478</v>
      </c>
      <c r="U482" s="18">
        <f t="shared" ca="1" si="153"/>
        <v>58927</v>
      </c>
    </row>
    <row r="483" spans="2:21" x14ac:dyDescent="0.2">
      <c r="B483" s="18">
        <f t="shared" ca="1" si="151"/>
        <v>58927</v>
      </c>
      <c r="C483" s="9">
        <f t="shared" si="154"/>
        <v>479</v>
      </c>
      <c r="D483" s="9"/>
      <c r="E483" s="13">
        <f t="shared" si="152"/>
        <v>2000</v>
      </c>
      <c r="F483" s="14">
        <f t="shared" si="137"/>
        <v>1008000</v>
      </c>
      <c r="G483" s="15">
        <f t="shared" si="138"/>
        <v>0.13405744490382715</v>
      </c>
      <c r="H483" s="13">
        <f t="shared" si="139"/>
        <v>47795.027500873497</v>
      </c>
      <c r="I483" s="13">
        <f t="shared" si="140"/>
        <v>6470269.3559879689</v>
      </c>
      <c r="J483" s="15">
        <f t="shared" si="141"/>
        <v>0.86594255509617279</v>
      </c>
      <c r="K483" s="13">
        <f t="shared" si="142"/>
        <v>6511164.6441056626</v>
      </c>
      <c r="L483" s="13">
        <f t="shared" si="143"/>
        <v>764631690.15353858</v>
      </c>
      <c r="M483" s="15">
        <f t="shared" si="144"/>
        <v>0.86594255509617279</v>
      </c>
      <c r="N483" s="13">
        <f t="shared" si="145"/>
        <v>0</v>
      </c>
      <c r="O483" s="13">
        <f t="shared" si="146"/>
        <v>-40895.288117691875</v>
      </c>
      <c r="P483" s="15">
        <f t="shared" si="147"/>
        <v>-5.4685497634484586E-3</v>
      </c>
      <c r="Q483" s="7">
        <f t="shared" si="148"/>
        <v>7478269.3559879707</v>
      </c>
      <c r="R483" s="7">
        <f t="shared" si="149"/>
        <v>7519164.6441056626</v>
      </c>
      <c r="S483" s="13">
        <f>IF('BANCO DE DADOS'!$AD$32="Sim",R483,Q483)</f>
        <v>7519164.6441056626</v>
      </c>
      <c r="T483" s="9">
        <f t="shared" si="150"/>
        <v>479</v>
      </c>
      <c r="U483" s="18">
        <f t="shared" ca="1" si="153"/>
        <v>58958</v>
      </c>
    </row>
    <row r="484" spans="2:21" x14ac:dyDescent="0.2">
      <c r="B484" s="18">
        <f t="shared" ca="1" si="151"/>
        <v>58958</v>
      </c>
      <c r="C484" s="9">
        <f t="shared" si="154"/>
        <v>480</v>
      </c>
      <c r="D484" s="9">
        <v>40</v>
      </c>
      <c r="E484" s="13">
        <f t="shared" si="152"/>
        <v>2000</v>
      </c>
      <c r="F484" s="14">
        <f t="shared" si="137"/>
        <v>1010000</v>
      </c>
      <c r="G484" s="15">
        <f t="shared" si="138"/>
        <v>0.13342922545840741</v>
      </c>
      <c r="H484" s="13">
        <f t="shared" si="139"/>
        <v>48115.410207142566</v>
      </c>
      <c r="I484" s="13">
        <f t="shared" si="140"/>
        <v>6518384.766195111</v>
      </c>
      <c r="J484" s="15">
        <f t="shared" si="141"/>
        <v>0.86657077454159259</v>
      </c>
      <c r="K484" s="13">
        <f t="shared" si="142"/>
        <v>6559556.0438881321</v>
      </c>
      <c r="L484" s="13">
        <f t="shared" si="143"/>
        <v>771191246.19742668</v>
      </c>
      <c r="M484" s="15">
        <f t="shared" si="144"/>
        <v>0.86657077454159259</v>
      </c>
      <c r="N484" s="13">
        <f t="shared" si="145"/>
        <v>0</v>
      </c>
      <c r="O484" s="13">
        <f t="shared" si="146"/>
        <v>-41171.277693019249</v>
      </c>
      <c r="P484" s="15">
        <f t="shared" si="147"/>
        <v>-5.4688062541505085E-3</v>
      </c>
      <c r="Q484" s="7">
        <f t="shared" si="148"/>
        <v>7528384.7661951128</v>
      </c>
      <c r="R484" s="7">
        <f t="shared" si="149"/>
        <v>7569556.0438881321</v>
      </c>
      <c r="S484" s="13">
        <f>IF('BANCO DE DADOS'!$AD$32="Sim",R484,Q484)</f>
        <v>7569556.0438881321</v>
      </c>
      <c r="T484" s="9">
        <f t="shared" si="150"/>
        <v>480</v>
      </c>
      <c r="U484" s="18">
        <f t="shared" ca="1" si="153"/>
        <v>58988</v>
      </c>
    </row>
    <row r="485" spans="2:21" x14ac:dyDescent="0.2">
      <c r="B485" s="18">
        <f t="shared" ca="1" si="151"/>
        <v>58988</v>
      </c>
      <c r="C485" s="9">
        <f t="shared" si="154"/>
        <v>481</v>
      </c>
      <c r="D485" s="9"/>
      <c r="E485" s="13">
        <f t="shared" si="152"/>
        <v>2000</v>
      </c>
      <c r="F485" s="14">
        <f t="shared" si="137"/>
        <v>1012000</v>
      </c>
      <c r="G485" s="15">
        <f t="shared" si="138"/>
        <v>0.13280366431730134</v>
      </c>
      <c r="H485" s="13">
        <f t="shared" si="139"/>
        <v>48437.854265390488</v>
      </c>
      <c r="I485" s="13">
        <f t="shared" si="140"/>
        <v>6566822.6204605019</v>
      </c>
      <c r="J485" s="15">
        <f t="shared" si="141"/>
        <v>0.8671963356826986</v>
      </c>
      <c r="K485" s="13">
        <f t="shared" si="142"/>
        <v>6608271.6634540865</v>
      </c>
      <c r="L485" s="13">
        <f t="shared" si="143"/>
        <v>777799517.86088073</v>
      </c>
      <c r="M485" s="15">
        <f t="shared" si="144"/>
        <v>0.8671963356826986</v>
      </c>
      <c r="N485" s="13">
        <f t="shared" si="145"/>
        <v>0</v>
      </c>
      <c r="O485" s="13">
        <f t="shared" si="146"/>
        <v>-41449.042993582785</v>
      </c>
      <c r="P485" s="15">
        <f t="shared" si="147"/>
        <v>-5.4690609701938458E-3</v>
      </c>
      <c r="Q485" s="7">
        <f t="shared" si="148"/>
        <v>7578822.6204605037</v>
      </c>
      <c r="R485" s="7">
        <f t="shared" si="149"/>
        <v>7620271.6634540865</v>
      </c>
      <c r="S485" s="13">
        <f>IF('BANCO DE DADOS'!$AD$32="Sim",R485,Q485)</f>
        <v>7620271.6634540865</v>
      </c>
      <c r="T485" s="9">
        <f t="shared" si="150"/>
        <v>481</v>
      </c>
      <c r="U485" s="18">
        <f t="shared" ca="1" si="153"/>
        <v>59019</v>
      </c>
    </row>
    <row r="486" spans="2:21" x14ac:dyDescent="0.2">
      <c r="B486" s="18">
        <f t="shared" ca="1" si="151"/>
        <v>59019</v>
      </c>
      <c r="C486" s="9">
        <f t="shared" si="154"/>
        <v>482</v>
      </c>
      <c r="D486" s="9"/>
      <c r="E486" s="13">
        <f t="shared" si="152"/>
        <v>2000</v>
      </c>
      <c r="F486" s="14">
        <f t="shared" si="137"/>
        <v>1014000</v>
      </c>
      <c r="G486" s="15">
        <f t="shared" si="138"/>
        <v>0.13218075213020763</v>
      </c>
      <c r="H486" s="13">
        <f t="shared" si="139"/>
        <v>48762.372938417982</v>
      </c>
      <c r="I486" s="13">
        <f t="shared" si="140"/>
        <v>6615584.9933989197</v>
      </c>
      <c r="J486" s="15">
        <f t="shared" si="141"/>
        <v>0.86781924786979237</v>
      </c>
      <c r="K486" s="13">
        <f t="shared" si="142"/>
        <v>6657313.5888433764</v>
      </c>
      <c r="L486" s="13">
        <f t="shared" si="143"/>
        <v>784456831.44972408</v>
      </c>
      <c r="M486" s="15">
        <f t="shared" si="144"/>
        <v>0.86781924786979237</v>
      </c>
      <c r="N486" s="13">
        <f t="shared" si="145"/>
        <v>0</v>
      </c>
      <c r="O486" s="13">
        <f t="shared" si="146"/>
        <v>-41728.595444454812</v>
      </c>
      <c r="P486" s="15">
        <f t="shared" si="147"/>
        <v>-5.4693139247492728E-3</v>
      </c>
      <c r="Q486" s="7">
        <f t="shared" si="148"/>
        <v>7629584.9933989216</v>
      </c>
      <c r="R486" s="7">
        <f t="shared" si="149"/>
        <v>7671313.5888433764</v>
      </c>
      <c r="S486" s="13">
        <f>IF('BANCO DE DADOS'!$AD$32="Sim",R486,Q486)</f>
        <v>7671313.5888433764</v>
      </c>
      <c r="T486" s="9">
        <f t="shared" si="150"/>
        <v>482</v>
      </c>
      <c r="U486" s="18">
        <f t="shared" ca="1" si="153"/>
        <v>59050</v>
      </c>
    </row>
    <row r="487" spans="2:21" x14ac:dyDescent="0.2">
      <c r="B487" s="18">
        <f t="shared" ca="1" si="151"/>
        <v>59050</v>
      </c>
      <c r="C487" s="9">
        <f t="shared" si="154"/>
        <v>483</v>
      </c>
      <c r="D487" s="9"/>
      <c r="E487" s="13">
        <f t="shared" si="152"/>
        <v>2000</v>
      </c>
      <c r="F487" s="14">
        <f t="shared" si="137"/>
        <v>1016000</v>
      </c>
      <c r="G487" s="15">
        <f t="shared" si="138"/>
        <v>0.13156047956750752</v>
      </c>
      <c r="H487" s="13">
        <f t="shared" si="139"/>
        <v>49088.979574358986</v>
      </c>
      <c r="I487" s="13">
        <f t="shared" si="140"/>
        <v>6664673.9729732787</v>
      </c>
      <c r="J487" s="15">
        <f t="shared" si="141"/>
        <v>0.86843952043249251</v>
      </c>
      <c r="K487" s="13">
        <f t="shared" si="142"/>
        <v>6706683.9195174929</v>
      </c>
      <c r="L487" s="13">
        <f t="shared" si="143"/>
        <v>791163515.3692416</v>
      </c>
      <c r="M487" s="15">
        <f t="shared" si="144"/>
        <v>0.86843952043249251</v>
      </c>
      <c r="N487" s="13">
        <f t="shared" si="145"/>
        <v>0</v>
      </c>
      <c r="O487" s="13">
        <f t="shared" si="146"/>
        <v>-42009.946544212289</v>
      </c>
      <c r="P487" s="15">
        <f t="shared" si="147"/>
        <v>-5.4695651308774062E-3</v>
      </c>
      <c r="Q487" s="7">
        <f t="shared" si="148"/>
        <v>7680673.9729732806</v>
      </c>
      <c r="R487" s="7">
        <f t="shared" si="149"/>
        <v>7722683.9195174929</v>
      </c>
      <c r="S487" s="13">
        <f>IF('BANCO DE DADOS'!$AD$32="Sim",R487,Q487)</f>
        <v>7722683.9195174929</v>
      </c>
      <c r="T487" s="9">
        <f t="shared" si="150"/>
        <v>483</v>
      </c>
      <c r="U487" s="18">
        <f t="shared" ca="1" si="153"/>
        <v>59080</v>
      </c>
    </row>
    <row r="488" spans="2:21" x14ac:dyDescent="0.2">
      <c r="B488" s="18">
        <f t="shared" ca="1" si="151"/>
        <v>59080</v>
      </c>
      <c r="C488" s="9">
        <f t="shared" si="154"/>
        <v>484</v>
      </c>
      <c r="D488" s="9"/>
      <c r="E488" s="13">
        <f t="shared" si="152"/>
        <v>2000</v>
      </c>
      <c r="F488" s="14">
        <f t="shared" si="137"/>
        <v>1018000</v>
      </c>
      <c r="G488" s="15">
        <f t="shared" si="138"/>
        <v>0.13094283732029571</v>
      </c>
      <c r="H488" s="13">
        <f t="shared" si="139"/>
        <v>49417.68760722976</v>
      </c>
      <c r="I488" s="13">
        <f t="shared" si="140"/>
        <v>6714091.6605805084</v>
      </c>
      <c r="J488" s="15">
        <f t="shared" si="141"/>
        <v>0.86905716267970434</v>
      </c>
      <c r="K488" s="13">
        <f t="shared" si="142"/>
        <v>6756384.7684459276</v>
      </c>
      <c r="L488" s="13">
        <f t="shared" si="143"/>
        <v>797919900.13768756</v>
      </c>
      <c r="M488" s="15">
        <f t="shared" si="144"/>
        <v>0.86905716267970423</v>
      </c>
      <c r="N488" s="13">
        <f t="shared" si="145"/>
        <v>0</v>
      </c>
      <c r="O488" s="13">
        <f t="shared" si="146"/>
        <v>-42293.107865417376</v>
      </c>
      <c r="P488" s="15">
        <f t="shared" si="147"/>
        <v>-5.4698146015307444E-3</v>
      </c>
      <c r="Q488" s="7">
        <f t="shared" si="148"/>
        <v>7732091.6605805103</v>
      </c>
      <c r="R488" s="7">
        <f t="shared" si="149"/>
        <v>7774384.7684459276</v>
      </c>
      <c r="S488" s="13">
        <f>IF('BANCO DE DADOS'!$AD$32="Sim",R488,Q488)</f>
        <v>7774384.7684459276</v>
      </c>
      <c r="T488" s="9">
        <f t="shared" si="150"/>
        <v>484</v>
      </c>
      <c r="U488" s="18">
        <f t="shared" ca="1" si="153"/>
        <v>59111</v>
      </c>
    </row>
    <row r="489" spans="2:21" x14ac:dyDescent="0.2">
      <c r="B489" s="18">
        <f t="shared" ca="1" si="151"/>
        <v>59111</v>
      </c>
      <c r="C489" s="9">
        <f t="shared" si="154"/>
        <v>485</v>
      </c>
      <c r="D489" s="9"/>
      <c r="E489" s="13">
        <f t="shared" si="152"/>
        <v>2000</v>
      </c>
      <c r="F489" s="14">
        <f t="shared" si="137"/>
        <v>1020000</v>
      </c>
      <c r="G489" s="15">
        <f t="shared" si="138"/>
        <v>0.13032781610041125</v>
      </c>
      <c r="H489" s="13">
        <f t="shared" si="139"/>
        <v>49748.51055748143</v>
      </c>
      <c r="I489" s="13">
        <f t="shared" si="140"/>
        <v>6763840.1711379895</v>
      </c>
      <c r="J489" s="15">
        <f t="shared" si="141"/>
        <v>0.86967218389958878</v>
      </c>
      <c r="K489" s="13">
        <f t="shared" si="142"/>
        <v>6806418.262193081</v>
      </c>
      <c r="L489" s="13">
        <f t="shared" si="143"/>
        <v>804726318.39988065</v>
      </c>
      <c r="M489" s="15">
        <f t="shared" si="144"/>
        <v>0.86967218389958878</v>
      </c>
      <c r="N489" s="13">
        <f t="shared" si="145"/>
        <v>0</v>
      </c>
      <c r="O489" s="13">
        <f t="shared" si="146"/>
        <v>-42578.091055089608</v>
      </c>
      <c r="P489" s="15">
        <f t="shared" si="147"/>
        <v>-5.470062349554221E-3</v>
      </c>
      <c r="Q489" s="7">
        <f t="shared" si="148"/>
        <v>7783840.1711379914</v>
      </c>
      <c r="R489" s="7">
        <f t="shared" si="149"/>
        <v>7826418.262193081</v>
      </c>
      <c r="S489" s="13">
        <f>IF('BANCO DE DADOS'!$AD$32="Sim",R489,Q489)</f>
        <v>7826418.262193081</v>
      </c>
      <c r="T489" s="9">
        <f t="shared" si="150"/>
        <v>485</v>
      </c>
      <c r="U489" s="18">
        <f t="shared" ca="1" si="153"/>
        <v>59141</v>
      </c>
    </row>
    <row r="490" spans="2:21" x14ac:dyDescent="0.2">
      <c r="B490" s="18">
        <f t="shared" ca="1" si="151"/>
        <v>59141</v>
      </c>
      <c r="C490" s="9">
        <f t="shared" si="154"/>
        <v>486</v>
      </c>
      <c r="D490" s="9"/>
      <c r="E490" s="13">
        <f t="shared" si="152"/>
        <v>2000</v>
      </c>
      <c r="F490" s="14">
        <f t="shared" si="137"/>
        <v>1022000</v>
      </c>
      <c r="G490" s="15">
        <f t="shared" si="138"/>
        <v>0.12971540664046741</v>
      </c>
      <c r="H490" s="13">
        <f t="shared" si="139"/>
        <v>50081.46203255609</v>
      </c>
      <c r="I490" s="13">
        <f t="shared" si="140"/>
        <v>6813921.633170546</v>
      </c>
      <c r="J490" s="15">
        <f t="shared" si="141"/>
        <v>0.87028459335953257</v>
      </c>
      <c r="K490" s="13">
        <f t="shared" si="142"/>
        <v>6856786.5410057316</v>
      </c>
      <c r="L490" s="13">
        <f t="shared" si="143"/>
        <v>811583104.94088638</v>
      </c>
      <c r="M490" s="15">
        <f t="shared" si="144"/>
        <v>0.87028459335953257</v>
      </c>
      <c r="N490" s="13">
        <f t="shared" si="145"/>
        <v>0</v>
      </c>
      <c r="O490" s="13">
        <f t="shared" si="146"/>
        <v>-42864.907835183665</v>
      </c>
      <c r="P490" s="15">
        <f t="shared" si="147"/>
        <v>-5.4703083876860813E-3</v>
      </c>
      <c r="Q490" s="7">
        <f t="shared" si="148"/>
        <v>7835921.6331705479</v>
      </c>
      <c r="R490" s="7">
        <f t="shared" si="149"/>
        <v>7878786.5410057316</v>
      </c>
      <c r="S490" s="13">
        <f>IF('BANCO DE DADOS'!$AD$32="Sim",R490,Q490)</f>
        <v>7878786.5410057316</v>
      </c>
      <c r="T490" s="9">
        <f t="shared" si="150"/>
        <v>486</v>
      </c>
      <c r="U490" s="18">
        <f t="shared" ca="1" si="153"/>
        <v>59172</v>
      </c>
    </row>
    <row r="491" spans="2:21" x14ac:dyDescent="0.2">
      <c r="B491" s="18">
        <f t="shared" ca="1" si="151"/>
        <v>59172</v>
      </c>
      <c r="C491" s="9">
        <f t="shared" si="154"/>
        <v>487</v>
      </c>
      <c r="D491" s="9"/>
      <c r="E491" s="13">
        <f t="shared" si="152"/>
        <v>2000</v>
      </c>
      <c r="F491" s="14">
        <f t="shared" si="137"/>
        <v>1024000</v>
      </c>
      <c r="G491" s="15">
        <f t="shared" si="138"/>
        <v>0.12910559969388125</v>
      </c>
      <c r="H491" s="13">
        <f t="shared" si="139"/>
        <v>50416.555727446561</v>
      </c>
      <c r="I491" s="13">
        <f t="shared" si="140"/>
        <v>6864338.1888979925</v>
      </c>
      <c r="J491" s="15">
        <f t="shared" si="141"/>
        <v>0.87089440030611875</v>
      </c>
      <c r="K491" s="13">
        <f t="shared" si="142"/>
        <v>6907491.7589010727</v>
      </c>
      <c r="L491" s="13">
        <f t="shared" si="143"/>
        <v>818490596.6997875</v>
      </c>
      <c r="M491" s="15">
        <f t="shared" si="144"/>
        <v>0.87089440030611875</v>
      </c>
      <c r="N491" s="13">
        <f t="shared" si="145"/>
        <v>0</v>
      </c>
      <c r="O491" s="13">
        <f t="shared" si="146"/>
        <v>-43153.570003078319</v>
      </c>
      <c r="P491" s="15">
        <f t="shared" si="147"/>
        <v>-5.4705527285597907E-3</v>
      </c>
      <c r="Q491" s="7">
        <f t="shared" si="148"/>
        <v>7888338.1888979943</v>
      </c>
      <c r="R491" s="7">
        <f t="shared" si="149"/>
        <v>7931491.7589010727</v>
      </c>
      <c r="S491" s="13">
        <f>IF('BANCO DE DADOS'!$AD$32="Sim",R491,Q491)</f>
        <v>7931491.7589010727</v>
      </c>
      <c r="T491" s="9">
        <f t="shared" si="150"/>
        <v>487</v>
      </c>
      <c r="U491" s="18">
        <f t="shared" ca="1" si="153"/>
        <v>59203</v>
      </c>
    </row>
    <row r="492" spans="2:21" x14ac:dyDescent="0.2">
      <c r="B492" s="18">
        <f t="shared" ca="1" si="151"/>
        <v>59203</v>
      </c>
      <c r="C492" s="9">
        <f t="shared" si="154"/>
        <v>488</v>
      </c>
      <c r="D492" s="9"/>
      <c r="E492" s="13">
        <f t="shared" si="152"/>
        <v>2000</v>
      </c>
      <c r="F492" s="14">
        <f t="shared" si="137"/>
        <v>1026000</v>
      </c>
      <c r="G492" s="15">
        <f t="shared" si="138"/>
        <v>0.12849838603490277</v>
      </c>
      <c r="H492" s="13">
        <f t="shared" si="139"/>
        <v>50753.805425259619</v>
      </c>
      <c r="I492" s="13">
        <f t="shared" si="140"/>
        <v>6915091.9943232518</v>
      </c>
      <c r="J492" s="15">
        <f t="shared" si="141"/>
        <v>0.87150161396509729</v>
      </c>
      <c r="K492" s="13">
        <f t="shared" si="142"/>
        <v>6958536.083755306</v>
      </c>
      <c r="L492" s="13">
        <f t="shared" si="143"/>
        <v>825449132.78354275</v>
      </c>
      <c r="M492" s="15">
        <f t="shared" si="144"/>
        <v>0.87150161396509729</v>
      </c>
      <c r="N492" s="13">
        <f t="shared" si="145"/>
        <v>0</v>
      </c>
      <c r="O492" s="13">
        <f t="shared" si="146"/>
        <v>-43444.089432052337</v>
      </c>
      <c r="P492" s="15">
        <f t="shared" si="147"/>
        <v>-5.4707953847038483E-3</v>
      </c>
      <c r="Q492" s="7">
        <f t="shared" si="148"/>
        <v>7941091.9943232536</v>
      </c>
      <c r="R492" s="7">
        <f t="shared" si="149"/>
        <v>7984536.083755306</v>
      </c>
      <c r="S492" s="13">
        <f>IF('BANCO DE DADOS'!$AD$32="Sim",R492,Q492)</f>
        <v>7984536.083755306</v>
      </c>
      <c r="T492" s="9">
        <f t="shared" si="150"/>
        <v>488</v>
      </c>
      <c r="U492" s="18">
        <f t="shared" ca="1" si="153"/>
        <v>59231</v>
      </c>
    </row>
    <row r="493" spans="2:21" x14ac:dyDescent="0.2">
      <c r="B493" s="18">
        <f t="shared" ca="1" si="151"/>
        <v>59231</v>
      </c>
      <c r="C493" s="9">
        <f t="shared" si="154"/>
        <v>489</v>
      </c>
      <c r="D493" s="9"/>
      <c r="E493" s="13">
        <f t="shared" si="152"/>
        <v>2000</v>
      </c>
      <c r="F493" s="14">
        <f t="shared" ref="F493:F556" si="155">F492+E493</f>
        <v>1028000</v>
      </c>
      <c r="G493" s="15">
        <f t="shared" ref="G493:G556" si="156">IF(F493&lt;=0,0,F493/S493)</f>
        <v>0.12789375645864309</v>
      </c>
      <c r="H493" s="13">
        <f t="shared" ref="H493:H556" si="157">Q492*Taxa</f>
        <v>51093.224997783</v>
      </c>
      <c r="I493" s="13">
        <f t="shared" ref="I493:I556" si="158">I492+H493</f>
        <v>6966185.2193210348</v>
      </c>
      <c r="J493" s="15">
        <f t="shared" ref="J493:J556" si="159">1-G493</f>
        <v>0.87210624354135691</v>
      </c>
      <c r="K493" s="13">
        <f t="shared" ref="K493:K556" si="160">R493-F493</f>
        <v>7009921.6973928167</v>
      </c>
      <c r="L493" s="13">
        <f t="shared" ref="L493:L556" si="161">L492+K493</f>
        <v>832459054.48093557</v>
      </c>
      <c r="M493" s="15">
        <f t="shared" ref="M493:M556" si="162">K493/R493</f>
        <v>0.87210624354135691</v>
      </c>
      <c r="N493" s="13">
        <f t="shared" ref="N493:N556" si="163">Q493*Inflação</f>
        <v>0</v>
      </c>
      <c r="O493" s="13">
        <f t="shared" ref="O493:O556" si="164">Q493-R493</f>
        <v>-43736.478071779944</v>
      </c>
      <c r="P493" s="15">
        <f t="shared" ref="P493:P556" si="165">O493/Q493</f>
        <v>-5.4710363685437071E-3</v>
      </c>
      <c r="Q493" s="7">
        <f t="shared" ref="Q493:Q556" si="166">Q492+E493+H493</f>
        <v>7994185.2193210367</v>
      </c>
      <c r="R493" s="7">
        <f t="shared" ref="R493:R556" si="167">(R492+E493)*(1+((1+Taxa)/(1+Inflação)-1))</f>
        <v>8037921.6973928167</v>
      </c>
      <c r="S493" s="13">
        <f>IF('BANCO DE DADOS'!$AD$32="Sim",R493,Q493)</f>
        <v>8037921.6973928167</v>
      </c>
      <c r="T493" s="9">
        <f t="shared" ref="T493:T556" si="168">C493</f>
        <v>489</v>
      </c>
      <c r="U493" s="18">
        <f t="shared" ca="1" si="153"/>
        <v>59262</v>
      </c>
    </row>
    <row r="494" spans="2:21" x14ac:dyDescent="0.2">
      <c r="B494" s="18">
        <f t="shared" ca="1" si="151"/>
        <v>59262</v>
      </c>
      <c r="C494" s="9">
        <f t="shared" si="154"/>
        <v>490</v>
      </c>
      <c r="D494" s="9"/>
      <c r="E494" s="13">
        <f t="shared" si="152"/>
        <v>2000</v>
      </c>
      <c r="F494" s="14">
        <f t="shared" si="155"/>
        <v>1030000</v>
      </c>
      <c r="G494" s="15">
        <f t="shared" si="156"/>
        <v>0.12729170178110263</v>
      </c>
      <c r="H494" s="13">
        <f t="shared" si="157"/>
        <v>51434.828406055924</v>
      </c>
      <c r="I494" s="13">
        <f t="shared" si="158"/>
        <v>7017620.0477270912</v>
      </c>
      <c r="J494" s="15">
        <f t="shared" si="159"/>
        <v>0.87270829821889739</v>
      </c>
      <c r="K494" s="13">
        <f t="shared" si="160"/>
        <v>7061650.7956759119</v>
      </c>
      <c r="L494" s="13">
        <f t="shared" si="161"/>
        <v>839520705.27661145</v>
      </c>
      <c r="M494" s="15">
        <f t="shared" si="162"/>
        <v>0.87270829821889739</v>
      </c>
      <c r="N494" s="13">
        <f t="shared" si="163"/>
        <v>0</v>
      </c>
      <c r="O494" s="13">
        <f t="shared" si="164"/>
        <v>-44030.74794881884</v>
      </c>
      <c r="P494" s="15">
        <f t="shared" si="165"/>
        <v>-5.4712756924023198E-3</v>
      </c>
      <c r="Q494" s="7">
        <f t="shared" si="166"/>
        <v>8047620.0477270931</v>
      </c>
      <c r="R494" s="7">
        <f t="shared" si="167"/>
        <v>8091650.7956759119</v>
      </c>
      <c r="S494" s="13">
        <f>IF('BANCO DE DADOS'!$AD$32="Sim",R494,Q494)</f>
        <v>8091650.7956759119</v>
      </c>
      <c r="T494" s="9">
        <f t="shared" si="168"/>
        <v>490</v>
      </c>
      <c r="U494" s="18">
        <f t="shared" ca="1" si="153"/>
        <v>59292</v>
      </c>
    </row>
    <row r="495" spans="2:21" x14ac:dyDescent="0.2">
      <c r="B495" s="18">
        <f t="shared" ca="1" si="151"/>
        <v>59292</v>
      </c>
      <c r="C495" s="9">
        <f t="shared" si="154"/>
        <v>491</v>
      </c>
      <c r="D495" s="9"/>
      <c r="E495" s="13">
        <f t="shared" si="152"/>
        <v>2000</v>
      </c>
      <c r="F495" s="14">
        <f t="shared" si="155"/>
        <v>1032000</v>
      </c>
      <c r="G495" s="15">
        <f t="shared" si="156"/>
        <v>0.12669221283919832</v>
      </c>
      <c r="H495" s="13">
        <f t="shared" si="157"/>
        <v>51778.629700943362</v>
      </c>
      <c r="I495" s="13">
        <f t="shared" si="158"/>
        <v>7069398.6774280351</v>
      </c>
      <c r="J495" s="15">
        <f t="shared" si="159"/>
        <v>0.87330778716080171</v>
      </c>
      <c r="K495" s="13">
        <f t="shared" si="160"/>
        <v>7113725.5885951435</v>
      </c>
      <c r="L495" s="13">
        <f t="shared" si="161"/>
        <v>846634430.8652066</v>
      </c>
      <c r="M495" s="15">
        <f t="shared" si="162"/>
        <v>0.87330778716080171</v>
      </c>
      <c r="N495" s="13">
        <f t="shared" si="163"/>
        <v>0</v>
      </c>
      <c r="O495" s="13">
        <f t="shared" si="164"/>
        <v>-44326.911167106591</v>
      </c>
      <c r="P495" s="15">
        <f t="shared" si="165"/>
        <v>-5.4715133685013413E-3</v>
      </c>
      <c r="Q495" s="7">
        <f t="shared" si="166"/>
        <v>8101398.6774280369</v>
      </c>
      <c r="R495" s="7">
        <f t="shared" si="167"/>
        <v>8145725.5885951435</v>
      </c>
      <c r="S495" s="13">
        <f>IF('BANCO DE DADOS'!$AD$32="Sim",R495,Q495)</f>
        <v>8145725.5885951435</v>
      </c>
      <c r="T495" s="9">
        <f t="shared" si="168"/>
        <v>491</v>
      </c>
      <c r="U495" s="18">
        <f t="shared" ca="1" si="153"/>
        <v>59323</v>
      </c>
    </row>
    <row r="496" spans="2:21" x14ac:dyDescent="0.2">
      <c r="B496" s="18">
        <f t="shared" ca="1" si="151"/>
        <v>59323</v>
      </c>
      <c r="C496" s="9">
        <f t="shared" si="154"/>
        <v>492</v>
      </c>
      <c r="D496" s="9">
        <v>41</v>
      </c>
      <c r="E496" s="13">
        <f t="shared" si="152"/>
        <v>2000</v>
      </c>
      <c r="F496" s="14">
        <f t="shared" si="155"/>
        <v>1034000</v>
      </c>
      <c r="G496" s="15">
        <f t="shared" si="156"/>
        <v>0.12609528049079052</v>
      </c>
      <c r="H496" s="13">
        <f t="shared" si="157"/>
        <v>52124.643023713958</v>
      </c>
      <c r="I496" s="13">
        <f t="shared" si="158"/>
        <v>7121523.3204517495</v>
      </c>
      <c r="J496" s="15">
        <f t="shared" si="159"/>
        <v>0.87390471950920945</v>
      </c>
      <c r="K496" s="13">
        <f t="shared" si="160"/>
        <v>7166148.3003602102</v>
      </c>
      <c r="L496" s="13">
        <f t="shared" si="161"/>
        <v>853800579.1655668</v>
      </c>
      <c r="M496" s="15">
        <f t="shared" si="162"/>
        <v>0.87390471950920945</v>
      </c>
      <c r="N496" s="13">
        <f t="shared" si="163"/>
        <v>0</v>
      </c>
      <c r="O496" s="13">
        <f t="shared" si="164"/>
        <v>-44624.979908458889</v>
      </c>
      <c r="P496" s="15">
        <f t="shared" si="165"/>
        <v>-5.4717494089621486E-3</v>
      </c>
      <c r="Q496" s="7">
        <f t="shared" si="166"/>
        <v>8155523.3204517514</v>
      </c>
      <c r="R496" s="7">
        <f t="shared" si="167"/>
        <v>8200148.3003602102</v>
      </c>
      <c r="S496" s="13">
        <f>IF('BANCO DE DADOS'!$AD$32="Sim",R496,Q496)</f>
        <v>8200148.3003602102</v>
      </c>
      <c r="T496" s="9">
        <f t="shared" si="168"/>
        <v>492</v>
      </c>
      <c r="U496" s="18">
        <f t="shared" ca="1" si="153"/>
        <v>59353</v>
      </c>
    </row>
    <row r="497" spans="2:21" x14ac:dyDescent="0.2">
      <c r="B497" s="18">
        <f t="shared" ca="1" si="151"/>
        <v>59353</v>
      </c>
      <c r="C497" s="9">
        <f t="shared" si="154"/>
        <v>493</v>
      </c>
      <c r="D497" s="9"/>
      <c r="E497" s="13">
        <f t="shared" si="152"/>
        <v>2000</v>
      </c>
      <c r="F497" s="14">
        <f t="shared" si="155"/>
        <v>1036000</v>
      </c>
      <c r="G497" s="15">
        <f t="shared" si="156"/>
        <v>0.12550089561470937</v>
      </c>
      <c r="H497" s="13">
        <f t="shared" si="157"/>
        <v>52472.882606621723</v>
      </c>
      <c r="I497" s="13">
        <f t="shared" si="158"/>
        <v>7173996.2030583713</v>
      </c>
      <c r="J497" s="15">
        <f t="shared" si="159"/>
        <v>0.87449910438529066</v>
      </c>
      <c r="K497" s="13">
        <f t="shared" si="160"/>
        <v>7218921.169491441</v>
      </c>
      <c r="L497" s="13">
        <f t="shared" si="161"/>
        <v>861019500.33505821</v>
      </c>
      <c r="M497" s="15">
        <f t="shared" si="162"/>
        <v>0.87449910438529066</v>
      </c>
      <c r="N497" s="13">
        <f t="shared" si="163"/>
        <v>0</v>
      </c>
      <c r="O497" s="13">
        <f t="shared" si="164"/>
        <v>-44924.966433067806</v>
      </c>
      <c r="P497" s="15">
        <f t="shared" si="165"/>
        <v>-5.4719838258064524E-3</v>
      </c>
      <c r="Q497" s="7">
        <f t="shared" si="166"/>
        <v>8209996.2030583732</v>
      </c>
      <c r="R497" s="7">
        <f t="shared" si="167"/>
        <v>8254921.169491441</v>
      </c>
      <c r="S497" s="13">
        <f>IF('BANCO DE DADOS'!$AD$32="Sim",R497,Q497)</f>
        <v>8254921.169491441</v>
      </c>
      <c r="T497" s="9">
        <f t="shared" si="168"/>
        <v>493</v>
      </c>
      <c r="U497" s="18">
        <f t="shared" ca="1" si="153"/>
        <v>59384</v>
      </c>
    </row>
    <row r="498" spans="2:21" x14ac:dyDescent="0.2">
      <c r="B498" s="18">
        <f t="shared" ca="1" si="151"/>
        <v>59384</v>
      </c>
      <c r="C498" s="9">
        <f t="shared" si="154"/>
        <v>494</v>
      </c>
      <c r="D498" s="9"/>
      <c r="E498" s="13">
        <f t="shared" si="152"/>
        <v>2000</v>
      </c>
      <c r="F498" s="14">
        <f t="shared" si="155"/>
        <v>1038000</v>
      </c>
      <c r="G498" s="15">
        <f t="shared" si="156"/>
        <v>0.12490904911078046</v>
      </c>
      <c r="H498" s="13">
        <f t="shared" si="157"/>
        <v>52823.362773491412</v>
      </c>
      <c r="I498" s="13">
        <f t="shared" si="158"/>
        <v>7226819.5658318624</v>
      </c>
      <c r="J498" s="15">
        <f t="shared" si="159"/>
        <v>0.87509095088921951</v>
      </c>
      <c r="K498" s="13">
        <f t="shared" si="160"/>
        <v>7272046.4489118736</v>
      </c>
      <c r="L498" s="13">
        <f t="shared" si="161"/>
        <v>868291546.78397012</v>
      </c>
      <c r="M498" s="15">
        <f t="shared" si="162"/>
        <v>0.87509095088921951</v>
      </c>
      <c r="N498" s="13">
        <f t="shared" si="163"/>
        <v>0</v>
      </c>
      <c r="O498" s="13">
        <f t="shared" si="164"/>
        <v>-45226.883080009371</v>
      </c>
      <c r="P498" s="15">
        <f t="shared" si="165"/>
        <v>-5.472216630957657E-3</v>
      </c>
      <c r="Q498" s="7">
        <f t="shared" si="166"/>
        <v>8264819.5658318643</v>
      </c>
      <c r="R498" s="7">
        <f t="shared" si="167"/>
        <v>8310046.4489118736</v>
      </c>
      <c r="S498" s="13">
        <f>IF('BANCO DE DADOS'!$AD$32="Sim",R498,Q498)</f>
        <v>8310046.4489118736</v>
      </c>
      <c r="T498" s="9">
        <f t="shared" si="168"/>
        <v>494</v>
      </c>
      <c r="U498" s="18">
        <f t="shared" ca="1" si="153"/>
        <v>59415</v>
      </c>
    </row>
    <row r="499" spans="2:21" x14ac:dyDescent="0.2">
      <c r="B499" s="18">
        <f t="shared" ca="1" si="151"/>
        <v>59415</v>
      </c>
      <c r="C499" s="9">
        <f t="shared" si="154"/>
        <v>495</v>
      </c>
      <c r="D499" s="9"/>
      <c r="E499" s="13">
        <f t="shared" si="152"/>
        <v>2000</v>
      </c>
      <c r="F499" s="14">
        <f t="shared" si="155"/>
        <v>1040000</v>
      </c>
      <c r="G499" s="15">
        <f t="shared" si="156"/>
        <v>0.12431973189985017</v>
      </c>
      <c r="H499" s="13">
        <f t="shared" si="157"/>
        <v>53176.097940307693</v>
      </c>
      <c r="I499" s="13">
        <f t="shared" si="158"/>
        <v>7279995.6637721704</v>
      </c>
      <c r="J499" s="15">
        <f t="shared" si="159"/>
        <v>0.87568026810014987</v>
      </c>
      <c r="K499" s="13">
        <f t="shared" si="160"/>
        <v>7325526.4060399197</v>
      </c>
      <c r="L499" s="13">
        <f t="shared" si="161"/>
        <v>875617073.19001007</v>
      </c>
      <c r="M499" s="15">
        <f t="shared" si="162"/>
        <v>0.87568026810014987</v>
      </c>
      <c r="N499" s="13">
        <f t="shared" si="163"/>
        <v>0</v>
      </c>
      <c r="O499" s="13">
        <f t="shared" si="164"/>
        <v>-45530.74226774741</v>
      </c>
      <c r="P499" s="15">
        <f t="shared" si="165"/>
        <v>-5.4724478362413462E-3</v>
      </c>
      <c r="Q499" s="7">
        <f t="shared" si="166"/>
        <v>8319995.6637721723</v>
      </c>
      <c r="R499" s="7">
        <f t="shared" si="167"/>
        <v>8365526.4060399197</v>
      </c>
      <c r="S499" s="13">
        <f>IF('BANCO DE DADOS'!$AD$32="Sim",R499,Q499)</f>
        <v>8365526.4060399197</v>
      </c>
      <c r="T499" s="9">
        <f t="shared" si="168"/>
        <v>495</v>
      </c>
      <c r="U499" s="18">
        <f t="shared" ca="1" si="153"/>
        <v>59445</v>
      </c>
    </row>
    <row r="500" spans="2:21" x14ac:dyDescent="0.2">
      <c r="B500" s="18">
        <f t="shared" ca="1" si="151"/>
        <v>59445</v>
      </c>
      <c r="C500" s="9">
        <f t="shared" si="154"/>
        <v>496</v>
      </c>
      <c r="D500" s="9"/>
      <c r="E500" s="13">
        <f t="shared" si="152"/>
        <v>2000</v>
      </c>
      <c r="F500" s="14">
        <f t="shared" si="155"/>
        <v>1042000</v>
      </c>
      <c r="G500" s="15">
        <f t="shared" si="156"/>
        <v>0.12373293492381038</v>
      </c>
      <c r="H500" s="13">
        <f t="shared" si="157"/>
        <v>53531.102615808129</v>
      </c>
      <c r="I500" s="13">
        <f t="shared" si="158"/>
        <v>7333526.7663879786</v>
      </c>
      <c r="J500" s="15">
        <f t="shared" si="159"/>
        <v>0.87626706507618968</v>
      </c>
      <c r="K500" s="13">
        <f t="shared" si="160"/>
        <v>7379363.3228826299</v>
      </c>
      <c r="L500" s="13">
        <f t="shared" si="161"/>
        <v>882996436.51289272</v>
      </c>
      <c r="M500" s="15">
        <f t="shared" si="162"/>
        <v>0.87626706507618957</v>
      </c>
      <c r="N500" s="13">
        <f t="shared" si="163"/>
        <v>0</v>
      </c>
      <c r="O500" s="13">
        <f t="shared" si="164"/>
        <v>-45836.5564946495</v>
      </c>
      <c r="P500" s="15">
        <f t="shared" si="165"/>
        <v>-5.4726774533868415E-3</v>
      </c>
      <c r="Q500" s="7">
        <f t="shared" si="166"/>
        <v>8375526.7663879804</v>
      </c>
      <c r="R500" s="7">
        <f t="shared" si="167"/>
        <v>8421363.3228826299</v>
      </c>
      <c r="S500" s="13">
        <f>IF('BANCO DE DADOS'!$AD$32="Sim",R500,Q500)</f>
        <v>8421363.3228826299</v>
      </c>
      <c r="T500" s="9">
        <f t="shared" si="168"/>
        <v>496</v>
      </c>
      <c r="U500" s="18">
        <f t="shared" ca="1" si="153"/>
        <v>59476</v>
      </c>
    </row>
    <row r="501" spans="2:21" x14ac:dyDescent="0.2">
      <c r="B501" s="18">
        <f t="shared" ca="1" si="151"/>
        <v>59476</v>
      </c>
      <c r="C501" s="9">
        <f t="shared" si="154"/>
        <v>497</v>
      </c>
      <c r="D501" s="9"/>
      <c r="E501" s="13">
        <f t="shared" si="152"/>
        <v>2000</v>
      </c>
      <c r="F501" s="14">
        <f t="shared" si="155"/>
        <v>1044000</v>
      </c>
      <c r="G501" s="15">
        <f t="shared" si="156"/>
        <v>0.12314864914562262</v>
      </c>
      <c r="H501" s="13">
        <f t="shared" si="157"/>
        <v>53888.391402079935</v>
      </c>
      <c r="I501" s="13">
        <f t="shared" si="158"/>
        <v>7387415.1577900583</v>
      </c>
      <c r="J501" s="15">
        <f t="shared" si="159"/>
        <v>0.87685135085437738</v>
      </c>
      <c r="K501" s="13">
        <f t="shared" si="160"/>
        <v>7433559.4961295556</v>
      </c>
      <c r="L501" s="13">
        <f t="shared" si="161"/>
        <v>890429996.00902224</v>
      </c>
      <c r="M501" s="15">
        <f t="shared" si="162"/>
        <v>0.87685135085437738</v>
      </c>
      <c r="N501" s="13">
        <f t="shared" si="163"/>
        <v>0</v>
      </c>
      <c r="O501" s="13">
        <f t="shared" si="164"/>
        <v>-46144.338339494541</v>
      </c>
      <c r="P501" s="15">
        <f t="shared" si="165"/>
        <v>-5.4729054940273313E-3</v>
      </c>
      <c r="Q501" s="7">
        <f t="shared" si="166"/>
        <v>8431415.1577900611</v>
      </c>
      <c r="R501" s="7">
        <f t="shared" si="167"/>
        <v>8477559.4961295556</v>
      </c>
      <c r="S501" s="13">
        <f>IF('BANCO DE DADOS'!$AD$32="Sim",R501,Q501)</f>
        <v>8477559.4961295556</v>
      </c>
      <c r="T501" s="9">
        <f t="shared" si="168"/>
        <v>497</v>
      </c>
      <c r="U501" s="18">
        <f t="shared" ca="1" si="153"/>
        <v>59506</v>
      </c>
    </row>
    <row r="502" spans="2:21" x14ac:dyDescent="0.2">
      <c r="B502" s="18">
        <f t="shared" ca="1" si="151"/>
        <v>59506</v>
      </c>
      <c r="C502" s="9">
        <f t="shared" si="154"/>
        <v>498</v>
      </c>
      <c r="D502" s="9"/>
      <c r="E502" s="13">
        <f t="shared" si="152"/>
        <v>2000</v>
      </c>
      <c r="F502" s="14">
        <f t="shared" si="155"/>
        <v>1046000</v>
      </c>
      <c r="G502" s="15">
        <f t="shared" si="156"/>
        <v>0.12256686554934178</v>
      </c>
      <c r="H502" s="13">
        <f t="shared" si="157"/>
        <v>54247.978995160578</v>
      </c>
      <c r="I502" s="13">
        <f t="shared" si="158"/>
        <v>7441663.1367852185</v>
      </c>
      <c r="J502" s="15">
        <f t="shared" si="159"/>
        <v>0.87743313445065818</v>
      </c>
      <c r="K502" s="13">
        <f t="shared" si="160"/>
        <v>7488117.2372472193</v>
      </c>
      <c r="L502" s="13">
        <f t="shared" si="161"/>
        <v>897918113.24626946</v>
      </c>
      <c r="M502" s="15">
        <f t="shared" si="162"/>
        <v>0.87743313445065818</v>
      </c>
      <c r="N502" s="13">
        <f t="shared" si="163"/>
        <v>0</v>
      </c>
      <c r="O502" s="13">
        <f t="shared" si="164"/>
        <v>-46454.100461997092</v>
      </c>
      <c r="P502" s="15">
        <f t="shared" si="165"/>
        <v>-5.473131969701615E-3</v>
      </c>
      <c r="Q502" s="7">
        <f t="shared" si="166"/>
        <v>8487663.1367852222</v>
      </c>
      <c r="R502" s="7">
        <f t="shared" si="167"/>
        <v>8534117.2372472193</v>
      </c>
      <c r="S502" s="13">
        <f>IF('BANCO DE DADOS'!$AD$32="Sim",R502,Q502)</f>
        <v>8534117.2372472193</v>
      </c>
      <c r="T502" s="9">
        <f t="shared" si="168"/>
        <v>498</v>
      </c>
      <c r="U502" s="18">
        <f t="shared" ca="1" si="153"/>
        <v>59537</v>
      </c>
    </row>
    <row r="503" spans="2:21" x14ac:dyDescent="0.2">
      <c r="B503" s="18">
        <f t="shared" ca="1" si="151"/>
        <v>59537</v>
      </c>
      <c r="C503" s="9">
        <f t="shared" si="154"/>
        <v>499</v>
      </c>
      <c r="D503" s="9"/>
      <c r="E503" s="13">
        <f t="shared" si="152"/>
        <v>2000</v>
      </c>
      <c r="F503" s="14">
        <f t="shared" si="155"/>
        <v>1048000</v>
      </c>
      <c r="G503" s="15">
        <f t="shared" si="156"/>
        <v>0.12198757514013914</v>
      </c>
      <c r="H503" s="13">
        <f t="shared" si="157"/>
        <v>54609.880185642287</v>
      </c>
      <c r="I503" s="13">
        <f t="shared" si="158"/>
        <v>7496273.0169708608</v>
      </c>
      <c r="J503" s="15">
        <f t="shared" si="159"/>
        <v>0.87801242485986086</v>
      </c>
      <c r="K503" s="13">
        <f t="shared" si="160"/>
        <v>7543038.8725741878</v>
      </c>
      <c r="L503" s="13">
        <f t="shared" si="161"/>
        <v>905461152.11884367</v>
      </c>
      <c r="M503" s="15">
        <f t="shared" si="162"/>
        <v>0.87801242485986086</v>
      </c>
      <c r="N503" s="13">
        <f t="shared" si="163"/>
        <v>0</v>
      </c>
      <c r="O503" s="13">
        <f t="shared" si="164"/>
        <v>-46765.855603322387</v>
      </c>
      <c r="P503" s="15">
        <f t="shared" si="165"/>
        <v>-5.47335689185432E-3</v>
      </c>
      <c r="Q503" s="7">
        <f t="shared" si="166"/>
        <v>8544273.0169708654</v>
      </c>
      <c r="R503" s="7">
        <f t="shared" si="167"/>
        <v>8591038.8725741878</v>
      </c>
      <c r="S503" s="13">
        <f>IF('BANCO DE DADOS'!$AD$32="Sim",R503,Q503)</f>
        <v>8591038.8725741878</v>
      </c>
      <c r="T503" s="9">
        <f t="shared" si="168"/>
        <v>499</v>
      </c>
      <c r="U503" s="18">
        <f t="shared" ca="1" si="153"/>
        <v>59568</v>
      </c>
    </row>
    <row r="504" spans="2:21" x14ac:dyDescent="0.2">
      <c r="B504" s="18">
        <f t="shared" ca="1" si="151"/>
        <v>59568</v>
      </c>
      <c r="C504" s="9">
        <f t="shared" si="154"/>
        <v>500</v>
      </c>
      <c r="D504" s="9"/>
      <c r="E504" s="13">
        <f t="shared" si="152"/>
        <v>2000</v>
      </c>
      <c r="F504" s="14">
        <f t="shared" si="155"/>
        <v>1050000</v>
      </c>
      <c r="G504" s="15">
        <f t="shared" si="156"/>
        <v>0.12141076894432512</v>
      </c>
      <c r="H504" s="13">
        <f t="shared" si="157"/>
        <v>54974.109859280397</v>
      </c>
      <c r="I504" s="13">
        <f t="shared" si="158"/>
        <v>7551247.1268301411</v>
      </c>
      <c r="J504" s="15">
        <f t="shared" si="159"/>
        <v>0.87858923105567488</v>
      </c>
      <c r="K504" s="13">
        <f t="shared" si="160"/>
        <v>7598326.7434167601</v>
      </c>
      <c r="L504" s="13">
        <f t="shared" si="161"/>
        <v>913059478.86226046</v>
      </c>
      <c r="M504" s="15">
        <f t="shared" si="162"/>
        <v>0.87858923105567488</v>
      </c>
      <c r="N504" s="13">
        <f t="shared" si="163"/>
        <v>0</v>
      </c>
      <c r="O504" s="13">
        <f t="shared" si="164"/>
        <v>-47079.6165866144</v>
      </c>
      <c r="P504" s="15">
        <f t="shared" si="165"/>
        <v>-5.4735802718372598E-3</v>
      </c>
      <c r="Q504" s="7">
        <f t="shared" si="166"/>
        <v>8601247.1268301457</v>
      </c>
      <c r="R504" s="7">
        <f t="shared" si="167"/>
        <v>8648326.7434167601</v>
      </c>
      <c r="S504" s="13">
        <f>IF('BANCO DE DADOS'!$AD$32="Sim",R504,Q504)</f>
        <v>8648326.7434167601</v>
      </c>
      <c r="T504" s="9">
        <f t="shared" si="168"/>
        <v>500</v>
      </c>
      <c r="U504" s="18">
        <f t="shared" ca="1" si="153"/>
        <v>59596</v>
      </c>
    </row>
    <row r="505" spans="2:21" x14ac:dyDescent="0.2">
      <c r="B505" s="18">
        <f t="shared" ca="1" si="151"/>
        <v>59596</v>
      </c>
      <c r="C505" s="9">
        <f t="shared" si="154"/>
        <v>501</v>
      </c>
      <c r="D505" s="9"/>
      <c r="E505" s="13">
        <f t="shared" si="152"/>
        <v>2000</v>
      </c>
      <c r="F505" s="14">
        <f t="shared" si="155"/>
        <v>1052000</v>
      </c>
      <c r="G505" s="15">
        <f t="shared" si="156"/>
        <v>0.12083643800937122</v>
      </c>
      <c r="H505" s="13">
        <f t="shared" si="157"/>
        <v>55340.682997605654</v>
      </c>
      <c r="I505" s="13">
        <f t="shared" si="158"/>
        <v>7606587.8098277468</v>
      </c>
      <c r="J505" s="15">
        <f t="shared" si="159"/>
        <v>0.87916356199062884</v>
      </c>
      <c r="K505" s="13">
        <f t="shared" si="160"/>
        <v>7653983.2061452717</v>
      </c>
      <c r="L505" s="13">
        <f t="shared" si="161"/>
        <v>920713462.06840575</v>
      </c>
      <c r="M505" s="15">
        <f t="shared" si="162"/>
        <v>0.87916356199062873</v>
      </c>
      <c r="N505" s="13">
        <f t="shared" si="163"/>
        <v>0</v>
      </c>
      <c r="O505" s="13">
        <f t="shared" si="164"/>
        <v>-47395.39631752111</v>
      </c>
      <c r="P505" s="15">
        <f t="shared" si="165"/>
        <v>-5.4738021209100578E-3</v>
      </c>
      <c r="Q505" s="7">
        <f t="shared" si="166"/>
        <v>8658587.8098277505</v>
      </c>
      <c r="R505" s="7">
        <f t="shared" si="167"/>
        <v>8705983.2061452717</v>
      </c>
      <c r="S505" s="13">
        <f>IF('BANCO DE DADOS'!$AD$32="Sim",R505,Q505)</f>
        <v>8705983.2061452717</v>
      </c>
      <c r="T505" s="9">
        <f t="shared" si="168"/>
        <v>501</v>
      </c>
      <c r="U505" s="18">
        <f t="shared" ca="1" si="153"/>
        <v>59627</v>
      </c>
    </row>
    <row r="506" spans="2:21" x14ac:dyDescent="0.2">
      <c r="B506" s="18">
        <f t="shared" ca="1" si="151"/>
        <v>59627</v>
      </c>
      <c r="C506" s="9">
        <f t="shared" si="154"/>
        <v>502</v>
      </c>
      <c r="D506" s="9"/>
      <c r="E506" s="13">
        <f t="shared" si="152"/>
        <v>2000</v>
      </c>
      <c r="F506" s="14">
        <f t="shared" si="155"/>
        <v>1054000</v>
      </c>
      <c r="G506" s="15">
        <f t="shared" si="156"/>
        <v>0.12026457340393162</v>
      </c>
      <c r="H506" s="13">
        <f t="shared" si="157"/>
        <v>55709.614678540405</v>
      </c>
      <c r="I506" s="13">
        <f t="shared" si="158"/>
        <v>7662297.4245062871</v>
      </c>
      <c r="J506" s="15">
        <f t="shared" si="159"/>
        <v>0.8797354265960684</v>
      </c>
      <c r="K506" s="13">
        <f t="shared" si="160"/>
        <v>7710010.6322910152</v>
      </c>
      <c r="L506" s="13">
        <f t="shared" si="161"/>
        <v>928423472.70069671</v>
      </c>
      <c r="M506" s="15">
        <f t="shared" si="162"/>
        <v>0.8797354265960684</v>
      </c>
      <c r="N506" s="13">
        <f t="shared" si="163"/>
        <v>0</v>
      </c>
      <c r="O506" s="13">
        <f t="shared" si="164"/>
        <v>-47713.20778472349</v>
      </c>
      <c r="P506" s="15">
        <f t="shared" si="165"/>
        <v>-5.474022450240798E-3</v>
      </c>
      <c r="Q506" s="7">
        <f t="shared" si="166"/>
        <v>8716297.4245062917</v>
      </c>
      <c r="R506" s="7">
        <f t="shared" si="167"/>
        <v>8764010.6322910152</v>
      </c>
      <c r="S506" s="13">
        <f>IF('BANCO DE DADOS'!$AD$32="Sim",R506,Q506)</f>
        <v>8764010.6322910152</v>
      </c>
      <c r="T506" s="9">
        <f t="shared" si="168"/>
        <v>502</v>
      </c>
      <c r="U506" s="18">
        <f t="shared" ca="1" si="153"/>
        <v>59657</v>
      </c>
    </row>
    <row r="507" spans="2:21" x14ac:dyDescent="0.2">
      <c r="B507" s="18">
        <f t="shared" ca="1" si="151"/>
        <v>59657</v>
      </c>
      <c r="C507" s="9">
        <f t="shared" si="154"/>
        <v>503</v>
      </c>
      <c r="D507" s="9"/>
      <c r="E507" s="13">
        <f t="shared" si="152"/>
        <v>2000</v>
      </c>
      <c r="F507" s="14">
        <f t="shared" si="155"/>
        <v>1056000</v>
      </c>
      <c r="G507" s="15">
        <f t="shared" si="156"/>
        <v>0.11969516621786427</v>
      </c>
      <c r="H507" s="13">
        <f t="shared" si="157"/>
        <v>56080.920077018833</v>
      </c>
      <c r="I507" s="13">
        <f t="shared" si="158"/>
        <v>7718378.3445833055</v>
      </c>
      <c r="J507" s="15">
        <f t="shared" si="159"/>
        <v>0.88030483378213575</v>
      </c>
      <c r="K507" s="13">
        <f t="shared" si="160"/>
        <v>7766411.4086437859</v>
      </c>
      <c r="L507" s="13">
        <f t="shared" si="161"/>
        <v>936189884.10934055</v>
      </c>
      <c r="M507" s="15">
        <f t="shared" si="162"/>
        <v>0.88030483378213575</v>
      </c>
      <c r="N507" s="13">
        <f t="shared" si="163"/>
        <v>0</v>
      </c>
      <c r="O507" s="13">
        <f t="shared" si="164"/>
        <v>-48033.064060475677</v>
      </c>
      <c r="P507" s="15">
        <f t="shared" si="165"/>
        <v>-5.4742412709075788E-3</v>
      </c>
      <c r="Q507" s="7">
        <f t="shared" si="166"/>
        <v>8774378.3445833102</v>
      </c>
      <c r="R507" s="7">
        <f t="shared" si="167"/>
        <v>8822411.4086437859</v>
      </c>
      <c r="S507" s="13">
        <f>IF('BANCO DE DADOS'!$AD$32="Sim",R507,Q507)</f>
        <v>8822411.4086437859</v>
      </c>
      <c r="T507" s="9">
        <f t="shared" si="168"/>
        <v>503</v>
      </c>
      <c r="U507" s="18">
        <f t="shared" ca="1" si="153"/>
        <v>59688</v>
      </c>
    </row>
    <row r="508" spans="2:21" x14ac:dyDescent="0.2">
      <c r="B508" s="18">
        <f t="shared" ca="1" si="151"/>
        <v>59688</v>
      </c>
      <c r="C508" s="9">
        <f t="shared" si="154"/>
        <v>504</v>
      </c>
      <c r="D508" s="9">
        <v>42</v>
      </c>
      <c r="E508" s="13">
        <f t="shared" si="152"/>
        <v>2000</v>
      </c>
      <c r="F508" s="14">
        <f t="shared" si="155"/>
        <v>1058000</v>
      </c>
      <c r="G508" s="15">
        <f t="shared" si="156"/>
        <v>0.11912820756225129</v>
      </c>
      <c r="H508" s="13">
        <f t="shared" si="157"/>
        <v>56454.61446561107</v>
      </c>
      <c r="I508" s="13">
        <f t="shared" si="158"/>
        <v>7774832.9590489166</v>
      </c>
      <c r="J508" s="15">
        <f t="shared" si="159"/>
        <v>0.88087179243774871</v>
      </c>
      <c r="K508" s="13">
        <f t="shared" si="160"/>
        <v>7823187.9373500571</v>
      </c>
      <c r="L508" s="13">
        <f t="shared" si="161"/>
        <v>944013072.04669058</v>
      </c>
      <c r="M508" s="15">
        <f t="shared" si="162"/>
        <v>0.88087179243774871</v>
      </c>
      <c r="N508" s="13">
        <f t="shared" si="163"/>
        <v>0</v>
      </c>
      <c r="O508" s="13">
        <f t="shared" si="164"/>
        <v>-48354.978301135823</v>
      </c>
      <c r="P508" s="15">
        <f t="shared" si="165"/>
        <v>-5.4744585938985612E-3</v>
      </c>
      <c r="Q508" s="7">
        <f t="shared" si="166"/>
        <v>8832832.9590489212</v>
      </c>
      <c r="R508" s="7">
        <f t="shared" si="167"/>
        <v>8881187.9373500571</v>
      </c>
      <c r="S508" s="13">
        <f>IF('BANCO DE DADOS'!$AD$32="Sim",R508,Q508)</f>
        <v>8881187.9373500571</v>
      </c>
      <c r="T508" s="9">
        <f t="shared" si="168"/>
        <v>504</v>
      </c>
      <c r="U508" s="18">
        <f t="shared" ca="1" si="153"/>
        <v>59718</v>
      </c>
    </row>
    <row r="509" spans="2:21" x14ac:dyDescent="0.2">
      <c r="B509" s="18">
        <f t="shared" ca="1" si="151"/>
        <v>59718</v>
      </c>
      <c r="C509" s="9">
        <f t="shared" si="154"/>
        <v>505</v>
      </c>
      <c r="D509" s="9"/>
      <c r="E509" s="13">
        <f t="shared" si="152"/>
        <v>2000</v>
      </c>
      <c r="F509" s="14">
        <f t="shared" si="155"/>
        <v>1060000</v>
      </c>
      <c r="G509" s="15">
        <f t="shared" si="156"/>
        <v>0.118563688569419</v>
      </c>
      <c r="H509" s="13">
        <f t="shared" si="157"/>
        <v>56830.713215151452</v>
      </c>
      <c r="I509" s="13">
        <f t="shared" si="158"/>
        <v>7831663.6722640684</v>
      </c>
      <c r="J509" s="15">
        <f t="shared" si="159"/>
        <v>0.88143631143058099</v>
      </c>
      <c r="K509" s="13">
        <f t="shared" si="160"/>
        <v>7880342.6360117868</v>
      </c>
      <c r="L509" s="13">
        <f t="shared" si="161"/>
        <v>951893414.68270242</v>
      </c>
      <c r="M509" s="15">
        <f t="shared" si="162"/>
        <v>0.88143631143058099</v>
      </c>
      <c r="N509" s="13">
        <f t="shared" si="163"/>
        <v>0</v>
      </c>
      <c r="O509" s="13">
        <f t="shared" si="164"/>
        <v>-48678.963747713715</v>
      </c>
      <c r="P509" s="15">
        <f t="shared" si="165"/>
        <v>-5.4746744301135547E-3</v>
      </c>
      <c r="Q509" s="7">
        <f t="shared" si="166"/>
        <v>8891663.672264073</v>
      </c>
      <c r="R509" s="7">
        <f t="shared" si="167"/>
        <v>8940342.6360117868</v>
      </c>
      <c r="S509" s="13">
        <f>IF('BANCO DE DADOS'!$AD$32="Sim",R509,Q509)</f>
        <v>8940342.6360117868</v>
      </c>
      <c r="T509" s="9">
        <f t="shared" si="168"/>
        <v>505</v>
      </c>
      <c r="U509" s="18">
        <f t="shared" ca="1" si="153"/>
        <v>59749</v>
      </c>
    </row>
    <row r="510" spans="2:21" x14ac:dyDescent="0.2">
      <c r="B510" s="18">
        <f t="shared" ca="1" si="151"/>
        <v>59749</v>
      </c>
      <c r="C510" s="9">
        <f t="shared" si="154"/>
        <v>506</v>
      </c>
      <c r="D510" s="9"/>
      <c r="E510" s="13">
        <f t="shared" si="152"/>
        <v>2000</v>
      </c>
      <c r="F510" s="14">
        <f t="shared" si="155"/>
        <v>1062000</v>
      </c>
      <c r="G510" s="15">
        <f t="shared" si="156"/>
        <v>0.1180016003929574</v>
      </c>
      <c r="H510" s="13">
        <f t="shared" si="157"/>
        <v>57209.231795370717</v>
      </c>
      <c r="I510" s="13">
        <f t="shared" si="158"/>
        <v>7888872.904059439</v>
      </c>
      <c r="J510" s="15">
        <f t="shared" si="159"/>
        <v>0.88199839960704263</v>
      </c>
      <c r="K510" s="13">
        <f t="shared" si="160"/>
        <v>7937877.9377858546</v>
      </c>
      <c r="L510" s="13">
        <f t="shared" si="161"/>
        <v>959831292.62048829</v>
      </c>
      <c r="M510" s="15">
        <f t="shared" si="162"/>
        <v>0.88199839960704263</v>
      </c>
      <c r="N510" s="13">
        <f t="shared" si="163"/>
        <v>0</v>
      </c>
      <c r="O510" s="13">
        <f t="shared" si="164"/>
        <v>-49005.03372641094</v>
      </c>
      <c r="P510" s="15">
        <f t="shared" si="165"/>
        <v>-5.474888790364338E-3</v>
      </c>
      <c r="Q510" s="7">
        <f t="shared" si="166"/>
        <v>8950872.9040594436</v>
      </c>
      <c r="R510" s="7">
        <f t="shared" si="167"/>
        <v>8999877.9377858546</v>
      </c>
      <c r="S510" s="13">
        <f>IF('BANCO DE DADOS'!$AD$32="Sim",R510,Q510)</f>
        <v>8999877.9377858546</v>
      </c>
      <c r="T510" s="9">
        <f t="shared" si="168"/>
        <v>506</v>
      </c>
      <c r="U510" s="18">
        <f t="shared" ca="1" si="153"/>
        <v>59780</v>
      </c>
    </row>
    <row r="511" spans="2:21" x14ac:dyDescent="0.2">
      <c r="B511" s="18">
        <f t="shared" ca="1" si="151"/>
        <v>59780</v>
      </c>
      <c r="C511" s="9">
        <f t="shared" si="154"/>
        <v>507</v>
      </c>
      <c r="D511" s="9"/>
      <c r="E511" s="13">
        <f t="shared" si="152"/>
        <v>2000</v>
      </c>
      <c r="F511" s="14">
        <f t="shared" si="155"/>
        <v>1064000</v>
      </c>
      <c r="G511" s="15">
        <f t="shared" si="156"/>
        <v>0.11744193420773916</v>
      </c>
      <c r="H511" s="13">
        <f t="shared" si="157"/>
        <v>57590.185775532307</v>
      </c>
      <c r="I511" s="13">
        <f t="shared" si="158"/>
        <v>7946463.0898349714</v>
      </c>
      <c r="J511" s="15">
        <f t="shared" si="159"/>
        <v>0.88255806579226082</v>
      </c>
      <c r="K511" s="13">
        <f t="shared" si="160"/>
        <v>7995796.2914841436</v>
      </c>
      <c r="L511" s="13">
        <f t="shared" si="161"/>
        <v>967827088.9119724</v>
      </c>
      <c r="M511" s="15">
        <f t="shared" si="162"/>
        <v>0.88255806579226082</v>
      </c>
      <c r="N511" s="13">
        <f t="shared" si="163"/>
        <v>0</v>
      </c>
      <c r="O511" s="13">
        <f t="shared" si="164"/>
        <v>-49333.201649168506</v>
      </c>
      <c r="P511" s="15">
        <f t="shared" si="165"/>
        <v>-5.4751016853754218E-3</v>
      </c>
      <c r="Q511" s="7">
        <f t="shared" si="166"/>
        <v>9010463.0898349751</v>
      </c>
      <c r="R511" s="7">
        <f t="shared" si="167"/>
        <v>9059796.2914841436</v>
      </c>
      <c r="S511" s="13">
        <f>IF('BANCO DE DADOS'!$AD$32="Sim",R511,Q511)</f>
        <v>9059796.2914841436</v>
      </c>
      <c r="T511" s="9">
        <f t="shared" si="168"/>
        <v>507</v>
      </c>
      <c r="U511" s="18">
        <f t="shared" ca="1" si="153"/>
        <v>59810</v>
      </c>
    </row>
    <row r="512" spans="2:21" x14ac:dyDescent="0.2">
      <c r="B512" s="18">
        <f t="shared" ca="1" si="151"/>
        <v>59810</v>
      </c>
      <c r="C512" s="9">
        <f t="shared" si="154"/>
        <v>508</v>
      </c>
      <c r="D512" s="9"/>
      <c r="E512" s="13">
        <f t="shared" si="152"/>
        <v>2000</v>
      </c>
      <c r="F512" s="14">
        <f t="shared" si="155"/>
        <v>1066000</v>
      </c>
      <c r="G512" s="15">
        <f t="shared" si="156"/>
        <v>0.11688468120993788</v>
      </c>
      <c r="H512" s="13">
        <f t="shared" si="157"/>
        <v>57973.590825072773</v>
      </c>
      <c r="I512" s="13">
        <f t="shared" si="158"/>
        <v>8004436.6806600438</v>
      </c>
      <c r="J512" s="15">
        <f t="shared" si="159"/>
        <v>0.88311531879006211</v>
      </c>
      <c r="K512" s="13">
        <f t="shared" si="160"/>
        <v>8054100.1616742704</v>
      </c>
      <c r="L512" s="13">
        <f t="shared" si="161"/>
        <v>975881189.07364666</v>
      </c>
      <c r="M512" s="15">
        <f t="shared" si="162"/>
        <v>0.88311531879006211</v>
      </c>
      <c r="N512" s="13">
        <f t="shared" si="163"/>
        <v>0</v>
      </c>
      <c r="O512" s="13">
        <f t="shared" si="164"/>
        <v>-49663.481014221907</v>
      </c>
      <c r="P512" s="15">
        <f t="shared" si="165"/>
        <v>-5.4753131257852441E-3</v>
      </c>
      <c r="Q512" s="7">
        <f t="shared" si="166"/>
        <v>9070436.6806600485</v>
      </c>
      <c r="R512" s="7">
        <f t="shared" si="167"/>
        <v>9120100.1616742704</v>
      </c>
      <c r="S512" s="13">
        <f>IF('BANCO DE DADOS'!$AD$32="Sim",R512,Q512)</f>
        <v>9120100.1616742704</v>
      </c>
      <c r="T512" s="9">
        <f t="shared" si="168"/>
        <v>508</v>
      </c>
      <c r="U512" s="18">
        <f t="shared" ca="1" si="153"/>
        <v>59841</v>
      </c>
    </row>
    <row r="513" spans="2:21" x14ac:dyDescent="0.2">
      <c r="B513" s="18">
        <f t="shared" ca="1" si="151"/>
        <v>59841</v>
      </c>
      <c r="C513" s="9">
        <f t="shared" si="154"/>
        <v>509</v>
      </c>
      <c r="D513" s="9"/>
      <c r="E513" s="13">
        <f t="shared" si="152"/>
        <v>2000</v>
      </c>
      <c r="F513" s="14">
        <f t="shared" si="155"/>
        <v>1068000</v>
      </c>
      <c r="G513" s="15">
        <f t="shared" si="156"/>
        <v>0.1163298326170462</v>
      </c>
      <c r="H513" s="13">
        <f t="shared" si="157"/>
        <v>58359.462714246321</v>
      </c>
      <c r="I513" s="13">
        <f t="shared" si="158"/>
        <v>8062796.1433742903</v>
      </c>
      <c r="J513" s="15">
        <f t="shared" si="159"/>
        <v>0.88367016738295379</v>
      </c>
      <c r="K513" s="13">
        <f t="shared" si="160"/>
        <v>8112792.0287809502</v>
      </c>
      <c r="L513" s="13">
        <f t="shared" si="161"/>
        <v>983993981.1024276</v>
      </c>
      <c r="M513" s="15">
        <f t="shared" si="162"/>
        <v>0.88367016738295379</v>
      </c>
      <c r="N513" s="13">
        <f t="shared" si="163"/>
        <v>0</v>
      </c>
      <c r="O513" s="13">
        <f t="shared" si="164"/>
        <v>-49995.885406656191</v>
      </c>
      <c r="P513" s="15">
        <f t="shared" si="165"/>
        <v>-5.4755231221469552E-3</v>
      </c>
      <c r="Q513" s="7">
        <f t="shared" si="166"/>
        <v>9130796.143374294</v>
      </c>
      <c r="R513" s="7">
        <f t="shared" si="167"/>
        <v>9180792.0287809502</v>
      </c>
      <c r="S513" s="13">
        <f>IF('BANCO DE DADOS'!$AD$32="Sim",R513,Q513)</f>
        <v>9180792.0287809502</v>
      </c>
      <c r="T513" s="9">
        <f t="shared" si="168"/>
        <v>509</v>
      </c>
      <c r="U513" s="18">
        <f t="shared" ca="1" si="153"/>
        <v>59871</v>
      </c>
    </row>
    <row r="514" spans="2:21" x14ac:dyDescent="0.2">
      <c r="B514" s="18">
        <f t="shared" ca="1" si="151"/>
        <v>59871</v>
      </c>
      <c r="C514" s="9">
        <f t="shared" si="154"/>
        <v>510</v>
      </c>
      <c r="D514" s="9"/>
      <c r="E514" s="13">
        <f t="shared" si="152"/>
        <v>2000</v>
      </c>
      <c r="F514" s="14">
        <f t="shared" si="155"/>
        <v>1070000</v>
      </c>
      <c r="G514" s="15">
        <f t="shared" si="156"/>
        <v>0.11577737966789312</v>
      </c>
      <c r="H514" s="13">
        <f t="shared" si="157"/>
        <v>58747.817314773405</v>
      </c>
      <c r="I514" s="13">
        <f t="shared" si="158"/>
        <v>8121543.9606890641</v>
      </c>
      <c r="J514" s="15">
        <f t="shared" si="159"/>
        <v>0.88422262033210686</v>
      </c>
      <c r="K514" s="13">
        <f t="shared" si="160"/>
        <v>8171874.389188027</v>
      </c>
      <c r="L514" s="13">
        <f t="shared" si="161"/>
        <v>992165855.49161565</v>
      </c>
      <c r="M514" s="15">
        <f t="shared" si="162"/>
        <v>0.88422262033210686</v>
      </c>
      <c r="N514" s="13">
        <f t="shared" si="163"/>
        <v>0</v>
      </c>
      <c r="O514" s="13">
        <f t="shared" si="164"/>
        <v>-50330.428498959169</v>
      </c>
      <c r="P514" s="15">
        <f t="shared" si="165"/>
        <v>-5.4757316849285914E-3</v>
      </c>
      <c r="Q514" s="7">
        <f t="shared" si="166"/>
        <v>9191543.9606890678</v>
      </c>
      <c r="R514" s="7">
        <f t="shared" si="167"/>
        <v>9241874.389188027</v>
      </c>
      <c r="S514" s="13">
        <f>IF('BANCO DE DADOS'!$AD$32="Sim",R514,Q514)</f>
        <v>9241874.389188027</v>
      </c>
      <c r="T514" s="9">
        <f t="shared" si="168"/>
        <v>510</v>
      </c>
      <c r="U514" s="18">
        <f t="shared" ca="1" si="153"/>
        <v>59902</v>
      </c>
    </row>
    <row r="515" spans="2:21" x14ac:dyDescent="0.2">
      <c r="B515" s="18">
        <f t="shared" ca="1" si="151"/>
        <v>59902</v>
      </c>
      <c r="C515" s="9">
        <f t="shared" si="154"/>
        <v>511</v>
      </c>
      <c r="D515" s="9"/>
      <c r="E515" s="13">
        <f t="shared" si="152"/>
        <v>2000</v>
      </c>
      <c r="F515" s="14">
        <f t="shared" si="155"/>
        <v>1072000</v>
      </c>
      <c r="G515" s="15">
        <f t="shared" si="156"/>
        <v>0.11522731362266085</v>
      </c>
      <c r="H515" s="13">
        <f t="shared" si="157"/>
        <v>59138.67060049365</v>
      </c>
      <c r="I515" s="13">
        <f t="shared" si="158"/>
        <v>8180682.6312895576</v>
      </c>
      <c r="J515" s="15">
        <f t="shared" si="159"/>
        <v>0.88477268637733919</v>
      </c>
      <c r="K515" s="13">
        <f t="shared" si="160"/>
        <v>8231349.7553411517</v>
      </c>
      <c r="L515" s="13">
        <f t="shared" si="161"/>
        <v>1000397205.2469568</v>
      </c>
      <c r="M515" s="15">
        <f t="shared" si="162"/>
        <v>0.88477268637733919</v>
      </c>
      <c r="N515" s="13">
        <f t="shared" si="163"/>
        <v>0</v>
      </c>
      <c r="O515" s="13">
        <f t="shared" si="164"/>
        <v>-50667.124051589519</v>
      </c>
      <c r="P515" s="15">
        <f t="shared" si="165"/>
        <v>-5.4759388245145023E-3</v>
      </c>
      <c r="Q515" s="7">
        <f t="shared" si="166"/>
        <v>9252682.6312895622</v>
      </c>
      <c r="R515" s="7">
        <f t="shared" si="167"/>
        <v>9303349.7553411517</v>
      </c>
      <c r="S515" s="13">
        <f>IF('BANCO DE DADOS'!$AD$32="Sim",R515,Q515)</f>
        <v>9303349.7553411517</v>
      </c>
      <c r="T515" s="9">
        <f t="shared" si="168"/>
        <v>511</v>
      </c>
      <c r="U515" s="18">
        <f t="shared" ca="1" si="153"/>
        <v>59933</v>
      </c>
    </row>
    <row r="516" spans="2:21" x14ac:dyDescent="0.2">
      <c r="B516" s="18">
        <f t="shared" ca="1" si="151"/>
        <v>59933</v>
      </c>
      <c r="C516" s="9">
        <f t="shared" si="154"/>
        <v>512</v>
      </c>
      <c r="D516" s="9"/>
      <c r="E516" s="13">
        <f t="shared" si="152"/>
        <v>2000</v>
      </c>
      <c r="F516" s="14">
        <f t="shared" si="155"/>
        <v>1074000</v>
      </c>
      <c r="G516" s="15">
        <f t="shared" si="156"/>
        <v>0.11467962576290124</v>
      </c>
      <c r="H516" s="13">
        <f t="shared" si="157"/>
        <v>59532.038648022812</v>
      </c>
      <c r="I516" s="13">
        <f t="shared" si="158"/>
        <v>8240214.6699375808</v>
      </c>
      <c r="J516" s="15">
        <f t="shared" si="159"/>
        <v>0.88532037423709875</v>
      </c>
      <c r="K516" s="13">
        <f t="shared" si="160"/>
        <v>8291220.6558511294</v>
      </c>
      <c r="L516" s="13">
        <f t="shared" si="161"/>
        <v>1008688425.902808</v>
      </c>
      <c r="M516" s="15">
        <f t="shared" si="162"/>
        <v>0.88532037423709875</v>
      </c>
      <c r="N516" s="13">
        <f t="shared" si="163"/>
        <v>0</v>
      </c>
      <c r="O516" s="13">
        <f t="shared" si="164"/>
        <v>-51005.985913544893</v>
      </c>
      <c r="P516" s="15">
        <f t="shared" si="165"/>
        <v>-5.4761445512063432E-3</v>
      </c>
      <c r="Q516" s="7">
        <f t="shared" si="166"/>
        <v>9314214.6699375845</v>
      </c>
      <c r="R516" s="7">
        <f t="shared" si="167"/>
        <v>9365220.6558511294</v>
      </c>
      <c r="S516" s="13">
        <f>IF('BANCO DE DADOS'!$AD$32="Sim",R516,Q516)</f>
        <v>9365220.6558511294</v>
      </c>
      <c r="T516" s="9">
        <f t="shared" si="168"/>
        <v>512</v>
      </c>
      <c r="U516" s="18">
        <f t="shared" ca="1" si="153"/>
        <v>59962</v>
      </c>
    </row>
    <row r="517" spans="2:21" x14ac:dyDescent="0.2">
      <c r="B517" s="18">
        <f t="shared" ca="1" si="151"/>
        <v>59962</v>
      </c>
      <c r="C517" s="9">
        <f t="shared" si="154"/>
        <v>513</v>
      </c>
      <c r="D517" s="9"/>
      <c r="E517" s="13">
        <f t="shared" si="152"/>
        <v>2000</v>
      </c>
      <c r="F517" s="14">
        <f t="shared" si="155"/>
        <v>1076000</v>
      </c>
      <c r="G517" s="15">
        <f t="shared" si="156"/>
        <v>0.1141343073915516</v>
      </c>
      <c r="H517" s="13">
        <f t="shared" si="157"/>
        <v>59927.937637414085</v>
      </c>
      <c r="I517" s="13">
        <f t="shared" si="158"/>
        <v>8300142.6075749947</v>
      </c>
      <c r="J517" s="15">
        <f t="shared" si="159"/>
        <v>0.88586569260844839</v>
      </c>
      <c r="K517" s="13">
        <f t="shared" si="160"/>
        <v>8351489.6355979219</v>
      </c>
      <c r="L517" s="13">
        <f t="shared" si="161"/>
        <v>1017039915.5384059</v>
      </c>
      <c r="M517" s="15">
        <f t="shared" si="162"/>
        <v>0.88586569260844839</v>
      </c>
      <c r="N517" s="13">
        <f t="shared" si="163"/>
        <v>0</v>
      </c>
      <c r="O517" s="13">
        <f t="shared" si="164"/>
        <v>-51347.028022922575</v>
      </c>
      <c r="P517" s="15">
        <f t="shared" si="165"/>
        <v>-5.4763488752228697E-3</v>
      </c>
      <c r="Q517" s="7">
        <f t="shared" si="166"/>
        <v>9376142.6075749993</v>
      </c>
      <c r="R517" s="7">
        <f t="shared" si="167"/>
        <v>9427489.6355979219</v>
      </c>
      <c r="S517" s="13">
        <f>IF('BANCO DE DADOS'!$AD$32="Sim",R517,Q517)</f>
        <v>9427489.6355979219</v>
      </c>
      <c r="T517" s="9">
        <f t="shared" si="168"/>
        <v>513</v>
      </c>
      <c r="U517" s="18">
        <f t="shared" ca="1" si="153"/>
        <v>59993</v>
      </c>
    </row>
    <row r="518" spans="2:21" x14ac:dyDescent="0.2">
      <c r="B518" s="18">
        <f t="shared" ref="B518:B581" ca="1" si="169">DATE(YEAR(B517),MONTH(B517)+1,1)</f>
        <v>59993</v>
      </c>
      <c r="C518" s="9">
        <f t="shared" si="154"/>
        <v>514</v>
      </c>
      <c r="D518" s="9"/>
      <c r="E518" s="13">
        <f t="shared" ref="E518:E581" si="170">IF($AE$33,IF($AE$34,$E517*(1+Inflação)*(1+Crescimento_Salário),$E517*(1+Inflação)),IF($AE$34,$E517*(1+Crescimento_Salário),$E517))</f>
        <v>2000</v>
      </c>
      <c r="F518" s="14">
        <f t="shared" si="155"/>
        <v>1078000</v>
      </c>
      <c r="G518" s="15">
        <f t="shared" si="156"/>
        <v>0.11359134983295013</v>
      </c>
      <c r="H518" s="13">
        <f t="shared" si="157"/>
        <v>60326.383852823623</v>
      </c>
      <c r="I518" s="13">
        <f t="shared" si="158"/>
        <v>8360468.9914278183</v>
      </c>
      <c r="J518" s="15">
        <f t="shared" si="159"/>
        <v>0.88640865016704984</v>
      </c>
      <c r="K518" s="13">
        <f t="shared" si="160"/>
        <v>8412159.2558353245</v>
      </c>
      <c r="L518" s="13">
        <f t="shared" si="161"/>
        <v>1025452074.7942412</v>
      </c>
      <c r="M518" s="15">
        <f t="shared" si="162"/>
        <v>0.88640865016704984</v>
      </c>
      <c r="N518" s="13">
        <f t="shared" si="163"/>
        <v>0</v>
      </c>
      <c r="O518" s="13">
        <f t="shared" si="164"/>
        <v>-51690.264407502487</v>
      </c>
      <c r="P518" s="15">
        <f t="shared" si="165"/>
        <v>-5.4765518067017502E-3</v>
      </c>
      <c r="Q518" s="7">
        <f t="shared" si="166"/>
        <v>9438468.991427822</v>
      </c>
      <c r="R518" s="7">
        <f t="shared" si="167"/>
        <v>9490159.2558353245</v>
      </c>
      <c r="S518" s="13">
        <f>IF('BANCO DE DADOS'!$AD$32="Sim",R518,Q518)</f>
        <v>9490159.2558353245</v>
      </c>
      <c r="T518" s="9">
        <f t="shared" si="168"/>
        <v>514</v>
      </c>
      <c r="U518" s="18">
        <f t="shared" ref="U518:U581" ca="1" si="171">DATE(YEAR(U517),MONTH(U517)+1,1)</f>
        <v>60023</v>
      </c>
    </row>
    <row r="519" spans="2:21" x14ac:dyDescent="0.2">
      <c r="B519" s="18">
        <f t="shared" ca="1" si="169"/>
        <v>60023</v>
      </c>
      <c r="C519" s="9">
        <f t="shared" ref="C519:C582" si="172">C518+1</f>
        <v>515</v>
      </c>
      <c r="D519" s="9"/>
      <c r="E519" s="13">
        <f t="shared" si="170"/>
        <v>2000</v>
      </c>
      <c r="F519" s="14">
        <f t="shared" si="155"/>
        <v>1080000</v>
      </c>
      <c r="G519" s="15">
        <f t="shared" si="156"/>
        <v>0.11305074443285069</v>
      </c>
      <c r="H519" s="13">
        <f t="shared" si="157"/>
        <v>60727.393683180315</v>
      </c>
      <c r="I519" s="13">
        <f t="shared" si="158"/>
        <v>8421196.3851109985</v>
      </c>
      <c r="J519" s="15">
        <f t="shared" si="159"/>
        <v>0.88694925556714932</v>
      </c>
      <c r="K519" s="13">
        <f t="shared" si="160"/>
        <v>8473232.0942963175</v>
      </c>
      <c r="L519" s="13">
        <f t="shared" si="161"/>
        <v>1033925306.8885375</v>
      </c>
      <c r="M519" s="15">
        <f t="shared" si="162"/>
        <v>0.88694925556714932</v>
      </c>
      <c r="N519" s="13">
        <f t="shared" si="163"/>
        <v>0</v>
      </c>
      <c r="O519" s="13">
        <f t="shared" si="164"/>
        <v>-52035.709185315296</v>
      </c>
      <c r="P519" s="15">
        <f t="shared" si="165"/>
        <v>-5.4767533556993589E-3</v>
      </c>
      <c r="Q519" s="7">
        <f t="shared" si="166"/>
        <v>9501196.3851110023</v>
      </c>
      <c r="R519" s="7">
        <f t="shared" si="167"/>
        <v>9553232.0942963175</v>
      </c>
      <c r="S519" s="13">
        <f>IF('BANCO DE DADOS'!$AD$32="Sim",R519,Q519)</f>
        <v>9553232.0942963175</v>
      </c>
      <c r="T519" s="9">
        <f t="shared" si="168"/>
        <v>515</v>
      </c>
      <c r="U519" s="18">
        <f t="shared" ca="1" si="171"/>
        <v>60054</v>
      </c>
    </row>
    <row r="520" spans="2:21" x14ac:dyDescent="0.2">
      <c r="B520" s="18">
        <f t="shared" ca="1" si="169"/>
        <v>60054</v>
      </c>
      <c r="C520" s="9">
        <f t="shared" si="172"/>
        <v>516</v>
      </c>
      <c r="D520" s="9">
        <v>43</v>
      </c>
      <c r="E520" s="13">
        <f t="shared" si="170"/>
        <v>2000</v>
      </c>
      <c r="F520" s="14">
        <f t="shared" si="155"/>
        <v>1082000</v>
      </c>
      <c r="G520" s="15">
        <f t="shared" si="156"/>
        <v>0.11251248255843724</v>
      </c>
      <c r="H520" s="13">
        <f t="shared" si="157"/>
        <v>61130.983622859938</v>
      </c>
      <c r="I520" s="13">
        <f t="shared" si="158"/>
        <v>8482327.3687338587</v>
      </c>
      <c r="J520" s="15">
        <f t="shared" si="159"/>
        <v>0.88748751744156273</v>
      </c>
      <c r="K520" s="13">
        <f t="shared" si="160"/>
        <v>8534710.7452990916</v>
      </c>
      <c r="L520" s="13">
        <f t="shared" si="161"/>
        <v>1042460017.6338366</v>
      </c>
      <c r="M520" s="15">
        <f t="shared" si="162"/>
        <v>0.88748751744156273</v>
      </c>
      <c r="N520" s="13">
        <f t="shared" si="163"/>
        <v>0</v>
      </c>
      <c r="O520" s="13">
        <f t="shared" si="164"/>
        <v>-52383.376565229148</v>
      </c>
      <c r="P520" s="15">
        <f t="shared" si="165"/>
        <v>-5.4769535321921676E-3</v>
      </c>
      <c r="Q520" s="7">
        <f t="shared" si="166"/>
        <v>9564327.3687338624</v>
      </c>
      <c r="R520" s="7">
        <f t="shared" si="167"/>
        <v>9616710.7452990916</v>
      </c>
      <c r="S520" s="13">
        <f>IF('BANCO DE DADOS'!$AD$32="Sim",R520,Q520)</f>
        <v>9616710.7452990916</v>
      </c>
      <c r="T520" s="9">
        <f t="shared" si="168"/>
        <v>516</v>
      </c>
      <c r="U520" s="18">
        <f t="shared" ca="1" si="171"/>
        <v>60084</v>
      </c>
    </row>
    <row r="521" spans="2:21" x14ac:dyDescent="0.2">
      <c r="B521" s="18">
        <f t="shared" ca="1" si="169"/>
        <v>60084</v>
      </c>
      <c r="C521" s="9">
        <f t="shared" si="172"/>
        <v>517</v>
      </c>
      <c r="D521" s="9"/>
      <c r="E521" s="13">
        <f t="shared" si="170"/>
        <v>2000</v>
      </c>
      <c r="F521" s="14">
        <f t="shared" si="155"/>
        <v>1084000</v>
      </c>
      <c r="G521" s="15">
        <f t="shared" si="156"/>
        <v>0.11197655559833757</v>
      </c>
      <c r="H521" s="13">
        <f t="shared" si="157"/>
        <v>61537.170272363554</v>
      </c>
      <c r="I521" s="13">
        <f t="shared" si="158"/>
        <v>8543864.539006222</v>
      </c>
      <c r="J521" s="15">
        <f t="shared" si="159"/>
        <v>0.88802344440166248</v>
      </c>
      <c r="K521" s="13">
        <f t="shared" si="160"/>
        <v>8596597.8198537603</v>
      </c>
      <c r="L521" s="13">
        <f t="shared" si="161"/>
        <v>1051056615.4536904</v>
      </c>
      <c r="M521" s="15">
        <f t="shared" si="162"/>
        <v>0.88802344440166248</v>
      </c>
      <c r="N521" s="13">
        <f t="shared" si="163"/>
        <v>0</v>
      </c>
      <c r="O521" s="13">
        <f t="shared" si="164"/>
        <v>-52733.280847534537</v>
      </c>
      <c r="P521" s="15">
        <f t="shared" si="165"/>
        <v>-5.4771523460775224E-3</v>
      </c>
      <c r="Q521" s="7">
        <f t="shared" si="166"/>
        <v>9627864.5390062258</v>
      </c>
      <c r="R521" s="7">
        <f t="shared" si="167"/>
        <v>9680597.8198537603</v>
      </c>
      <c r="S521" s="13">
        <f>IF('BANCO DE DADOS'!$AD$32="Sim",R521,Q521)</f>
        <v>9680597.8198537603</v>
      </c>
      <c r="T521" s="9">
        <f t="shared" si="168"/>
        <v>517</v>
      </c>
      <c r="U521" s="18">
        <f t="shared" ca="1" si="171"/>
        <v>60115</v>
      </c>
    </row>
    <row r="522" spans="2:21" x14ac:dyDescent="0.2">
      <c r="B522" s="18">
        <f t="shared" ca="1" si="169"/>
        <v>60115</v>
      </c>
      <c r="C522" s="9">
        <f t="shared" si="172"/>
        <v>518</v>
      </c>
      <c r="D522" s="9"/>
      <c r="E522" s="13">
        <f t="shared" si="170"/>
        <v>2000</v>
      </c>
      <c r="F522" s="14">
        <f t="shared" si="155"/>
        <v>1086000</v>
      </c>
      <c r="G522" s="15">
        <f t="shared" si="156"/>
        <v>0.11144295496263674</v>
      </c>
      <c r="H522" s="13">
        <f t="shared" si="157"/>
        <v>61945.970339000349</v>
      </c>
      <c r="I522" s="13">
        <f t="shared" si="158"/>
        <v>8605810.5093452223</v>
      </c>
      <c r="J522" s="15">
        <f t="shared" si="159"/>
        <v>0.88855704503736321</v>
      </c>
      <c r="K522" s="13">
        <f t="shared" si="160"/>
        <v>8658895.9457697533</v>
      </c>
      <c r="L522" s="13">
        <f t="shared" si="161"/>
        <v>1059715511.3994602</v>
      </c>
      <c r="M522" s="15">
        <f t="shared" si="162"/>
        <v>0.88855704503736321</v>
      </c>
      <c r="N522" s="13">
        <f t="shared" si="163"/>
        <v>0</v>
      </c>
      <c r="O522" s="13">
        <f t="shared" si="164"/>
        <v>-53085.436424527317</v>
      </c>
      <c r="P522" s="15">
        <f t="shared" si="165"/>
        <v>-5.4773498071738246E-3</v>
      </c>
      <c r="Q522" s="7">
        <f t="shared" si="166"/>
        <v>9691810.509345226</v>
      </c>
      <c r="R522" s="7">
        <f t="shared" si="167"/>
        <v>9744895.9457697533</v>
      </c>
      <c r="S522" s="13">
        <f>IF('BANCO DE DADOS'!$AD$32="Sim",R522,Q522)</f>
        <v>9744895.9457697533</v>
      </c>
      <c r="T522" s="9">
        <f t="shared" si="168"/>
        <v>518</v>
      </c>
      <c r="U522" s="18">
        <f t="shared" ca="1" si="171"/>
        <v>60146</v>
      </c>
    </row>
    <row r="523" spans="2:21" x14ac:dyDescent="0.2">
      <c r="B523" s="18">
        <f t="shared" ca="1" si="169"/>
        <v>60146</v>
      </c>
      <c r="C523" s="9">
        <f t="shared" si="172"/>
        <v>519</v>
      </c>
      <c r="D523" s="9"/>
      <c r="E523" s="13">
        <f t="shared" si="170"/>
        <v>2000</v>
      </c>
      <c r="F523" s="14">
        <f t="shared" si="155"/>
        <v>1088000</v>
      </c>
      <c r="G523" s="15">
        <f t="shared" si="156"/>
        <v>0.11091167208288989</v>
      </c>
      <c r="H523" s="13">
        <f t="shared" si="157"/>
        <v>62357.400637574865</v>
      </c>
      <c r="I523" s="13">
        <f t="shared" si="158"/>
        <v>8668167.9099827968</v>
      </c>
      <c r="J523" s="15">
        <f t="shared" si="159"/>
        <v>0.88908832791711012</v>
      </c>
      <c r="K523" s="13">
        <f t="shared" si="160"/>
        <v>8721607.7677639071</v>
      </c>
      <c r="L523" s="13">
        <f t="shared" si="161"/>
        <v>1068437119.167224</v>
      </c>
      <c r="M523" s="15">
        <f t="shared" si="162"/>
        <v>0.88908832791711012</v>
      </c>
      <c r="N523" s="13">
        <f t="shared" si="163"/>
        <v>0</v>
      </c>
      <c r="O523" s="13">
        <f t="shared" si="164"/>
        <v>-53439.857781106606</v>
      </c>
      <c r="P523" s="15">
        <f t="shared" si="165"/>
        <v>-5.4775459252218647E-3</v>
      </c>
      <c r="Q523" s="7">
        <f t="shared" si="166"/>
        <v>9756167.9099828005</v>
      </c>
      <c r="R523" s="7">
        <f t="shared" si="167"/>
        <v>9809607.7677639071</v>
      </c>
      <c r="S523" s="13">
        <f>IF('BANCO DE DADOS'!$AD$32="Sim",R523,Q523)</f>
        <v>9809607.7677639071</v>
      </c>
      <c r="T523" s="9">
        <f t="shared" si="168"/>
        <v>519</v>
      </c>
      <c r="U523" s="18">
        <f t="shared" ca="1" si="171"/>
        <v>60176</v>
      </c>
    </row>
    <row r="524" spans="2:21" x14ac:dyDescent="0.2">
      <c r="B524" s="18">
        <f t="shared" ca="1" si="169"/>
        <v>60176</v>
      </c>
      <c r="C524" s="9">
        <f t="shared" si="172"/>
        <v>520</v>
      </c>
      <c r="D524" s="9"/>
      <c r="E524" s="13">
        <f t="shared" si="170"/>
        <v>2000</v>
      </c>
      <c r="F524" s="14">
        <f t="shared" si="155"/>
        <v>1090000</v>
      </c>
      <c r="G524" s="15">
        <f t="shared" si="156"/>
        <v>0.11038269841213461</v>
      </c>
      <c r="H524" s="13">
        <f t="shared" si="157"/>
        <v>62771.478091078578</v>
      </c>
      <c r="I524" s="13">
        <f t="shared" si="158"/>
        <v>8730939.3880738746</v>
      </c>
      <c r="J524" s="15">
        <f t="shared" si="159"/>
        <v>0.88961730158786545</v>
      </c>
      <c r="K524" s="13">
        <f t="shared" si="160"/>
        <v>8784735.9475692436</v>
      </c>
      <c r="L524" s="13">
        <f t="shared" si="161"/>
        <v>1077221855.1147933</v>
      </c>
      <c r="M524" s="15">
        <f t="shared" si="162"/>
        <v>0.88961730158786545</v>
      </c>
      <c r="N524" s="13">
        <f t="shared" si="163"/>
        <v>0</v>
      </c>
      <c r="O524" s="13">
        <f t="shared" si="164"/>
        <v>-53796.559495365247</v>
      </c>
      <c r="P524" s="15">
        <f t="shared" si="165"/>
        <v>-5.4777407098849885E-3</v>
      </c>
      <c r="Q524" s="7">
        <f t="shared" si="166"/>
        <v>9820939.3880738784</v>
      </c>
      <c r="R524" s="7">
        <f t="shared" si="167"/>
        <v>9874735.9475692436</v>
      </c>
      <c r="S524" s="13">
        <f>IF('BANCO DE DADOS'!$AD$32="Sim",R524,Q524)</f>
        <v>9874735.9475692436</v>
      </c>
      <c r="T524" s="9">
        <f t="shared" si="168"/>
        <v>520</v>
      </c>
      <c r="U524" s="18">
        <f t="shared" ca="1" si="171"/>
        <v>60207</v>
      </c>
    </row>
    <row r="525" spans="2:21" x14ac:dyDescent="0.2">
      <c r="B525" s="18">
        <f t="shared" ca="1" si="169"/>
        <v>60207</v>
      </c>
      <c r="C525" s="9">
        <f t="shared" si="172"/>
        <v>521</v>
      </c>
      <c r="D525" s="9"/>
      <c r="E525" s="13">
        <f t="shared" si="170"/>
        <v>2000</v>
      </c>
      <c r="F525" s="14">
        <f t="shared" si="155"/>
        <v>1092000</v>
      </c>
      <c r="G525" s="15">
        <f t="shared" si="156"/>
        <v>0.10985602542490269</v>
      </c>
      <c r="H525" s="13">
        <f t="shared" si="157"/>
        <v>63188.219731385994</v>
      </c>
      <c r="I525" s="13">
        <f t="shared" si="158"/>
        <v>8794127.6078052614</v>
      </c>
      <c r="J525" s="15">
        <f t="shared" si="159"/>
        <v>0.89014397457509731</v>
      </c>
      <c r="K525" s="13">
        <f t="shared" si="160"/>
        <v>8848283.1640444566</v>
      </c>
      <c r="L525" s="13">
        <f t="shared" si="161"/>
        <v>1086070138.2788377</v>
      </c>
      <c r="M525" s="15">
        <f t="shared" si="162"/>
        <v>0.89014397457509731</v>
      </c>
      <c r="N525" s="13">
        <f t="shared" si="163"/>
        <v>0</v>
      </c>
      <c r="O525" s="13">
        <f t="shared" si="164"/>
        <v>-54155.556239191443</v>
      </c>
      <c r="P525" s="15">
        <f t="shared" si="165"/>
        <v>-5.477934170750003E-3</v>
      </c>
      <c r="Q525" s="7">
        <f t="shared" si="166"/>
        <v>9886127.6078052651</v>
      </c>
      <c r="R525" s="7">
        <f t="shared" si="167"/>
        <v>9940283.1640444566</v>
      </c>
      <c r="S525" s="13">
        <f>IF('BANCO DE DADOS'!$AD$32="Sim",R525,Q525)</f>
        <v>9940283.1640444566</v>
      </c>
      <c r="T525" s="9">
        <f t="shared" si="168"/>
        <v>521</v>
      </c>
      <c r="U525" s="18">
        <f t="shared" ca="1" si="171"/>
        <v>60237</v>
      </c>
    </row>
    <row r="526" spans="2:21" x14ac:dyDescent="0.2">
      <c r="B526" s="18">
        <f t="shared" ca="1" si="169"/>
        <v>60237</v>
      </c>
      <c r="C526" s="9">
        <f t="shared" si="172"/>
        <v>522</v>
      </c>
      <c r="D526" s="9"/>
      <c r="E526" s="13">
        <f t="shared" si="170"/>
        <v>2000</v>
      </c>
      <c r="F526" s="14">
        <f t="shared" si="155"/>
        <v>1094000</v>
      </c>
      <c r="G526" s="15">
        <f t="shared" si="156"/>
        <v>0.10933164461723163</v>
      </c>
      <c r="H526" s="13">
        <f t="shared" si="157"/>
        <v>63607.642699955257</v>
      </c>
      <c r="I526" s="13">
        <f t="shared" si="158"/>
        <v>8857735.2505052164</v>
      </c>
      <c r="J526" s="15">
        <f t="shared" si="159"/>
        <v>0.89066835538276834</v>
      </c>
      <c r="K526" s="13">
        <f t="shared" si="160"/>
        <v>8912252.113284098</v>
      </c>
      <c r="L526" s="13">
        <f t="shared" si="161"/>
        <v>1094982390.3921218</v>
      </c>
      <c r="M526" s="15">
        <f t="shared" si="162"/>
        <v>0.89066835538276834</v>
      </c>
      <c r="N526" s="13">
        <f t="shared" si="163"/>
        <v>0</v>
      </c>
      <c r="O526" s="13">
        <f t="shared" si="164"/>
        <v>-54516.862778877839</v>
      </c>
      <c r="P526" s="15">
        <f t="shared" si="165"/>
        <v>-5.4781263173284455E-3</v>
      </c>
      <c r="Q526" s="7">
        <f t="shared" si="166"/>
        <v>9951735.2505052201</v>
      </c>
      <c r="R526" s="7">
        <f t="shared" si="167"/>
        <v>10006252.113284098</v>
      </c>
      <c r="S526" s="13">
        <f>IF('BANCO DE DADOS'!$AD$32="Sim",R526,Q526)</f>
        <v>10006252.113284098</v>
      </c>
      <c r="T526" s="9">
        <f t="shared" si="168"/>
        <v>522</v>
      </c>
      <c r="U526" s="18">
        <f t="shared" ca="1" si="171"/>
        <v>60268</v>
      </c>
    </row>
    <row r="527" spans="2:21" x14ac:dyDescent="0.2">
      <c r="B527" s="18">
        <f t="shared" ca="1" si="169"/>
        <v>60268</v>
      </c>
      <c r="C527" s="9">
        <f t="shared" si="172"/>
        <v>523</v>
      </c>
      <c r="D527" s="9"/>
      <c r="E527" s="13">
        <f t="shared" si="170"/>
        <v>2000</v>
      </c>
      <c r="F527" s="14">
        <f t="shared" si="155"/>
        <v>1096000</v>
      </c>
      <c r="G527" s="15">
        <f t="shared" si="156"/>
        <v>0.10880954750667539</v>
      </c>
      <c r="H527" s="13">
        <f t="shared" si="157"/>
        <v>64029.764248533116</v>
      </c>
      <c r="I527" s="13">
        <f t="shared" si="158"/>
        <v>8921765.0147537496</v>
      </c>
      <c r="J527" s="15">
        <f t="shared" si="159"/>
        <v>0.89119045249332463</v>
      </c>
      <c r="K527" s="13">
        <f t="shared" si="160"/>
        <v>8976645.5087294728</v>
      </c>
      <c r="L527" s="13">
        <f t="shared" si="161"/>
        <v>1103959035.9008512</v>
      </c>
      <c r="M527" s="15">
        <f t="shared" si="162"/>
        <v>0.89119045249332463</v>
      </c>
      <c r="N527" s="13">
        <f t="shared" si="163"/>
        <v>0</v>
      </c>
      <c r="O527" s="13">
        <f t="shared" si="164"/>
        <v>-54880.493975719437</v>
      </c>
      <c r="P527" s="15">
        <f t="shared" si="165"/>
        <v>-5.4783171590563062E-3</v>
      </c>
      <c r="Q527" s="7">
        <f t="shared" si="166"/>
        <v>10017765.014753753</v>
      </c>
      <c r="R527" s="7">
        <f t="shared" si="167"/>
        <v>10072645.508729473</v>
      </c>
      <c r="S527" s="13">
        <f>IF('BANCO DE DADOS'!$AD$32="Sim",R527,Q527)</f>
        <v>10072645.508729473</v>
      </c>
      <c r="T527" s="9">
        <f t="shared" si="168"/>
        <v>523</v>
      </c>
      <c r="U527" s="18">
        <f t="shared" ca="1" si="171"/>
        <v>60299</v>
      </c>
    </row>
    <row r="528" spans="2:21" x14ac:dyDescent="0.2">
      <c r="B528" s="18">
        <f t="shared" ca="1" si="169"/>
        <v>60299</v>
      </c>
      <c r="C528" s="9">
        <f t="shared" si="172"/>
        <v>524</v>
      </c>
      <c r="D528" s="9"/>
      <c r="E528" s="13">
        <f t="shared" si="170"/>
        <v>2000</v>
      </c>
      <c r="F528" s="14">
        <f t="shared" si="155"/>
        <v>1098000</v>
      </c>
      <c r="G528" s="15">
        <f t="shared" si="156"/>
        <v>0.10828972563231479</v>
      </c>
      <c r="H528" s="13">
        <f t="shared" si="157"/>
        <v>64454.601739864607</v>
      </c>
      <c r="I528" s="13">
        <f t="shared" si="158"/>
        <v>8986219.6164936144</v>
      </c>
      <c r="J528" s="15">
        <f t="shared" si="159"/>
        <v>0.89171027436768524</v>
      </c>
      <c r="K528" s="13">
        <f t="shared" si="160"/>
        <v>9041466.0812802482</v>
      </c>
      <c r="L528" s="13">
        <f t="shared" si="161"/>
        <v>1113000501.9821315</v>
      </c>
      <c r="M528" s="15">
        <f t="shared" si="162"/>
        <v>0.89171027436768524</v>
      </c>
      <c r="N528" s="13">
        <f t="shared" si="163"/>
        <v>0</v>
      </c>
      <c r="O528" s="13">
        <f t="shared" si="164"/>
        <v>-55246.464786630124</v>
      </c>
      <c r="P528" s="15">
        <f t="shared" si="165"/>
        <v>-5.4785067052952443E-3</v>
      </c>
      <c r="Q528" s="7">
        <f t="shared" si="166"/>
        <v>10084219.616493618</v>
      </c>
      <c r="R528" s="7">
        <f t="shared" si="167"/>
        <v>10139466.081280248</v>
      </c>
      <c r="S528" s="13">
        <f>IF('BANCO DE DADOS'!$AD$32="Sim",R528,Q528)</f>
        <v>10139466.081280248</v>
      </c>
      <c r="T528" s="9">
        <f t="shared" si="168"/>
        <v>524</v>
      </c>
      <c r="U528" s="18">
        <f t="shared" ca="1" si="171"/>
        <v>60327</v>
      </c>
    </row>
    <row r="529" spans="2:21" x14ac:dyDescent="0.2">
      <c r="B529" s="18">
        <f t="shared" ca="1" si="169"/>
        <v>60327</v>
      </c>
      <c r="C529" s="9">
        <f t="shared" si="172"/>
        <v>525</v>
      </c>
      <c r="D529" s="9"/>
      <c r="E529" s="13">
        <f t="shared" si="170"/>
        <v>2000</v>
      </c>
      <c r="F529" s="14">
        <f t="shared" si="155"/>
        <v>1100000</v>
      </c>
      <c r="G529" s="15">
        <f t="shared" si="156"/>
        <v>0.10777217055476741</v>
      </c>
      <c r="H529" s="13">
        <f t="shared" si="157"/>
        <v>64882.172648407184</v>
      </c>
      <c r="I529" s="13">
        <f t="shared" si="158"/>
        <v>9051101.7891420219</v>
      </c>
      <c r="J529" s="15">
        <f t="shared" si="159"/>
        <v>0.8922278294452326</v>
      </c>
      <c r="K529" s="13">
        <f t="shared" si="160"/>
        <v>9106716.579406783</v>
      </c>
      <c r="L529" s="13">
        <f t="shared" si="161"/>
        <v>1122107218.5615382</v>
      </c>
      <c r="M529" s="15">
        <f t="shared" si="162"/>
        <v>0.8922278294452326</v>
      </c>
      <c r="N529" s="13">
        <f t="shared" si="163"/>
        <v>0</v>
      </c>
      <c r="O529" s="13">
        <f t="shared" si="164"/>
        <v>-55614.79026475735</v>
      </c>
      <c r="P529" s="15">
        <f t="shared" si="165"/>
        <v>-5.4786949653332093E-3</v>
      </c>
      <c r="Q529" s="7">
        <f t="shared" si="166"/>
        <v>10151101.789142026</v>
      </c>
      <c r="R529" s="7">
        <f t="shared" si="167"/>
        <v>10206716.579406783</v>
      </c>
      <c r="S529" s="13">
        <f>IF('BANCO DE DADOS'!$AD$32="Sim",R529,Q529)</f>
        <v>10206716.579406783</v>
      </c>
      <c r="T529" s="9">
        <f t="shared" si="168"/>
        <v>525</v>
      </c>
      <c r="U529" s="18">
        <f t="shared" ca="1" si="171"/>
        <v>60358</v>
      </c>
    </row>
    <row r="530" spans="2:21" x14ac:dyDescent="0.2">
      <c r="B530" s="18">
        <f t="shared" ca="1" si="169"/>
        <v>60358</v>
      </c>
      <c r="C530" s="9">
        <f t="shared" si="172"/>
        <v>526</v>
      </c>
      <c r="D530" s="9"/>
      <c r="E530" s="13">
        <f t="shared" si="170"/>
        <v>2000</v>
      </c>
      <c r="F530" s="14">
        <f t="shared" si="155"/>
        <v>1102000</v>
      </c>
      <c r="G530" s="15">
        <f t="shared" si="156"/>
        <v>0.10725687385619698</v>
      </c>
      <c r="H530" s="13">
        <f t="shared" si="157"/>
        <v>65312.494561049483</v>
      </c>
      <c r="I530" s="13">
        <f t="shared" si="158"/>
        <v>9116414.283703072</v>
      </c>
      <c r="J530" s="15">
        <f t="shared" si="159"/>
        <v>0.89274312614380302</v>
      </c>
      <c r="K530" s="13">
        <f t="shared" si="160"/>
        <v>9172399.7692631781</v>
      </c>
      <c r="L530" s="13">
        <f t="shared" si="161"/>
        <v>1131279618.3308015</v>
      </c>
      <c r="M530" s="15">
        <f t="shared" si="162"/>
        <v>0.89274312614380302</v>
      </c>
      <c r="N530" s="13">
        <f t="shared" si="163"/>
        <v>0</v>
      </c>
      <c r="O530" s="13">
        <f t="shared" si="164"/>
        <v>-55985.485560102388</v>
      </c>
      <c r="P530" s="15">
        <f t="shared" si="165"/>
        <v>-5.4788819483852121E-3</v>
      </c>
      <c r="Q530" s="7">
        <f t="shared" si="166"/>
        <v>10218414.283703076</v>
      </c>
      <c r="R530" s="7">
        <f t="shared" si="167"/>
        <v>10274399.769263178</v>
      </c>
      <c r="S530" s="13">
        <f>IF('BANCO DE DADOS'!$AD$32="Sim",R530,Q530)</f>
        <v>10274399.769263178</v>
      </c>
      <c r="T530" s="9">
        <f t="shared" si="168"/>
        <v>526</v>
      </c>
      <c r="U530" s="18">
        <f t="shared" ca="1" si="171"/>
        <v>60388</v>
      </c>
    </row>
    <row r="531" spans="2:21" x14ac:dyDescent="0.2">
      <c r="B531" s="18">
        <f t="shared" ca="1" si="169"/>
        <v>60388</v>
      </c>
      <c r="C531" s="9">
        <f t="shared" si="172"/>
        <v>527</v>
      </c>
      <c r="D531" s="9"/>
      <c r="E531" s="13">
        <f t="shared" si="170"/>
        <v>2000</v>
      </c>
      <c r="F531" s="14">
        <f t="shared" si="155"/>
        <v>1104000</v>
      </c>
      <c r="G531" s="15">
        <f t="shared" si="156"/>
        <v>0.10674382714032229</v>
      </c>
      <c r="H531" s="13">
        <f t="shared" si="157"/>
        <v>65745.585177834728</v>
      </c>
      <c r="I531" s="13">
        <f t="shared" si="158"/>
        <v>9182159.8688809071</v>
      </c>
      <c r="J531" s="15">
        <f t="shared" si="159"/>
        <v>0.89325617285967773</v>
      </c>
      <c r="K531" s="13">
        <f t="shared" si="160"/>
        <v>9238518.4348010495</v>
      </c>
      <c r="L531" s="13">
        <f t="shared" si="161"/>
        <v>1140518136.7656026</v>
      </c>
      <c r="M531" s="15">
        <f t="shared" si="162"/>
        <v>0.89325617285967773</v>
      </c>
      <c r="N531" s="13">
        <f t="shared" si="163"/>
        <v>0</v>
      </c>
      <c r="O531" s="13">
        <f t="shared" si="164"/>
        <v>-56358.565920138732</v>
      </c>
      <c r="P531" s="15">
        <f t="shared" si="165"/>
        <v>-5.4790676635935176E-3</v>
      </c>
      <c r="Q531" s="7">
        <f t="shared" si="166"/>
        <v>10286159.868880911</v>
      </c>
      <c r="R531" s="7">
        <f t="shared" si="167"/>
        <v>10342518.43480105</v>
      </c>
      <c r="S531" s="13">
        <f>IF('BANCO DE DADOS'!$AD$32="Sim",R531,Q531)</f>
        <v>10342518.43480105</v>
      </c>
      <c r="T531" s="9">
        <f t="shared" si="168"/>
        <v>527</v>
      </c>
      <c r="U531" s="18">
        <f t="shared" ca="1" si="171"/>
        <v>60419</v>
      </c>
    </row>
    <row r="532" spans="2:21" x14ac:dyDescent="0.2">
      <c r="B532" s="18">
        <f t="shared" ca="1" si="169"/>
        <v>60419</v>
      </c>
      <c r="C532" s="9">
        <f t="shared" si="172"/>
        <v>528</v>
      </c>
      <c r="D532" s="9">
        <v>44</v>
      </c>
      <c r="E532" s="13">
        <f t="shared" si="170"/>
        <v>2000</v>
      </c>
      <c r="F532" s="14">
        <f t="shared" si="155"/>
        <v>1106000</v>
      </c>
      <c r="G532" s="15">
        <f t="shared" si="156"/>
        <v>0.10623302203242566</v>
      </c>
      <c r="H532" s="13">
        <f t="shared" si="157"/>
        <v>66181.462312688716</v>
      </c>
      <c r="I532" s="13">
        <f t="shared" si="158"/>
        <v>9248341.3311935961</v>
      </c>
      <c r="J532" s="15">
        <f t="shared" si="159"/>
        <v>0.89376697796757432</v>
      </c>
      <c r="K532" s="13">
        <f t="shared" si="160"/>
        <v>9305075.3778840452</v>
      </c>
      <c r="L532" s="13">
        <f t="shared" si="161"/>
        <v>1149823212.1434867</v>
      </c>
      <c r="M532" s="15">
        <f t="shared" si="162"/>
        <v>0.89376697796757432</v>
      </c>
      <c r="N532" s="13">
        <f t="shared" si="163"/>
        <v>0</v>
      </c>
      <c r="O532" s="13">
        <f t="shared" si="164"/>
        <v>-56734.046690445393</v>
      </c>
      <c r="P532" s="15">
        <f t="shared" si="165"/>
        <v>-5.4792521200288996E-3</v>
      </c>
      <c r="Q532" s="7">
        <f t="shared" si="166"/>
        <v>10354341.3311936</v>
      </c>
      <c r="R532" s="7">
        <f t="shared" si="167"/>
        <v>10411075.377884045</v>
      </c>
      <c r="S532" s="13">
        <f>IF('BANCO DE DADOS'!$AD$32="Sim",R532,Q532)</f>
        <v>10411075.377884045</v>
      </c>
      <c r="T532" s="9">
        <f t="shared" si="168"/>
        <v>528</v>
      </c>
      <c r="U532" s="18">
        <f t="shared" ca="1" si="171"/>
        <v>60449</v>
      </c>
    </row>
    <row r="533" spans="2:21" x14ac:dyDescent="0.2">
      <c r="B533" s="18">
        <f t="shared" ca="1" si="169"/>
        <v>60449</v>
      </c>
      <c r="C533" s="9">
        <f t="shared" si="172"/>
        <v>529</v>
      </c>
      <c r="D533" s="9"/>
      <c r="E533" s="13">
        <f t="shared" si="170"/>
        <v>2000</v>
      </c>
      <c r="F533" s="14">
        <f t="shared" si="155"/>
        <v>1108000</v>
      </c>
      <c r="G533" s="15">
        <f t="shared" si="156"/>
        <v>0.10572445017936075</v>
      </c>
      <c r="H533" s="13">
        <f t="shared" si="157"/>
        <v>66620.143894152628</v>
      </c>
      <c r="I533" s="13">
        <f t="shared" si="158"/>
        <v>9314961.4750877488</v>
      </c>
      <c r="J533" s="15">
        <f t="shared" si="159"/>
        <v>0.89427554982063928</v>
      </c>
      <c r="K533" s="13">
        <f t="shared" si="160"/>
        <v>9372073.4184030872</v>
      </c>
      <c r="L533" s="13">
        <f t="shared" si="161"/>
        <v>1159195285.5618899</v>
      </c>
      <c r="M533" s="15">
        <f t="shared" si="162"/>
        <v>0.89427554982063928</v>
      </c>
      <c r="N533" s="13">
        <f t="shared" si="163"/>
        <v>0</v>
      </c>
      <c r="O533" s="13">
        <f t="shared" si="164"/>
        <v>-57111.943315334618</v>
      </c>
      <c r="P533" s="15">
        <f t="shared" si="165"/>
        <v>-5.4794353266909472E-3</v>
      </c>
      <c r="Q533" s="7">
        <f t="shared" si="166"/>
        <v>10422961.475087753</v>
      </c>
      <c r="R533" s="7">
        <f t="shared" si="167"/>
        <v>10480073.418403087</v>
      </c>
      <c r="S533" s="13">
        <f>IF('BANCO DE DADOS'!$AD$32="Sim",R533,Q533)</f>
        <v>10480073.418403087</v>
      </c>
      <c r="T533" s="9">
        <f t="shared" si="168"/>
        <v>529</v>
      </c>
      <c r="U533" s="18">
        <f t="shared" ca="1" si="171"/>
        <v>60480</v>
      </c>
    </row>
    <row r="534" spans="2:21" x14ac:dyDescent="0.2">
      <c r="B534" s="18">
        <f t="shared" ca="1" si="169"/>
        <v>60480</v>
      </c>
      <c r="C534" s="9">
        <f t="shared" si="172"/>
        <v>530</v>
      </c>
      <c r="D534" s="9"/>
      <c r="E534" s="13">
        <f t="shared" si="170"/>
        <v>2000</v>
      </c>
      <c r="F534" s="14">
        <f t="shared" si="155"/>
        <v>1110000</v>
      </c>
      <c r="G534" s="15">
        <f t="shared" si="156"/>
        <v>0.10521810324956019</v>
      </c>
      <c r="H534" s="13">
        <f t="shared" si="157"/>
        <v>67061.647966120363</v>
      </c>
      <c r="I534" s="13">
        <f t="shared" si="158"/>
        <v>9382023.1230538692</v>
      </c>
      <c r="J534" s="15">
        <f t="shared" si="159"/>
        <v>0.89478189675043984</v>
      </c>
      <c r="K534" s="13">
        <f t="shared" si="160"/>
        <v>9439515.39439236</v>
      </c>
      <c r="L534" s="13">
        <f t="shared" si="161"/>
        <v>1168634800.9562821</v>
      </c>
      <c r="M534" s="15">
        <f t="shared" si="162"/>
        <v>0.89478189675043984</v>
      </c>
      <c r="N534" s="13">
        <f t="shared" si="163"/>
        <v>0</v>
      </c>
      <c r="O534" s="13">
        <f t="shared" si="164"/>
        <v>-57492.271338487044</v>
      </c>
      <c r="P534" s="15">
        <f t="shared" si="165"/>
        <v>-5.4796172925086909E-3</v>
      </c>
      <c r="Q534" s="7">
        <f t="shared" si="166"/>
        <v>10492023.123053873</v>
      </c>
      <c r="R534" s="7">
        <f t="shared" si="167"/>
        <v>10549515.39439236</v>
      </c>
      <c r="S534" s="13">
        <f>IF('BANCO DE DADOS'!$AD$32="Sim",R534,Q534)</f>
        <v>10549515.39439236</v>
      </c>
      <c r="T534" s="9">
        <f t="shared" si="168"/>
        <v>530</v>
      </c>
      <c r="U534" s="18">
        <f t="shared" ca="1" si="171"/>
        <v>60511</v>
      </c>
    </row>
    <row r="535" spans="2:21" x14ac:dyDescent="0.2">
      <c r="B535" s="18">
        <f t="shared" ca="1" si="169"/>
        <v>60511</v>
      </c>
      <c r="C535" s="9">
        <f t="shared" si="172"/>
        <v>531</v>
      </c>
      <c r="D535" s="9"/>
      <c r="E535" s="13">
        <f t="shared" si="170"/>
        <v>2000</v>
      </c>
      <c r="F535" s="14">
        <f t="shared" si="155"/>
        <v>1112000</v>
      </c>
      <c r="G535" s="15">
        <f t="shared" si="156"/>
        <v>0.10471397293304252</v>
      </c>
      <c r="H535" s="13">
        <f t="shared" si="157"/>
        <v>67505.992688580838</v>
      </c>
      <c r="I535" s="13">
        <f t="shared" si="158"/>
        <v>9449529.1157424506</v>
      </c>
      <c r="J535" s="15">
        <f t="shared" si="159"/>
        <v>0.89528602706695748</v>
      </c>
      <c r="K535" s="13">
        <f t="shared" si="160"/>
        <v>9507404.1621460449</v>
      </c>
      <c r="L535" s="13">
        <f t="shared" si="161"/>
        <v>1178142205.1184282</v>
      </c>
      <c r="M535" s="15">
        <f t="shared" si="162"/>
        <v>0.89528602706695748</v>
      </c>
      <c r="N535" s="13">
        <f t="shared" si="163"/>
        <v>0</v>
      </c>
      <c r="O535" s="13">
        <f t="shared" si="164"/>
        <v>-57875.04640359059</v>
      </c>
      <c r="P535" s="15">
        <f t="shared" si="165"/>
        <v>-5.4797980263411967E-3</v>
      </c>
      <c r="Q535" s="7">
        <f t="shared" si="166"/>
        <v>10561529.115742454</v>
      </c>
      <c r="R535" s="7">
        <f t="shared" si="167"/>
        <v>10619404.162146045</v>
      </c>
      <c r="S535" s="13">
        <f>IF('BANCO DE DADOS'!$AD$32="Sim",R535,Q535)</f>
        <v>10619404.162146045</v>
      </c>
      <c r="T535" s="9">
        <f t="shared" si="168"/>
        <v>531</v>
      </c>
      <c r="U535" s="18">
        <f t="shared" ca="1" si="171"/>
        <v>60541</v>
      </c>
    </row>
    <row r="536" spans="2:21" x14ac:dyDescent="0.2">
      <c r="B536" s="18">
        <f t="shared" ca="1" si="169"/>
        <v>60541</v>
      </c>
      <c r="C536" s="9">
        <f t="shared" si="172"/>
        <v>532</v>
      </c>
      <c r="D536" s="9"/>
      <c r="E536" s="13">
        <f t="shared" si="170"/>
        <v>2000</v>
      </c>
      <c r="F536" s="14">
        <f t="shared" si="155"/>
        <v>1114000</v>
      </c>
      <c r="G536" s="15">
        <f t="shared" si="156"/>
        <v>0.10421205094141864</v>
      </c>
      <c r="H536" s="13">
        <f t="shared" si="157"/>
        <v>67953.196338364854</v>
      </c>
      <c r="I536" s="13">
        <f t="shared" si="158"/>
        <v>9517482.3120808154</v>
      </c>
      <c r="J536" s="15">
        <f t="shared" si="159"/>
        <v>0.89578794905858139</v>
      </c>
      <c r="K536" s="13">
        <f t="shared" si="160"/>
        <v>9575742.5963358078</v>
      </c>
      <c r="L536" s="13">
        <f t="shared" si="161"/>
        <v>1187717947.7147641</v>
      </c>
      <c r="M536" s="15">
        <f t="shared" si="162"/>
        <v>0.89578794905858139</v>
      </c>
      <c r="N536" s="13">
        <f t="shared" si="163"/>
        <v>0</v>
      </c>
      <c r="O536" s="13">
        <f t="shared" si="164"/>
        <v>-58260.284254988655</v>
      </c>
      <c r="P536" s="15">
        <f t="shared" si="165"/>
        <v>-5.4799775369786426E-3</v>
      </c>
      <c r="Q536" s="7">
        <f t="shared" si="166"/>
        <v>10631482.312080819</v>
      </c>
      <c r="R536" s="7">
        <f t="shared" si="167"/>
        <v>10689742.596335808</v>
      </c>
      <c r="S536" s="13">
        <f>IF('BANCO DE DADOS'!$AD$32="Sim",R536,Q536)</f>
        <v>10689742.596335808</v>
      </c>
      <c r="T536" s="9">
        <f t="shared" si="168"/>
        <v>532</v>
      </c>
      <c r="U536" s="18">
        <f t="shared" ca="1" si="171"/>
        <v>60572</v>
      </c>
    </row>
    <row r="537" spans="2:21" x14ac:dyDescent="0.2">
      <c r="B537" s="18">
        <f t="shared" ca="1" si="169"/>
        <v>60572</v>
      </c>
      <c r="C537" s="9">
        <f t="shared" si="172"/>
        <v>533</v>
      </c>
      <c r="D537" s="9"/>
      <c r="E537" s="13">
        <f t="shared" si="170"/>
        <v>2000</v>
      </c>
      <c r="F537" s="14">
        <f t="shared" si="155"/>
        <v>1116000</v>
      </c>
      <c r="G537" s="15">
        <f t="shared" si="156"/>
        <v>0.10371232900789794</v>
      </c>
      <c r="H537" s="13">
        <f t="shared" si="157"/>
        <v>68403.277309896876</v>
      </c>
      <c r="I537" s="13">
        <f t="shared" si="158"/>
        <v>9585885.5893907119</v>
      </c>
      <c r="J537" s="15">
        <f t="shared" si="159"/>
        <v>0.89628767099210205</v>
      </c>
      <c r="K537" s="13">
        <f t="shared" si="160"/>
        <v>9644533.5901290383</v>
      </c>
      <c r="L537" s="13">
        <f t="shared" si="161"/>
        <v>1197362481.3048933</v>
      </c>
      <c r="M537" s="15">
        <f t="shared" si="162"/>
        <v>0.89628767099210205</v>
      </c>
      <c r="N537" s="13">
        <f t="shared" si="163"/>
        <v>0</v>
      </c>
      <c r="O537" s="13">
        <f t="shared" si="164"/>
        <v>-58648.000738322735</v>
      </c>
      <c r="P537" s="15">
        <f t="shared" si="165"/>
        <v>-5.4801558331424574E-3</v>
      </c>
      <c r="Q537" s="7">
        <f t="shared" si="166"/>
        <v>10701885.589390716</v>
      </c>
      <c r="R537" s="7">
        <f t="shared" si="167"/>
        <v>10760533.590129038</v>
      </c>
      <c r="S537" s="13">
        <f>IF('BANCO DE DADOS'!$AD$32="Sim",R537,Q537)</f>
        <v>10760533.590129038</v>
      </c>
      <c r="T537" s="9">
        <f t="shared" si="168"/>
        <v>533</v>
      </c>
      <c r="U537" s="18">
        <f t="shared" ca="1" si="171"/>
        <v>60602</v>
      </c>
    </row>
    <row r="538" spans="2:21" x14ac:dyDescent="0.2">
      <c r="B538" s="18">
        <f t="shared" ca="1" si="169"/>
        <v>60602</v>
      </c>
      <c r="C538" s="9">
        <f t="shared" si="172"/>
        <v>534</v>
      </c>
      <c r="D538" s="9"/>
      <c r="E538" s="13">
        <f t="shared" si="170"/>
        <v>2000</v>
      </c>
      <c r="F538" s="14">
        <f t="shared" si="155"/>
        <v>1118000</v>
      </c>
      <c r="G538" s="15">
        <f t="shared" si="156"/>
        <v>0.10321479888729379</v>
      </c>
      <c r="H538" s="13">
        <f t="shared" si="157"/>
        <v>68856.25411595167</v>
      </c>
      <c r="I538" s="13">
        <f t="shared" si="158"/>
        <v>9654741.843506664</v>
      </c>
      <c r="J538" s="15">
        <f t="shared" si="159"/>
        <v>0.89678520111270621</v>
      </c>
      <c r="K538" s="13">
        <f t="shared" si="160"/>
        <v>9713780.0553078521</v>
      </c>
      <c r="L538" s="13">
        <f t="shared" si="161"/>
        <v>1207076261.3602011</v>
      </c>
      <c r="M538" s="15">
        <f t="shared" si="162"/>
        <v>0.89678520111270621</v>
      </c>
      <c r="N538" s="13">
        <f t="shared" si="163"/>
        <v>0</v>
      </c>
      <c r="O538" s="13">
        <f t="shared" si="164"/>
        <v>-59038.211801184341</v>
      </c>
      <c r="P538" s="15">
        <f t="shared" si="165"/>
        <v>-5.4803329234859519E-3</v>
      </c>
      <c r="Q538" s="7">
        <f t="shared" si="166"/>
        <v>10772741.843506668</v>
      </c>
      <c r="R538" s="7">
        <f t="shared" si="167"/>
        <v>10831780.055307852</v>
      </c>
      <c r="S538" s="13">
        <f>IF('BANCO DE DADOS'!$AD$32="Sim",R538,Q538)</f>
        <v>10831780.055307852</v>
      </c>
      <c r="T538" s="9">
        <f t="shared" si="168"/>
        <v>534</v>
      </c>
      <c r="U538" s="18">
        <f t="shared" ca="1" si="171"/>
        <v>60633</v>
      </c>
    </row>
    <row r="539" spans="2:21" x14ac:dyDescent="0.2">
      <c r="B539" s="18">
        <f t="shared" ca="1" si="169"/>
        <v>60633</v>
      </c>
      <c r="C539" s="9">
        <f t="shared" si="172"/>
        <v>535</v>
      </c>
      <c r="D539" s="9"/>
      <c r="E539" s="13">
        <f t="shared" si="170"/>
        <v>2000</v>
      </c>
      <c r="F539" s="14">
        <f t="shared" si="155"/>
        <v>1120000</v>
      </c>
      <c r="G539" s="15">
        <f t="shared" si="156"/>
        <v>0.10271945235602875</v>
      </c>
      <c r="H539" s="13">
        <f t="shared" si="157"/>
        <v>69312.145388415767</v>
      </c>
      <c r="I539" s="13">
        <f t="shared" si="158"/>
        <v>9724053.9888950791</v>
      </c>
      <c r="J539" s="15">
        <f t="shared" si="159"/>
        <v>0.89728054764397125</v>
      </c>
      <c r="K539" s="13">
        <f t="shared" si="160"/>
        <v>9783484.9223888572</v>
      </c>
      <c r="L539" s="13">
        <f t="shared" si="161"/>
        <v>1216859746.2825899</v>
      </c>
      <c r="M539" s="15">
        <f t="shared" si="162"/>
        <v>0.89728054764397125</v>
      </c>
      <c r="N539" s="13">
        <f t="shared" si="163"/>
        <v>0</v>
      </c>
      <c r="O539" s="13">
        <f t="shared" si="164"/>
        <v>-59430.933493774384</v>
      </c>
      <c r="P539" s="15">
        <f t="shared" si="165"/>
        <v>-5.4805088165952491E-3</v>
      </c>
      <c r="Q539" s="7">
        <f t="shared" si="166"/>
        <v>10844053.988895083</v>
      </c>
      <c r="R539" s="7">
        <f t="shared" si="167"/>
        <v>10903484.922388857</v>
      </c>
      <c r="S539" s="13">
        <f>IF('BANCO DE DADOS'!$AD$32="Sim",R539,Q539)</f>
        <v>10903484.922388857</v>
      </c>
      <c r="T539" s="9">
        <f t="shared" si="168"/>
        <v>535</v>
      </c>
      <c r="U539" s="18">
        <f t="shared" ca="1" si="171"/>
        <v>60664</v>
      </c>
    </row>
    <row r="540" spans="2:21" x14ac:dyDescent="0.2">
      <c r="B540" s="18">
        <f t="shared" ca="1" si="169"/>
        <v>60664</v>
      </c>
      <c r="C540" s="9">
        <f t="shared" si="172"/>
        <v>536</v>
      </c>
      <c r="D540" s="9"/>
      <c r="E540" s="13">
        <f t="shared" si="170"/>
        <v>2000</v>
      </c>
      <c r="F540" s="14">
        <f t="shared" si="155"/>
        <v>1122000</v>
      </c>
      <c r="G540" s="15">
        <f t="shared" si="156"/>
        <v>0.10222628121213907</v>
      </c>
      <c r="H540" s="13">
        <f t="shared" si="157"/>
        <v>69770.969879053766</v>
      </c>
      <c r="I540" s="13">
        <f t="shared" si="158"/>
        <v>9793824.9587741327</v>
      </c>
      <c r="J540" s="15">
        <f t="shared" si="159"/>
        <v>0.89777371878786094</v>
      </c>
      <c r="K540" s="13">
        <f t="shared" si="160"/>
        <v>9853651.1407436952</v>
      </c>
      <c r="L540" s="13">
        <f t="shared" si="161"/>
        <v>1226713397.4233336</v>
      </c>
      <c r="M540" s="15">
        <f t="shared" si="162"/>
        <v>0.89777371878786094</v>
      </c>
      <c r="N540" s="13">
        <f t="shared" si="163"/>
        <v>0</v>
      </c>
      <c r="O540" s="13">
        <f t="shared" si="164"/>
        <v>-59826.18196955882</v>
      </c>
      <c r="P540" s="15">
        <f t="shared" si="165"/>
        <v>-5.4806835209894565E-3</v>
      </c>
      <c r="Q540" s="7">
        <f t="shared" si="166"/>
        <v>10915824.958774136</v>
      </c>
      <c r="R540" s="7">
        <f t="shared" si="167"/>
        <v>10975651.140743695</v>
      </c>
      <c r="S540" s="13">
        <f>IF('BANCO DE DADOS'!$AD$32="Sim",R540,Q540)</f>
        <v>10975651.140743695</v>
      </c>
      <c r="T540" s="9">
        <f t="shared" si="168"/>
        <v>536</v>
      </c>
      <c r="U540" s="18">
        <f t="shared" ca="1" si="171"/>
        <v>60692</v>
      </c>
    </row>
    <row r="541" spans="2:21" x14ac:dyDescent="0.2">
      <c r="B541" s="18">
        <f t="shared" ca="1" si="169"/>
        <v>60692</v>
      </c>
      <c r="C541" s="9">
        <f t="shared" si="172"/>
        <v>537</v>
      </c>
      <c r="D541" s="9"/>
      <c r="E541" s="13">
        <f t="shared" si="170"/>
        <v>2000</v>
      </c>
      <c r="F541" s="14">
        <f t="shared" si="155"/>
        <v>1124000</v>
      </c>
      <c r="G541" s="15">
        <f t="shared" si="156"/>
        <v>0.10173527727527899</v>
      </c>
      <c r="H541" s="13">
        <f t="shared" si="157"/>
        <v>70232.746460279741</v>
      </c>
      <c r="I541" s="13">
        <f t="shared" si="158"/>
        <v>9864057.7052344121</v>
      </c>
      <c r="J541" s="15">
        <f t="shared" si="159"/>
        <v>0.89826472272472102</v>
      </c>
      <c r="K541" s="13">
        <f t="shared" si="160"/>
        <v>9924281.6787203532</v>
      </c>
      <c r="L541" s="13">
        <f t="shared" si="161"/>
        <v>1236637679.1020539</v>
      </c>
      <c r="M541" s="15">
        <f t="shared" si="162"/>
        <v>0.89826472272472102</v>
      </c>
      <c r="N541" s="13">
        <f t="shared" si="163"/>
        <v>0</v>
      </c>
      <c r="O541" s="13">
        <f t="shared" si="164"/>
        <v>-60223.973485937342</v>
      </c>
      <c r="P541" s="15">
        <f t="shared" si="165"/>
        <v>-5.480857045121656E-3</v>
      </c>
      <c r="Q541" s="7">
        <f t="shared" si="166"/>
        <v>10988057.705234416</v>
      </c>
      <c r="R541" s="7">
        <f t="shared" si="167"/>
        <v>11048281.678720353</v>
      </c>
      <c r="S541" s="13">
        <f>IF('BANCO DE DADOS'!$AD$32="Sim",R541,Q541)</f>
        <v>11048281.678720353</v>
      </c>
      <c r="T541" s="9">
        <f t="shared" si="168"/>
        <v>537</v>
      </c>
      <c r="U541" s="18">
        <f t="shared" ca="1" si="171"/>
        <v>60723</v>
      </c>
    </row>
    <row r="542" spans="2:21" x14ac:dyDescent="0.2">
      <c r="B542" s="18">
        <f t="shared" ca="1" si="169"/>
        <v>60723</v>
      </c>
      <c r="C542" s="9">
        <f t="shared" si="172"/>
        <v>538</v>
      </c>
      <c r="D542" s="9"/>
      <c r="E542" s="13">
        <f t="shared" si="170"/>
        <v>2000</v>
      </c>
      <c r="F542" s="14">
        <f t="shared" si="155"/>
        <v>1126000</v>
      </c>
      <c r="G542" s="15">
        <f t="shared" si="156"/>
        <v>0.10124643238672436</v>
      </c>
      <c r="H542" s="13">
        <f t="shared" si="157"/>
        <v>70697.49412593343</v>
      </c>
      <c r="I542" s="13">
        <f t="shared" si="158"/>
        <v>9934755.1993603464</v>
      </c>
      <c r="J542" s="15">
        <f t="shared" si="159"/>
        <v>0.89875356761327563</v>
      </c>
      <c r="K542" s="13">
        <f t="shared" si="160"/>
        <v>9995379.5237652585</v>
      </c>
      <c r="L542" s="13">
        <f t="shared" si="161"/>
        <v>1246633058.6258192</v>
      </c>
      <c r="M542" s="15">
        <f t="shared" si="162"/>
        <v>0.89875356761327563</v>
      </c>
      <c r="N542" s="13">
        <f t="shared" si="163"/>
        <v>0</v>
      </c>
      <c r="O542" s="13">
        <f t="shared" si="164"/>
        <v>-60624.324404908344</v>
      </c>
      <c r="P542" s="15">
        <f t="shared" si="165"/>
        <v>-5.4810293973791488E-3</v>
      </c>
      <c r="Q542" s="7">
        <f t="shared" si="166"/>
        <v>11060755.19936035</v>
      </c>
      <c r="R542" s="7">
        <f t="shared" si="167"/>
        <v>11121379.523765258</v>
      </c>
      <c r="S542" s="13">
        <f>IF('BANCO DE DADOS'!$AD$32="Sim",R542,Q542)</f>
        <v>11121379.523765258</v>
      </c>
      <c r="T542" s="9">
        <f t="shared" si="168"/>
        <v>538</v>
      </c>
      <c r="U542" s="18">
        <f t="shared" ca="1" si="171"/>
        <v>60753</v>
      </c>
    </row>
    <row r="543" spans="2:21" x14ac:dyDescent="0.2">
      <c r="B543" s="18">
        <f t="shared" ca="1" si="169"/>
        <v>60753</v>
      </c>
      <c r="C543" s="9">
        <f t="shared" si="172"/>
        <v>539</v>
      </c>
      <c r="D543" s="9"/>
      <c r="E543" s="13">
        <f t="shared" si="170"/>
        <v>2000</v>
      </c>
      <c r="F543" s="14">
        <f t="shared" si="155"/>
        <v>1128000</v>
      </c>
      <c r="G543" s="15">
        <f t="shared" si="156"/>
        <v>0.10075973840937591</v>
      </c>
      <c r="H543" s="13">
        <f t="shared" si="157"/>
        <v>71165.231992061483</v>
      </c>
      <c r="I543" s="13">
        <f t="shared" si="158"/>
        <v>10005920.431352409</v>
      </c>
      <c r="J543" s="15">
        <f t="shared" si="159"/>
        <v>0.89924026159062409</v>
      </c>
      <c r="K543" s="13">
        <f t="shared" si="160"/>
        <v>10066947.682546159</v>
      </c>
      <c r="L543" s="13">
        <f t="shared" si="161"/>
        <v>1256700006.3083653</v>
      </c>
      <c r="M543" s="15">
        <f t="shared" si="162"/>
        <v>0.89924026159062409</v>
      </c>
      <c r="N543" s="13">
        <f t="shared" si="163"/>
        <v>0</v>
      </c>
      <c r="O543" s="13">
        <f t="shared" si="164"/>
        <v>-61027.251193746924</v>
      </c>
      <c r="P543" s="15">
        <f t="shared" si="165"/>
        <v>-5.4812005860844903E-3</v>
      </c>
      <c r="Q543" s="7">
        <f t="shared" si="166"/>
        <v>11133920.431352412</v>
      </c>
      <c r="R543" s="7">
        <f t="shared" si="167"/>
        <v>11194947.682546159</v>
      </c>
      <c r="S543" s="13">
        <f>IF('BANCO DE DADOS'!$AD$32="Sim",R543,Q543)</f>
        <v>11194947.682546159</v>
      </c>
      <c r="T543" s="9">
        <f t="shared" si="168"/>
        <v>539</v>
      </c>
      <c r="U543" s="18">
        <f t="shared" ca="1" si="171"/>
        <v>60784</v>
      </c>
    </row>
    <row r="544" spans="2:21" x14ac:dyDescent="0.2">
      <c r="B544" s="18">
        <f t="shared" ca="1" si="169"/>
        <v>60784</v>
      </c>
      <c r="C544" s="9">
        <f t="shared" si="172"/>
        <v>540</v>
      </c>
      <c r="D544" s="9">
        <v>45</v>
      </c>
      <c r="E544" s="13">
        <f t="shared" si="170"/>
        <v>2000</v>
      </c>
      <c r="F544" s="14">
        <f t="shared" si="155"/>
        <v>1130000</v>
      </c>
      <c r="G544" s="15">
        <f t="shared" si="156"/>
        <v>0.10027518722776203</v>
      </c>
      <c r="H544" s="13">
        <f t="shared" si="157"/>
        <v>71635.979297703801</v>
      </c>
      <c r="I544" s="13">
        <f t="shared" si="158"/>
        <v>10077556.410650112</v>
      </c>
      <c r="J544" s="15">
        <f t="shared" si="159"/>
        <v>0.89972481277223793</v>
      </c>
      <c r="K544" s="13">
        <f t="shared" si="160"/>
        <v>10138989.181075795</v>
      </c>
      <c r="L544" s="13">
        <f t="shared" si="161"/>
        <v>1266838995.4894412</v>
      </c>
      <c r="M544" s="15">
        <f t="shared" si="162"/>
        <v>0.89972481277223793</v>
      </c>
      <c r="N544" s="13">
        <f t="shared" si="163"/>
        <v>0</v>
      </c>
      <c r="O544" s="13">
        <f t="shared" si="164"/>
        <v>-61432.770425679162</v>
      </c>
      <c r="P544" s="15">
        <f t="shared" si="165"/>
        <v>-5.4813706194957838E-3</v>
      </c>
      <c r="Q544" s="7">
        <f t="shared" si="166"/>
        <v>11207556.410650115</v>
      </c>
      <c r="R544" s="7">
        <f t="shared" si="167"/>
        <v>11268989.181075795</v>
      </c>
      <c r="S544" s="13">
        <f>IF('BANCO DE DADOS'!$AD$32="Sim",R544,Q544)</f>
        <v>11268989.181075795</v>
      </c>
      <c r="T544" s="9">
        <f t="shared" si="168"/>
        <v>540</v>
      </c>
      <c r="U544" s="18">
        <f t="shared" ca="1" si="171"/>
        <v>60814</v>
      </c>
    </row>
    <row r="545" spans="2:21" x14ac:dyDescent="0.2">
      <c r="B545" s="18">
        <f t="shared" ca="1" si="169"/>
        <v>60814</v>
      </c>
      <c r="C545" s="9">
        <f t="shared" si="172"/>
        <v>541</v>
      </c>
      <c r="D545" s="9"/>
      <c r="E545" s="13">
        <f t="shared" si="170"/>
        <v>2000</v>
      </c>
      <c r="F545" s="14">
        <f t="shared" si="155"/>
        <v>1132000</v>
      </c>
      <c r="G545" s="15">
        <f t="shared" si="156"/>
        <v>9.979277074804116E-2</v>
      </c>
      <c r="H545" s="13">
        <f t="shared" si="157"/>
        <v>72109.755405684817</v>
      </c>
      <c r="I545" s="13">
        <f t="shared" si="158"/>
        <v>10149666.166055797</v>
      </c>
      <c r="J545" s="15">
        <f t="shared" si="159"/>
        <v>0.90020722925195884</v>
      </c>
      <c r="K545" s="13">
        <f t="shared" si="160"/>
        <v>10211507.064836359</v>
      </c>
      <c r="L545" s="13">
        <f t="shared" si="161"/>
        <v>1277050502.5542774</v>
      </c>
      <c r="M545" s="15">
        <f t="shared" si="162"/>
        <v>0.90020722925195884</v>
      </c>
      <c r="N545" s="13">
        <f t="shared" si="163"/>
        <v>0</v>
      </c>
      <c r="O545" s="13">
        <f t="shared" si="164"/>
        <v>-61840.898780558258</v>
      </c>
      <c r="P545" s="15">
        <f t="shared" si="165"/>
        <v>-5.4815395058067512E-3</v>
      </c>
      <c r="Q545" s="7">
        <f t="shared" si="166"/>
        <v>11281666.1660558</v>
      </c>
      <c r="R545" s="7">
        <f t="shared" si="167"/>
        <v>11343507.064836359</v>
      </c>
      <c r="S545" s="13">
        <f>IF('BANCO DE DADOS'!$AD$32="Sim",R545,Q545)</f>
        <v>11343507.064836359</v>
      </c>
      <c r="T545" s="9">
        <f t="shared" si="168"/>
        <v>541</v>
      </c>
      <c r="U545" s="18">
        <f t="shared" ca="1" si="171"/>
        <v>60845</v>
      </c>
    </row>
    <row r="546" spans="2:21" x14ac:dyDescent="0.2">
      <c r="B546" s="18">
        <f t="shared" ca="1" si="169"/>
        <v>60845</v>
      </c>
      <c r="C546" s="9">
        <f t="shared" si="172"/>
        <v>542</v>
      </c>
      <c r="D546" s="9"/>
      <c r="E546" s="13">
        <f t="shared" si="170"/>
        <v>2000</v>
      </c>
      <c r="F546" s="14">
        <f t="shared" si="155"/>
        <v>1134000</v>
      </c>
      <c r="G546" s="15">
        <f t="shared" si="156"/>
        <v>9.9312480898003569E-2</v>
      </c>
      <c r="H546" s="13">
        <f t="shared" si="157"/>
        <v>72586.579803409986</v>
      </c>
      <c r="I546" s="13">
        <f t="shared" si="158"/>
        <v>10222252.745859206</v>
      </c>
      <c r="J546" s="15">
        <f t="shared" si="159"/>
        <v>0.9006875191019964</v>
      </c>
      <c r="K546" s="13">
        <f t="shared" si="160"/>
        <v>10284504.398904772</v>
      </c>
      <c r="L546" s="13">
        <f t="shared" si="161"/>
        <v>1287335006.9531822</v>
      </c>
      <c r="M546" s="15">
        <f t="shared" si="162"/>
        <v>0.9006875191019964</v>
      </c>
      <c r="N546" s="13">
        <f t="shared" si="163"/>
        <v>0</v>
      </c>
      <c r="O546" s="13">
        <f t="shared" si="164"/>
        <v>-62251.653045563027</v>
      </c>
      <c r="P546" s="15">
        <f t="shared" si="165"/>
        <v>-5.4817072531484143E-3</v>
      </c>
      <c r="Q546" s="7">
        <f t="shared" si="166"/>
        <v>11356252.745859209</v>
      </c>
      <c r="R546" s="7">
        <f t="shared" si="167"/>
        <v>11418504.398904772</v>
      </c>
      <c r="S546" s="13">
        <f>IF('BANCO DE DADOS'!$AD$32="Sim",R546,Q546)</f>
        <v>11418504.398904772</v>
      </c>
      <c r="T546" s="9">
        <f t="shared" si="168"/>
        <v>542</v>
      </c>
      <c r="U546" s="18">
        <f t="shared" ca="1" si="171"/>
        <v>60876</v>
      </c>
    </row>
    <row r="547" spans="2:21" x14ac:dyDescent="0.2">
      <c r="B547" s="18">
        <f t="shared" ca="1" si="169"/>
        <v>60876</v>
      </c>
      <c r="C547" s="9">
        <f t="shared" si="172"/>
        <v>543</v>
      </c>
      <c r="D547" s="9"/>
      <c r="E547" s="13">
        <f t="shared" si="170"/>
        <v>2000</v>
      </c>
      <c r="F547" s="14">
        <f t="shared" si="155"/>
        <v>1136000</v>
      </c>
      <c r="G547" s="15">
        <f t="shared" si="156"/>
        <v>9.8834309627072875E-2</v>
      </c>
      <c r="H547" s="13">
        <f t="shared" si="157"/>
        <v>73066.472103667285</v>
      </c>
      <c r="I547" s="13">
        <f t="shared" si="158"/>
        <v>10295319.217962872</v>
      </c>
      <c r="J547" s="15">
        <f t="shared" si="159"/>
        <v>0.90116569037292715</v>
      </c>
      <c r="K547" s="13">
        <f t="shared" si="160"/>
        <v>10357984.268078752</v>
      </c>
      <c r="L547" s="13">
        <f t="shared" si="161"/>
        <v>1297692991.221261</v>
      </c>
      <c r="M547" s="15">
        <f t="shared" si="162"/>
        <v>0.90116569037292715</v>
      </c>
      <c r="N547" s="13">
        <f t="shared" si="163"/>
        <v>0</v>
      </c>
      <c r="O547" s="13">
        <f t="shared" si="164"/>
        <v>-62665.0501158759</v>
      </c>
      <c r="P547" s="15">
        <f t="shared" si="165"/>
        <v>-5.4818738695885322E-3</v>
      </c>
      <c r="Q547" s="7">
        <f t="shared" si="166"/>
        <v>11431319.217962876</v>
      </c>
      <c r="R547" s="7">
        <f t="shared" si="167"/>
        <v>11493984.268078752</v>
      </c>
      <c r="S547" s="13">
        <f>IF('BANCO DE DADOS'!$AD$32="Sim",R547,Q547)</f>
        <v>11493984.268078752</v>
      </c>
      <c r="T547" s="9">
        <f t="shared" si="168"/>
        <v>543</v>
      </c>
      <c r="U547" s="18">
        <f t="shared" ca="1" si="171"/>
        <v>60906</v>
      </c>
    </row>
    <row r="548" spans="2:21" x14ac:dyDescent="0.2">
      <c r="B548" s="18">
        <f t="shared" ca="1" si="169"/>
        <v>60906</v>
      </c>
      <c r="C548" s="9">
        <f t="shared" si="172"/>
        <v>544</v>
      </c>
      <c r="D548" s="9"/>
      <c r="E548" s="13">
        <f t="shared" si="170"/>
        <v>2000</v>
      </c>
      <c r="F548" s="14">
        <f t="shared" si="155"/>
        <v>1138000</v>
      </c>
      <c r="G548" s="15">
        <f t="shared" si="156"/>
        <v>9.8358248906306942E-2</v>
      </c>
      <c r="H548" s="13">
        <f t="shared" si="157"/>
        <v>73549.452045434009</v>
      </c>
      <c r="I548" s="13">
        <f t="shared" si="158"/>
        <v>10368868.670008305</v>
      </c>
      <c r="J548" s="15">
        <f t="shared" si="159"/>
        <v>0.90164175109369304</v>
      </c>
      <c r="K548" s="13">
        <f t="shared" si="160"/>
        <v>10431949.777003696</v>
      </c>
      <c r="L548" s="13">
        <f t="shared" si="161"/>
        <v>1308124940.9982648</v>
      </c>
      <c r="M548" s="15">
        <f t="shared" si="162"/>
        <v>0.90164175109369304</v>
      </c>
      <c r="N548" s="13">
        <f t="shared" si="163"/>
        <v>0</v>
      </c>
      <c r="O548" s="13">
        <f t="shared" si="164"/>
        <v>-63081.106995387003</v>
      </c>
      <c r="P548" s="15">
        <f t="shared" si="165"/>
        <v>-5.482039363132964E-3</v>
      </c>
      <c r="Q548" s="7">
        <f t="shared" si="166"/>
        <v>11506868.670008309</v>
      </c>
      <c r="R548" s="7">
        <f t="shared" si="167"/>
        <v>11569949.777003696</v>
      </c>
      <c r="S548" s="13">
        <f>IF('BANCO DE DADOS'!$AD$32="Sim",R548,Q548)</f>
        <v>11569949.777003696</v>
      </c>
      <c r="T548" s="9">
        <f t="shared" si="168"/>
        <v>544</v>
      </c>
      <c r="U548" s="18">
        <f t="shared" ca="1" si="171"/>
        <v>60937</v>
      </c>
    </row>
    <row r="549" spans="2:21" x14ac:dyDescent="0.2">
      <c r="B549" s="18">
        <f t="shared" ca="1" si="169"/>
        <v>60937</v>
      </c>
      <c r="C549" s="9">
        <f t="shared" si="172"/>
        <v>545</v>
      </c>
      <c r="D549" s="9"/>
      <c r="E549" s="13">
        <f t="shared" si="170"/>
        <v>2000</v>
      </c>
      <c r="F549" s="14">
        <f t="shared" si="155"/>
        <v>1140000</v>
      </c>
      <c r="G549" s="15">
        <f t="shared" si="156"/>
        <v>9.7884290728398438E-2</v>
      </c>
      <c r="H549" s="13">
        <f t="shared" si="157"/>
        <v>74035.539494688594</v>
      </c>
      <c r="I549" s="13">
        <f t="shared" si="158"/>
        <v>10442904.209502993</v>
      </c>
      <c r="J549" s="15">
        <f t="shared" si="159"/>
        <v>0.90211570927160156</v>
      </c>
      <c r="K549" s="13">
        <f t="shared" si="160"/>
        <v>10506404.050300386</v>
      </c>
      <c r="L549" s="13">
        <f t="shared" si="161"/>
        <v>1318631345.0485651</v>
      </c>
      <c r="M549" s="15">
        <f t="shared" si="162"/>
        <v>0.90211570927160156</v>
      </c>
      <c r="N549" s="13">
        <f t="shared" si="163"/>
        <v>0</v>
      </c>
      <c r="O549" s="13">
        <f t="shared" si="164"/>
        <v>-63499.840797388926</v>
      </c>
      <c r="P549" s="15">
        <f t="shared" si="165"/>
        <v>-5.4822037417258064E-3</v>
      </c>
      <c r="Q549" s="7">
        <f t="shared" si="166"/>
        <v>11582904.209502997</v>
      </c>
      <c r="R549" s="7">
        <f t="shared" si="167"/>
        <v>11646404.050300386</v>
      </c>
      <c r="S549" s="13">
        <f>IF('BANCO DE DADOS'!$AD$32="Sim",R549,Q549)</f>
        <v>11646404.050300386</v>
      </c>
      <c r="T549" s="9">
        <f t="shared" si="168"/>
        <v>545</v>
      </c>
      <c r="U549" s="18">
        <f t="shared" ca="1" si="171"/>
        <v>60967</v>
      </c>
    </row>
    <row r="550" spans="2:21" x14ac:dyDescent="0.2">
      <c r="B550" s="18">
        <f t="shared" ca="1" si="169"/>
        <v>60967</v>
      </c>
      <c r="C550" s="9">
        <f t="shared" si="172"/>
        <v>546</v>
      </c>
      <c r="D550" s="9"/>
      <c r="E550" s="13">
        <f t="shared" si="170"/>
        <v>2000</v>
      </c>
      <c r="F550" s="14">
        <f t="shared" si="155"/>
        <v>1142000</v>
      </c>
      <c r="G550" s="15">
        <f t="shared" si="156"/>
        <v>9.7412427107674934E-2</v>
      </c>
      <c r="H550" s="13">
        <f t="shared" si="157"/>
        <v>74524.754445227765</v>
      </c>
      <c r="I550" s="13">
        <f t="shared" si="158"/>
        <v>10517428.96394822</v>
      </c>
      <c r="J550" s="15">
        <f t="shared" si="159"/>
        <v>0.90258757289232505</v>
      </c>
      <c r="K550" s="13">
        <f t="shared" si="160"/>
        <v>10581350.232693505</v>
      </c>
      <c r="L550" s="13">
        <f t="shared" si="161"/>
        <v>1329212695.2812586</v>
      </c>
      <c r="M550" s="15">
        <f t="shared" si="162"/>
        <v>0.90258757289232505</v>
      </c>
      <c r="N550" s="13">
        <f t="shared" si="163"/>
        <v>0</v>
      </c>
      <c r="O550" s="13">
        <f t="shared" si="164"/>
        <v>-63921.268745280802</v>
      </c>
      <c r="P550" s="15">
        <f t="shared" si="165"/>
        <v>-5.4823670132499516E-3</v>
      </c>
      <c r="Q550" s="7">
        <f t="shared" si="166"/>
        <v>11659428.963948224</v>
      </c>
      <c r="R550" s="7">
        <f t="shared" si="167"/>
        <v>11723350.232693505</v>
      </c>
      <c r="S550" s="13">
        <f>IF('BANCO DE DADOS'!$AD$32="Sim",R550,Q550)</f>
        <v>11723350.232693505</v>
      </c>
      <c r="T550" s="9">
        <f t="shared" si="168"/>
        <v>546</v>
      </c>
      <c r="U550" s="18">
        <f t="shared" ca="1" si="171"/>
        <v>60998</v>
      </c>
    </row>
    <row r="551" spans="2:21" x14ac:dyDescent="0.2">
      <c r="B551" s="18">
        <f t="shared" ca="1" si="169"/>
        <v>60998</v>
      </c>
      <c r="C551" s="9">
        <f t="shared" si="172"/>
        <v>547</v>
      </c>
      <c r="D551" s="9"/>
      <c r="E551" s="13">
        <f t="shared" si="170"/>
        <v>2000</v>
      </c>
      <c r="F551" s="14">
        <f t="shared" si="155"/>
        <v>1144000</v>
      </c>
      <c r="G551" s="15">
        <f t="shared" si="156"/>
        <v>9.694265008009853E-2</v>
      </c>
      <c r="H551" s="13">
        <f t="shared" si="157"/>
        <v>75017.117019488971</v>
      </c>
      <c r="I551" s="13">
        <f t="shared" si="158"/>
        <v>10592446.080967709</v>
      </c>
      <c r="J551" s="15">
        <f t="shared" si="159"/>
        <v>0.9030573499199015</v>
      </c>
      <c r="K551" s="13">
        <f t="shared" si="160"/>
        <v>10656791.489140991</v>
      </c>
      <c r="L551" s="13">
        <f t="shared" si="161"/>
        <v>1339869486.7703996</v>
      </c>
      <c r="M551" s="15">
        <f t="shared" si="162"/>
        <v>0.9030573499199015</v>
      </c>
      <c r="N551" s="13">
        <f t="shared" si="163"/>
        <v>0</v>
      </c>
      <c r="O551" s="13">
        <f t="shared" si="164"/>
        <v>-64345.408173277974</v>
      </c>
      <c r="P551" s="15">
        <f t="shared" si="165"/>
        <v>-5.482529185527725E-3</v>
      </c>
      <c r="Q551" s="7">
        <f t="shared" si="166"/>
        <v>11736446.080967713</v>
      </c>
      <c r="R551" s="7">
        <f t="shared" si="167"/>
        <v>11800791.489140991</v>
      </c>
      <c r="S551" s="13">
        <f>IF('BANCO DE DADOS'!$AD$32="Sim",R551,Q551)</f>
        <v>11800791.489140991</v>
      </c>
      <c r="T551" s="9">
        <f t="shared" si="168"/>
        <v>547</v>
      </c>
      <c r="U551" s="18">
        <f t="shared" ca="1" si="171"/>
        <v>61029</v>
      </c>
    </row>
    <row r="552" spans="2:21" x14ac:dyDescent="0.2">
      <c r="B552" s="18">
        <f t="shared" ca="1" si="169"/>
        <v>61029</v>
      </c>
      <c r="C552" s="9">
        <f t="shared" si="172"/>
        <v>548</v>
      </c>
      <c r="D552" s="9"/>
      <c r="E552" s="13">
        <f t="shared" si="170"/>
        <v>2000</v>
      </c>
      <c r="F552" s="14">
        <f t="shared" si="155"/>
        <v>1146000</v>
      </c>
      <c r="G552" s="15">
        <f t="shared" si="156"/>
        <v>9.6474951703265061E-2</v>
      </c>
      <c r="H552" s="13">
        <f t="shared" si="157"/>
        <v>75512.647469378018</v>
      </c>
      <c r="I552" s="13">
        <f t="shared" si="158"/>
        <v>10667958.728437087</v>
      </c>
      <c r="J552" s="15">
        <f t="shared" si="159"/>
        <v>0.90352504829673497</v>
      </c>
      <c r="K552" s="13">
        <f t="shared" si="160"/>
        <v>10732731.004964216</v>
      </c>
      <c r="L552" s="13">
        <f t="shared" si="161"/>
        <v>1350602217.7753637</v>
      </c>
      <c r="M552" s="15">
        <f t="shared" si="162"/>
        <v>0.90352504829673497</v>
      </c>
      <c r="N552" s="13">
        <f t="shared" si="163"/>
        <v>0</v>
      </c>
      <c r="O552" s="13">
        <f t="shared" si="164"/>
        <v>-64772.276527125388</v>
      </c>
      <c r="P552" s="15">
        <f t="shared" si="165"/>
        <v>-5.482690266321452E-3</v>
      </c>
      <c r="Q552" s="7">
        <f t="shared" si="166"/>
        <v>11813958.72843709</v>
      </c>
      <c r="R552" s="7">
        <f t="shared" si="167"/>
        <v>11878731.004964216</v>
      </c>
      <c r="S552" s="13">
        <f>IF('BANCO DE DADOS'!$AD$32="Sim",R552,Q552)</f>
        <v>11878731.004964216</v>
      </c>
      <c r="T552" s="9">
        <f t="shared" si="168"/>
        <v>548</v>
      </c>
      <c r="U552" s="18">
        <f t="shared" ca="1" si="171"/>
        <v>61057</v>
      </c>
    </row>
    <row r="553" spans="2:21" x14ac:dyDescent="0.2">
      <c r="B553" s="18">
        <f t="shared" ca="1" si="169"/>
        <v>61057</v>
      </c>
      <c r="C553" s="9">
        <f t="shared" si="172"/>
        <v>549</v>
      </c>
      <c r="D553" s="9"/>
      <c r="E553" s="13">
        <f t="shared" si="170"/>
        <v>2000</v>
      </c>
      <c r="F553" s="14">
        <f t="shared" si="155"/>
        <v>1148000</v>
      </c>
      <c r="G553" s="15">
        <f t="shared" si="156"/>
        <v>9.6009324056402806E-2</v>
      </c>
      <c r="H553" s="13">
        <f t="shared" si="157"/>
        <v>76011.366177102071</v>
      </c>
      <c r="I553" s="13">
        <f t="shared" si="158"/>
        <v>10743970.094614189</v>
      </c>
      <c r="J553" s="15">
        <f t="shared" si="159"/>
        <v>0.90399067594359717</v>
      </c>
      <c r="K553" s="13">
        <f t="shared" si="160"/>
        <v>10809171.985979008</v>
      </c>
      <c r="L553" s="13">
        <f t="shared" si="161"/>
        <v>1361411389.7613428</v>
      </c>
      <c r="M553" s="15">
        <f t="shared" si="162"/>
        <v>0.90399067594359717</v>
      </c>
      <c r="N553" s="13">
        <f t="shared" si="163"/>
        <v>0</v>
      </c>
      <c r="O553" s="13">
        <f t="shared" si="164"/>
        <v>-65201.891364814714</v>
      </c>
      <c r="P553" s="15">
        <f t="shared" si="165"/>
        <v>-5.4828502633339354E-3</v>
      </c>
      <c r="Q553" s="7">
        <f t="shared" si="166"/>
        <v>11891970.094614193</v>
      </c>
      <c r="R553" s="7">
        <f t="shared" si="167"/>
        <v>11957171.985979008</v>
      </c>
      <c r="S553" s="13">
        <f>IF('BANCO DE DADOS'!$AD$32="Sim",R553,Q553)</f>
        <v>11957171.985979008</v>
      </c>
      <c r="T553" s="9">
        <f t="shared" si="168"/>
        <v>549</v>
      </c>
      <c r="U553" s="18">
        <f t="shared" ca="1" si="171"/>
        <v>61088</v>
      </c>
    </row>
    <row r="554" spans="2:21" x14ac:dyDescent="0.2">
      <c r="B554" s="18">
        <f t="shared" ca="1" si="169"/>
        <v>61088</v>
      </c>
      <c r="C554" s="9">
        <f t="shared" si="172"/>
        <v>550</v>
      </c>
      <c r="D554" s="9"/>
      <c r="E554" s="13">
        <f t="shared" si="170"/>
        <v>2000</v>
      </c>
      <c r="F554" s="14">
        <f t="shared" si="155"/>
        <v>1150000</v>
      </c>
      <c r="G554" s="15">
        <f t="shared" si="156"/>
        <v>9.554575924037087E-2</v>
      </c>
      <c r="H554" s="13">
        <f t="shared" si="157"/>
        <v>76513.293656008056</v>
      </c>
      <c r="I554" s="13">
        <f t="shared" si="158"/>
        <v>10820483.388270197</v>
      </c>
      <c r="J554" s="15">
        <f t="shared" si="159"/>
        <v>0.9044542407596291</v>
      </c>
      <c r="K554" s="13">
        <f t="shared" si="160"/>
        <v>10886117.658627506</v>
      </c>
      <c r="L554" s="13">
        <f t="shared" si="161"/>
        <v>1372297507.4199703</v>
      </c>
      <c r="M554" s="15">
        <f t="shared" si="162"/>
        <v>0.9044542407596291</v>
      </c>
      <c r="N554" s="13">
        <f t="shared" si="163"/>
        <v>0</v>
      </c>
      <c r="O554" s="13">
        <f t="shared" si="164"/>
        <v>-65634.270357305184</v>
      </c>
      <c r="P554" s="15">
        <f t="shared" si="165"/>
        <v>-5.4830091842088665E-3</v>
      </c>
      <c r="Q554" s="7">
        <f t="shared" si="166"/>
        <v>11970483.388270201</v>
      </c>
      <c r="R554" s="7">
        <f t="shared" si="167"/>
        <v>12036117.658627506</v>
      </c>
      <c r="S554" s="13">
        <f>IF('BANCO DE DADOS'!$AD$32="Sim",R554,Q554)</f>
        <v>12036117.658627506</v>
      </c>
      <c r="T554" s="9">
        <f t="shared" si="168"/>
        <v>550</v>
      </c>
      <c r="U554" s="18">
        <f t="shared" ca="1" si="171"/>
        <v>61118</v>
      </c>
    </row>
    <row r="555" spans="2:21" x14ac:dyDescent="0.2">
      <c r="B555" s="18">
        <f t="shared" ca="1" si="169"/>
        <v>61118</v>
      </c>
      <c r="C555" s="9">
        <f t="shared" si="172"/>
        <v>551</v>
      </c>
      <c r="D555" s="9"/>
      <c r="E555" s="13">
        <f t="shared" si="170"/>
        <v>2000</v>
      </c>
      <c r="F555" s="14">
        <f t="shared" si="155"/>
        <v>1152000</v>
      </c>
      <c r="G555" s="15">
        <f t="shared" si="156"/>
        <v>9.5084249377657054E-2</v>
      </c>
      <c r="H555" s="13">
        <f t="shared" si="157"/>
        <v>77018.450551426358</v>
      </c>
      <c r="I555" s="13">
        <f t="shared" si="158"/>
        <v>10897501.838821623</v>
      </c>
      <c r="J555" s="15">
        <f t="shared" si="159"/>
        <v>0.90491575062234297</v>
      </c>
      <c r="K555" s="13">
        <f t="shared" si="160"/>
        <v>10963571.270110879</v>
      </c>
      <c r="L555" s="13">
        <f t="shared" si="161"/>
        <v>1383261078.6900811</v>
      </c>
      <c r="M555" s="15">
        <f t="shared" si="162"/>
        <v>0.90491575062234297</v>
      </c>
      <c r="N555" s="13">
        <f t="shared" si="163"/>
        <v>0</v>
      </c>
      <c r="O555" s="13">
        <f t="shared" si="164"/>
        <v>-66069.431289251894</v>
      </c>
      <c r="P555" s="15">
        <f t="shared" si="165"/>
        <v>-5.4831670365314547E-3</v>
      </c>
      <c r="Q555" s="7">
        <f t="shared" si="166"/>
        <v>12049501.838821627</v>
      </c>
      <c r="R555" s="7">
        <f t="shared" si="167"/>
        <v>12115571.270110879</v>
      </c>
      <c r="S555" s="13">
        <f>IF('BANCO DE DADOS'!$AD$32="Sim",R555,Q555)</f>
        <v>12115571.270110879</v>
      </c>
      <c r="T555" s="9">
        <f t="shared" si="168"/>
        <v>551</v>
      </c>
      <c r="U555" s="18">
        <f t="shared" ca="1" si="171"/>
        <v>61149</v>
      </c>
    </row>
    <row r="556" spans="2:21" x14ac:dyDescent="0.2">
      <c r="B556" s="18">
        <f t="shared" ca="1" si="169"/>
        <v>61149</v>
      </c>
      <c r="C556" s="9">
        <f t="shared" si="172"/>
        <v>552</v>
      </c>
      <c r="D556" s="9">
        <v>46</v>
      </c>
      <c r="E556" s="13">
        <f t="shared" si="170"/>
        <v>2000</v>
      </c>
      <c r="F556" s="14">
        <f t="shared" si="155"/>
        <v>1154000</v>
      </c>
      <c r="G556" s="15">
        <f t="shared" si="156"/>
        <v>9.4624786612375292E-2</v>
      </c>
      <c r="H556" s="13">
        <f t="shared" si="157"/>
        <v>77526.857641520051</v>
      </c>
      <c r="I556" s="13">
        <f t="shared" si="158"/>
        <v>10975028.696463143</v>
      </c>
      <c r="J556" s="15">
        <f t="shared" si="159"/>
        <v>0.90537521338762472</v>
      </c>
      <c r="K556" s="13">
        <f t="shared" si="160"/>
        <v>11041536.088522885</v>
      </c>
      <c r="L556" s="13">
        <f t="shared" si="161"/>
        <v>1394302614.778604</v>
      </c>
      <c r="M556" s="15">
        <f t="shared" si="162"/>
        <v>0.90537521338762472</v>
      </c>
      <c r="N556" s="13">
        <f t="shared" si="163"/>
        <v>0</v>
      </c>
      <c r="O556" s="13">
        <f t="shared" si="164"/>
        <v>-66507.392059737816</v>
      </c>
      <c r="P556" s="15">
        <f t="shared" si="165"/>
        <v>-5.4833238278289773E-3</v>
      </c>
      <c r="Q556" s="7">
        <f t="shared" si="166"/>
        <v>12129028.696463147</v>
      </c>
      <c r="R556" s="7">
        <f t="shared" si="167"/>
        <v>12195536.088522885</v>
      </c>
      <c r="S556" s="13">
        <f>IF('BANCO DE DADOS'!$AD$32="Sim",R556,Q556)</f>
        <v>12195536.088522885</v>
      </c>
      <c r="T556" s="9">
        <f t="shared" si="168"/>
        <v>552</v>
      </c>
      <c r="U556" s="18">
        <f t="shared" ca="1" si="171"/>
        <v>61179</v>
      </c>
    </row>
    <row r="557" spans="2:21" x14ac:dyDescent="0.2">
      <c r="B557" s="18">
        <f t="shared" ca="1" si="169"/>
        <v>61179</v>
      </c>
      <c r="C557" s="9">
        <f t="shared" si="172"/>
        <v>553</v>
      </c>
      <c r="D557" s="9"/>
      <c r="E557" s="13">
        <f t="shared" si="170"/>
        <v>2000</v>
      </c>
      <c r="F557" s="14">
        <f t="shared" ref="F557:F604" si="173">F556+E557</f>
        <v>1156000</v>
      </c>
      <c r="G557" s="15">
        <f t="shared" ref="G557:G604" si="174">IF(F557&lt;=0,0,F557/S557)</f>
        <v>9.4167363110262706E-2</v>
      </c>
      <c r="H557" s="13">
        <f t="shared" ref="H557:H604" si="175">Q556*Taxa</f>
        <v>78038.535838139549</v>
      </c>
      <c r="I557" s="13">
        <f t="shared" ref="I557:I604" si="176">I556+H557</f>
        <v>11053067.232301284</v>
      </c>
      <c r="J557" s="15">
        <f t="shared" ref="J557:J604" si="177">1-G557</f>
        <v>0.90583263688973725</v>
      </c>
      <c r="K557" s="13">
        <f t="shared" ref="K557:K604" si="178">R557-F557</f>
        <v>11120015.402984295</v>
      </c>
      <c r="L557" s="13">
        <f t="shared" ref="L557:L604" si="179">L556+K557</f>
        <v>1405422630.1815884</v>
      </c>
      <c r="M557" s="15">
        <f t="shared" ref="M557:M604" si="180">K557/R557</f>
        <v>0.90583263688973725</v>
      </c>
      <c r="N557" s="13">
        <f t="shared" ref="N557:N604" si="181">Q557*Inflação</f>
        <v>0</v>
      </c>
      <c r="O557" s="13">
        <f t="shared" ref="O557:O604" si="182">Q557-R557</f>
        <v>-66948.170683007687</v>
      </c>
      <c r="P557" s="15">
        <f t="shared" ref="P557:P604" si="183">O557/Q557</f>
        <v>-5.4834795655710894E-3</v>
      </c>
      <c r="Q557" s="7">
        <f t="shared" ref="Q557:Q604" si="184">Q556+E557+H557</f>
        <v>12209067.232301287</v>
      </c>
      <c r="R557" s="7">
        <f t="shared" ref="R557:R604" si="185">(R556+E557)*(1+((1+Taxa)/(1+Inflação)-1))</f>
        <v>12276015.402984295</v>
      </c>
      <c r="S557" s="13">
        <f>IF('BANCO DE DADOS'!$AD$32="Sim",R557,Q557)</f>
        <v>12276015.402984295</v>
      </c>
      <c r="T557" s="9">
        <f t="shared" ref="T557:T604" si="186">C557</f>
        <v>553</v>
      </c>
      <c r="U557" s="18">
        <f t="shared" ca="1" si="171"/>
        <v>61210</v>
      </c>
    </row>
    <row r="558" spans="2:21" x14ac:dyDescent="0.2">
      <c r="B558" s="18">
        <f t="shared" ca="1" si="169"/>
        <v>61210</v>
      </c>
      <c r="C558" s="9">
        <f t="shared" si="172"/>
        <v>554</v>
      </c>
      <c r="D558" s="9"/>
      <c r="E558" s="13">
        <f t="shared" si="170"/>
        <v>2000</v>
      </c>
      <c r="F558" s="14">
        <f t="shared" si="173"/>
        <v>1158000</v>
      </c>
      <c r="G558" s="15">
        <f t="shared" si="174"/>
        <v>9.371197105867618E-2</v>
      </c>
      <c r="H558" s="13">
        <f t="shared" si="175"/>
        <v>78553.506187682724</v>
      </c>
      <c r="I558" s="13">
        <f t="shared" si="176"/>
        <v>11131620.738488967</v>
      </c>
      <c r="J558" s="15">
        <f t="shared" si="177"/>
        <v>0.90628802894132376</v>
      </c>
      <c r="K558" s="13">
        <f t="shared" si="178"/>
        <v>11199012.523778182</v>
      </c>
      <c r="L558" s="13">
        <f t="shared" si="179"/>
        <v>1416621642.7053666</v>
      </c>
      <c r="M558" s="15">
        <f t="shared" si="180"/>
        <v>0.90628802894132388</v>
      </c>
      <c r="N558" s="13">
        <f t="shared" si="181"/>
        <v>0</v>
      </c>
      <c r="O558" s="13">
        <f t="shared" si="182"/>
        <v>-67391.785289211199</v>
      </c>
      <c r="P558" s="15">
        <f t="shared" si="183"/>
        <v>-5.4836342571705048E-3</v>
      </c>
      <c r="Q558" s="7">
        <f t="shared" si="184"/>
        <v>12289620.73848897</v>
      </c>
      <c r="R558" s="7">
        <f t="shared" si="185"/>
        <v>12357012.523778182</v>
      </c>
      <c r="S558" s="13">
        <f>IF('BANCO DE DADOS'!$AD$32="Sim",R558,Q558)</f>
        <v>12357012.523778182</v>
      </c>
      <c r="T558" s="9">
        <f t="shared" si="186"/>
        <v>554</v>
      </c>
      <c r="U558" s="18">
        <f t="shared" ca="1" si="171"/>
        <v>61241</v>
      </c>
    </row>
    <row r="559" spans="2:21" x14ac:dyDescent="0.2">
      <c r="B559" s="18">
        <f t="shared" ca="1" si="169"/>
        <v>61241</v>
      </c>
      <c r="C559" s="9">
        <f t="shared" si="172"/>
        <v>555</v>
      </c>
      <c r="D559" s="9"/>
      <c r="E559" s="13">
        <f t="shared" si="170"/>
        <v>2000</v>
      </c>
      <c r="F559" s="14">
        <f t="shared" si="173"/>
        <v>1160000</v>
      </c>
      <c r="G559" s="15">
        <f t="shared" si="174"/>
        <v>9.3258602666588544E-2</v>
      </c>
      <c r="H559" s="13">
        <f t="shared" si="175"/>
        <v>79071.789871960631</v>
      </c>
      <c r="I559" s="13">
        <f t="shared" si="176"/>
        <v>11210692.528360927</v>
      </c>
      <c r="J559" s="15">
        <f t="shared" si="177"/>
        <v>0.90674139733341141</v>
      </c>
      <c r="K559" s="13">
        <f t="shared" si="178"/>
        <v>11278530.782486079</v>
      </c>
      <c r="L559" s="13">
        <f t="shared" si="179"/>
        <v>1427900173.4878526</v>
      </c>
      <c r="M559" s="15">
        <f t="shared" si="180"/>
        <v>0.90674139733341141</v>
      </c>
      <c r="N559" s="13">
        <f t="shared" si="181"/>
        <v>0</v>
      </c>
      <c r="O559" s="13">
        <f t="shared" si="182"/>
        <v>-67838.254125148058</v>
      </c>
      <c r="P559" s="15">
        <f t="shared" si="183"/>
        <v>-5.4837879099834327E-3</v>
      </c>
      <c r="Q559" s="7">
        <f t="shared" si="184"/>
        <v>12370692.528360931</v>
      </c>
      <c r="R559" s="7">
        <f t="shared" si="185"/>
        <v>12438530.782486079</v>
      </c>
      <c r="S559" s="13">
        <f>IF('BANCO DE DADOS'!$AD$32="Sim",R559,Q559)</f>
        <v>12438530.782486079</v>
      </c>
      <c r="T559" s="9">
        <f t="shared" si="186"/>
        <v>555</v>
      </c>
      <c r="U559" s="18">
        <f t="shared" ca="1" si="171"/>
        <v>61271</v>
      </c>
    </row>
    <row r="560" spans="2:21" x14ac:dyDescent="0.2">
      <c r="B560" s="18">
        <f t="shared" ca="1" si="169"/>
        <v>61271</v>
      </c>
      <c r="C560" s="9">
        <f t="shared" si="172"/>
        <v>556</v>
      </c>
      <c r="D560" s="9"/>
      <c r="E560" s="13">
        <f t="shared" si="170"/>
        <v>2000</v>
      </c>
      <c r="F560" s="14">
        <f t="shared" si="173"/>
        <v>1162000</v>
      </c>
      <c r="G560" s="15">
        <f t="shared" si="174"/>
        <v>9.280725016458434E-2</v>
      </c>
      <c r="H560" s="13">
        <f t="shared" si="175"/>
        <v>79593.408209068701</v>
      </c>
      <c r="I560" s="13">
        <f t="shared" si="176"/>
        <v>11290285.936569996</v>
      </c>
      <c r="J560" s="15">
        <f t="shared" si="177"/>
        <v>0.90719274983541565</v>
      </c>
      <c r="K560" s="13">
        <f t="shared" si="178"/>
        <v>11358573.532125019</v>
      </c>
      <c r="L560" s="13">
        <f t="shared" si="179"/>
        <v>1439258747.0199776</v>
      </c>
      <c r="M560" s="15">
        <f t="shared" si="180"/>
        <v>0.90719274983541565</v>
      </c>
      <c r="N560" s="13">
        <f t="shared" si="181"/>
        <v>0</v>
      </c>
      <c r="O560" s="13">
        <f t="shared" si="182"/>
        <v>-68287.595555018634</v>
      </c>
      <c r="P560" s="15">
        <f t="shared" si="183"/>
        <v>-5.4839405313100728E-3</v>
      </c>
      <c r="Q560" s="7">
        <f t="shared" si="184"/>
        <v>12452285.93657</v>
      </c>
      <c r="R560" s="7">
        <f t="shared" si="185"/>
        <v>12520573.532125019</v>
      </c>
      <c r="S560" s="13">
        <f>IF('BANCO DE DADOS'!$AD$32="Sim",R560,Q560)</f>
        <v>12520573.532125019</v>
      </c>
      <c r="T560" s="9">
        <f t="shared" si="186"/>
        <v>556</v>
      </c>
      <c r="U560" s="18">
        <f t="shared" ca="1" si="171"/>
        <v>61302</v>
      </c>
    </row>
    <row r="561" spans="2:21" x14ac:dyDescent="0.2">
      <c r="B561" s="18">
        <f t="shared" ca="1" si="169"/>
        <v>61302</v>
      </c>
      <c r="C561" s="9">
        <f t="shared" si="172"/>
        <v>557</v>
      </c>
      <c r="D561" s="9"/>
      <c r="E561" s="13">
        <f t="shared" si="170"/>
        <v>2000</v>
      </c>
      <c r="F561" s="14">
        <f t="shared" si="173"/>
        <v>1164000</v>
      </c>
      <c r="G561" s="15">
        <f t="shared" si="174"/>
        <v>9.2357905804855117E-2</v>
      </c>
      <c r="H561" s="13">
        <f t="shared" si="175"/>
        <v>80118.382654263638</v>
      </c>
      <c r="I561" s="13">
        <f t="shared" si="176"/>
        <v>11370404.319224261</v>
      </c>
      <c r="J561" s="15">
        <f t="shared" si="177"/>
        <v>0.90764209419514486</v>
      </c>
      <c r="K561" s="13">
        <f t="shared" si="178"/>
        <v>11439144.147285443</v>
      </c>
      <c r="L561" s="13">
        <f t="shared" si="179"/>
        <v>1450697891.167263</v>
      </c>
      <c r="M561" s="15">
        <f t="shared" si="180"/>
        <v>0.90764209419514486</v>
      </c>
      <c r="N561" s="13">
        <f t="shared" si="181"/>
        <v>0</v>
      </c>
      <c r="O561" s="13">
        <f t="shared" si="182"/>
        <v>-68739.828061178327</v>
      </c>
      <c r="P561" s="15">
        <f t="shared" si="183"/>
        <v>-5.4840921283950197E-3</v>
      </c>
      <c r="Q561" s="7">
        <f t="shared" si="184"/>
        <v>12534404.319224264</v>
      </c>
      <c r="R561" s="7">
        <f t="shared" si="185"/>
        <v>12603144.147285443</v>
      </c>
      <c r="S561" s="13">
        <f>IF('BANCO DE DADOS'!$AD$32="Sim",R561,Q561)</f>
        <v>12603144.147285443</v>
      </c>
      <c r="T561" s="9">
        <f t="shared" si="186"/>
        <v>557</v>
      </c>
      <c r="U561" s="18">
        <f t="shared" ca="1" si="171"/>
        <v>61332</v>
      </c>
    </row>
    <row r="562" spans="2:21" x14ac:dyDescent="0.2">
      <c r="B562" s="18">
        <f t="shared" ca="1" si="169"/>
        <v>61332</v>
      </c>
      <c r="C562" s="9">
        <f t="shared" si="172"/>
        <v>558</v>
      </c>
      <c r="D562" s="9"/>
      <c r="E562" s="13">
        <f t="shared" si="170"/>
        <v>2000</v>
      </c>
      <c r="F562" s="14">
        <f t="shared" si="173"/>
        <v>1166000</v>
      </c>
      <c r="G562" s="15">
        <f t="shared" si="174"/>
        <v>9.1910561861194368E-2</v>
      </c>
      <c r="H562" s="13">
        <f t="shared" si="175"/>
        <v>80646.734800845967</v>
      </c>
      <c r="I562" s="13">
        <f t="shared" si="176"/>
        <v>11451051.054025106</v>
      </c>
      <c r="J562" s="15">
        <f t="shared" si="177"/>
        <v>0.9080894381388056</v>
      </c>
      <c r="K562" s="13">
        <f t="shared" si="178"/>
        <v>11520246.024270011</v>
      </c>
      <c r="L562" s="13">
        <f t="shared" si="179"/>
        <v>1462218137.1915331</v>
      </c>
      <c r="M562" s="15">
        <f t="shared" si="180"/>
        <v>0.9080894381388056</v>
      </c>
      <c r="N562" s="13">
        <f t="shared" si="181"/>
        <v>0</v>
      </c>
      <c r="O562" s="13">
        <f t="shared" si="182"/>
        <v>-69194.970244901255</v>
      </c>
      <c r="P562" s="15">
        <f t="shared" si="183"/>
        <v>-5.4842427084280188E-3</v>
      </c>
      <c r="Q562" s="7">
        <f t="shared" si="184"/>
        <v>12617051.05402511</v>
      </c>
      <c r="R562" s="7">
        <f t="shared" si="185"/>
        <v>12686246.024270011</v>
      </c>
      <c r="S562" s="13">
        <f>IF('BANCO DE DADOS'!$AD$32="Sim",R562,Q562)</f>
        <v>12686246.024270011</v>
      </c>
      <c r="T562" s="9">
        <f t="shared" si="186"/>
        <v>558</v>
      </c>
      <c r="U562" s="18">
        <f t="shared" ca="1" si="171"/>
        <v>61363</v>
      </c>
    </row>
    <row r="563" spans="2:21" x14ac:dyDescent="0.2">
      <c r="B563" s="18">
        <f t="shared" ca="1" si="169"/>
        <v>61363</v>
      </c>
      <c r="C563" s="9">
        <f t="shared" si="172"/>
        <v>559</v>
      </c>
      <c r="D563" s="9"/>
      <c r="E563" s="13">
        <f t="shared" si="170"/>
        <v>2000</v>
      </c>
      <c r="F563" s="14">
        <f t="shared" si="173"/>
        <v>1168000</v>
      </c>
      <c r="G563" s="15">
        <f t="shared" si="174"/>
        <v>9.1465210628992044E-2</v>
      </c>
      <c r="H563" s="13">
        <f t="shared" si="175"/>
        <v>81178.486381048075</v>
      </c>
      <c r="I563" s="13">
        <f t="shared" si="176"/>
        <v>11532229.540406154</v>
      </c>
      <c r="J563" s="15">
        <f t="shared" si="177"/>
        <v>0.90853478937100796</v>
      </c>
      <c r="K563" s="13">
        <f t="shared" si="178"/>
        <v>11601882.581233297</v>
      </c>
      <c r="L563" s="13">
        <f t="shared" si="179"/>
        <v>1473820019.7727664</v>
      </c>
      <c r="M563" s="15">
        <f t="shared" si="180"/>
        <v>0.90853478937100796</v>
      </c>
      <c r="N563" s="13">
        <f t="shared" si="181"/>
        <v>0</v>
      </c>
      <c r="O563" s="13">
        <f t="shared" si="182"/>
        <v>-69653.040827138349</v>
      </c>
      <c r="P563" s="15">
        <f t="shared" si="183"/>
        <v>-5.484392278543874E-3</v>
      </c>
      <c r="Q563" s="7">
        <f t="shared" si="184"/>
        <v>12700229.540406158</v>
      </c>
      <c r="R563" s="7">
        <f t="shared" si="185"/>
        <v>12769882.581233297</v>
      </c>
      <c r="S563" s="13">
        <f>IF('BANCO DE DADOS'!$AD$32="Sim",R563,Q563)</f>
        <v>12769882.581233297</v>
      </c>
      <c r="T563" s="9">
        <f t="shared" si="186"/>
        <v>559</v>
      </c>
      <c r="U563" s="18">
        <f t="shared" ca="1" si="171"/>
        <v>61394</v>
      </c>
    </row>
    <row r="564" spans="2:21" x14ac:dyDescent="0.2">
      <c r="B564" s="18">
        <f t="shared" ca="1" si="169"/>
        <v>61394</v>
      </c>
      <c r="C564" s="9">
        <f t="shared" si="172"/>
        <v>560</v>
      </c>
      <c r="D564" s="9"/>
      <c r="E564" s="13">
        <f t="shared" si="170"/>
        <v>2000</v>
      </c>
      <c r="F564" s="14">
        <f t="shared" si="173"/>
        <v>1170000</v>
      </c>
      <c r="G564" s="15">
        <f t="shared" si="174"/>
        <v>9.1021844425228579E-2</v>
      </c>
      <c r="H564" s="13">
        <f t="shared" si="175"/>
        <v>81713.659266928255</v>
      </c>
      <c r="I564" s="13">
        <f t="shared" si="176"/>
        <v>11613943.199673083</v>
      </c>
      <c r="J564" s="15">
        <f t="shared" si="177"/>
        <v>0.90897815557477146</v>
      </c>
      <c r="K564" s="13">
        <f t="shared" si="178"/>
        <v>11684057.25832238</v>
      </c>
      <c r="L564" s="13">
        <f t="shared" si="179"/>
        <v>1485504077.0310888</v>
      </c>
      <c r="M564" s="15">
        <f t="shared" si="180"/>
        <v>0.90897815557477146</v>
      </c>
      <c r="N564" s="13">
        <f t="shared" si="181"/>
        <v>0</v>
      </c>
      <c r="O564" s="13">
        <f t="shared" si="182"/>
        <v>-70114.058649294078</v>
      </c>
      <c r="P564" s="15">
        <f t="shared" si="183"/>
        <v>-5.4845408458234586E-3</v>
      </c>
      <c r="Q564" s="7">
        <f t="shared" si="184"/>
        <v>12783943.199673086</v>
      </c>
      <c r="R564" s="7">
        <f t="shared" si="185"/>
        <v>12854057.25832238</v>
      </c>
      <c r="S564" s="13">
        <f>IF('BANCO DE DADOS'!$AD$32="Sim",R564,Q564)</f>
        <v>12854057.25832238</v>
      </c>
      <c r="T564" s="9">
        <f t="shared" si="186"/>
        <v>560</v>
      </c>
      <c r="U564" s="18">
        <f t="shared" ca="1" si="171"/>
        <v>61423</v>
      </c>
    </row>
    <row r="565" spans="2:21" x14ac:dyDescent="0.2">
      <c r="B565" s="18">
        <f t="shared" ca="1" si="169"/>
        <v>61423</v>
      </c>
      <c r="C565" s="9">
        <f t="shared" si="172"/>
        <v>561</v>
      </c>
      <c r="D565" s="9"/>
      <c r="E565" s="13">
        <f t="shared" si="170"/>
        <v>2000</v>
      </c>
      <c r="F565" s="14">
        <f t="shared" si="173"/>
        <v>1172000</v>
      </c>
      <c r="G565" s="15">
        <f t="shared" si="174"/>
        <v>9.0580455588468667E-2</v>
      </c>
      <c r="H565" s="13">
        <f t="shared" si="175"/>
        <v>82252.27547127023</v>
      </c>
      <c r="I565" s="13">
        <f t="shared" si="176"/>
        <v>11696195.475144353</v>
      </c>
      <c r="J565" s="15">
        <f t="shared" si="177"/>
        <v>0.90941954441153139</v>
      </c>
      <c r="K565" s="13">
        <f t="shared" si="178"/>
        <v>11766773.517818354</v>
      </c>
      <c r="L565" s="13">
        <f t="shared" si="179"/>
        <v>1497270850.5489073</v>
      </c>
      <c r="M565" s="15">
        <f t="shared" si="180"/>
        <v>0.90941954441153128</v>
      </c>
      <c r="N565" s="13">
        <f t="shared" si="181"/>
        <v>0</v>
      </c>
      <c r="O565" s="13">
        <f t="shared" si="182"/>
        <v>-70578.042673997581</v>
      </c>
      <c r="P565" s="15">
        <f t="shared" si="183"/>
        <v>-5.4846884172938658E-3</v>
      </c>
      <c r="Q565" s="7">
        <f t="shared" si="184"/>
        <v>12868195.475144356</v>
      </c>
      <c r="R565" s="7">
        <f t="shared" si="185"/>
        <v>12938773.517818354</v>
      </c>
      <c r="S565" s="13">
        <f>IF('BANCO DE DADOS'!$AD$32="Sim",R565,Q565)</f>
        <v>12938773.517818354</v>
      </c>
      <c r="T565" s="9">
        <f t="shared" si="186"/>
        <v>561</v>
      </c>
      <c r="U565" s="18">
        <f t="shared" ca="1" si="171"/>
        <v>61454</v>
      </c>
    </row>
    <row r="566" spans="2:21" x14ac:dyDescent="0.2">
      <c r="B566" s="18">
        <f t="shared" ca="1" si="169"/>
        <v>61454</v>
      </c>
      <c r="C566" s="9">
        <f t="shared" si="172"/>
        <v>562</v>
      </c>
      <c r="D566" s="9"/>
      <c r="E566" s="13">
        <f t="shared" si="170"/>
        <v>2000</v>
      </c>
      <c r="F566" s="14">
        <f t="shared" si="173"/>
        <v>1174000</v>
      </c>
      <c r="G566" s="15">
        <f t="shared" si="174"/>
        <v>9.0141036478854394E-2</v>
      </c>
      <c r="H566" s="13">
        <f t="shared" si="175"/>
        <v>82794.357148488692</v>
      </c>
      <c r="I566" s="13">
        <f t="shared" si="176"/>
        <v>11778989.832292842</v>
      </c>
      <c r="J566" s="15">
        <f t="shared" si="177"/>
        <v>0.90985896352114559</v>
      </c>
      <c r="K566" s="13">
        <f t="shared" si="178"/>
        <v>11850034.844278732</v>
      </c>
      <c r="L566" s="13">
        <f t="shared" si="179"/>
        <v>1509120885.3931861</v>
      </c>
      <c r="M566" s="15">
        <f t="shared" si="180"/>
        <v>0.90985896352114559</v>
      </c>
      <c r="N566" s="13">
        <f t="shared" si="181"/>
        <v>0</v>
      </c>
      <c r="O566" s="13">
        <f t="shared" si="182"/>
        <v>-71045.011985886842</v>
      </c>
      <c r="P566" s="15">
        <f t="shared" si="183"/>
        <v>-5.4848349999291985E-3</v>
      </c>
      <c r="Q566" s="7">
        <f t="shared" si="184"/>
        <v>12952989.832292845</v>
      </c>
      <c r="R566" s="7">
        <f t="shared" si="185"/>
        <v>13024034.844278732</v>
      </c>
      <c r="S566" s="13">
        <f>IF('BANCO DE DADOS'!$AD$32="Sim",R566,Q566)</f>
        <v>13024034.844278732</v>
      </c>
      <c r="T566" s="9">
        <f t="shared" si="186"/>
        <v>562</v>
      </c>
      <c r="U566" s="18">
        <f t="shared" ca="1" si="171"/>
        <v>61484</v>
      </c>
    </row>
    <row r="567" spans="2:21" x14ac:dyDescent="0.2">
      <c r="B567" s="18">
        <f t="shared" ca="1" si="169"/>
        <v>61484</v>
      </c>
      <c r="C567" s="9">
        <f t="shared" si="172"/>
        <v>563</v>
      </c>
      <c r="D567" s="9"/>
      <c r="E567" s="13">
        <f t="shared" si="170"/>
        <v>2000</v>
      </c>
      <c r="F567" s="14">
        <f t="shared" si="173"/>
        <v>1176000</v>
      </c>
      <c r="G567" s="15">
        <f t="shared" si="174"/>
        <v>8.9703579478098205E-2</v>
      </c>
      <c r="H567" s="13">
        <f t="shared" si="175"/>
        <v>83339.926595540455</v>
      </c>
      <c r="I567" s="13">
        <f t="shared" si="176"/>
        <v>11862329.758888382</v>
      </c>
      <c r="J567" s="15">
        <f t="shared" si="177"/>
        <v>0.91029642052190174</v>
      </c>
      <c r="K567" s="13">
        <f t="shared" si="178"/>
        <v>11933844.744680775</v>
      </c>
      <c r="L567" s="13">
        <f t="shared" si="179"/>
        <v>1521054730.137867</v>
      </c>
      <c r="M567" s="15">
        <f t="shared" si="180"/>
        <v>0.91029642052190185</v>
      </c>
      <c r="N567" s="13">
        <f t="shared" si="181"/>
        <v>0</v>
      </c>
      <c r="O567" s="13">
        <f t="shared" si="182"/>
        <v>-71514.98579238914</v>
      </c>
      <c r="P567" s="15">
        <f t="shared" si="183"/>
        <v>-5.4849806006506711E-3</v>
      </c>
      <c r="Q567" s="7">
        <f t="shared" si="184"/>
        <v>13038329.758888386</v>
      </c>
      <c r="R567" s="7">
        <f t="shared" si="185"/>
        <v>13109844.744680775</v>
      </c>
      <c r="S567" s="13">
        <f>IF('BANCO DE DADOS'!$AD$32="Sim",R567,Q567)</f>
        <v>13109844.744680775</v>
      </c>
      <c r="T567" s="9">
        <f t="shared" si="186"/>
        <v>563</v>
      </c>
      <c r="U567" s="18">
        <f t="shared" ca="1" si="171"/>
        <v>61515</v>
      </c>
    </row>
    <row r="568" spans="2:21" x14ac:dyDescent="0.2">
      <c r="B568" s="18">
        <f t="shared" ca="1" si="169"/>
        <v>61515</v>
      </c>
      <c r="C568" s="9">
        <f t="shared" si="172"/>
        <v>564</v>
      </c>
      <c r="D568" s="9">
        <v>47</v>
      </c>
      <c r="E568" s="13">
        <f t="shared" si="170"/>
        <v>2000</v>
      </c>
      <c r="F568" s="14">
        <f t="shared" si="173"/>
        <v>1178000</v>
      </c>
      <c r="G568" s="15">
        <f t="shared" si="174"/>
        <v>8.9268076989475295E-2</v>
      </c>
      <c r="H568" s="13">
        <f t="shared" si="175"/>
        <v>83889.006252841646</v>
      </c>
      <c r="I568" s="13">
        <f t="shared" si="176"/>
        <v>11946218.765141224</v>
      </c>
      <c r="J568" s="15">
        <f t="shared" si="177"/>
        <v>0.91073192301052475</v>
      </c>
      <c r="K568" s="13">
        <f t="shared" si="178"/>
        <v>12018206.748565741</v>
      </c>
      <c r="L568" s="13">
        <f t="shared" si="179"/>
        <v>1533072936.8864326</v>
      </c>
      <c r="M568" s="15">
        <f t="shared" si="180"/>
        <v>0.91073192301052475</v>
      </c>
      <c r="N568" s="13">
        <f t="shared" si="181"/>
        <v>0</v>
      </c>
      <c r="O568" s="13">
        <f t="shared" si="182"/>
        <v>-71987.983424512669</v>
      </c>
      <c r="P568" s="15">
        <f t="shared" si="183"/>
        <v>-5.4851252263271779E-3</v>
      </c>
      <c r="Q568" s="7">
        <f t="shared" si="184"/>
        <v>13124218.765141228</v>
      </c>
      <c r="R568" s="7">
        <f t="shared" si="185"/>
        <v>13196206.748565741</v>
      </c>
      <c r="S568" s="13">
        <f>IF('BANCO DE DADOS'!$AD$32="Sim",R568,Q568)</f>
        <v>13196206.748565741</v>
      </c>
      <c r="T568" s="9">
        <f t="shared" si="186"/>
        <v>564</v>
      </c>
      <c r="U568" s="18">
        <f t="shared" ca="1" si="171"/>
        <v>61545</v>
      </c>
    </row>
    <row r="569" spans="2:21" x14ac:dyDescent="0.2">
      <c r="B569" s="18">
        <f t="shared" ca="1" si="169"/>
        <v>61545</v>
      </c>
      <c r="C569" s="9">
        <f t="shared" si="172"/>
        <v>565</v>
      </c>
      <c r="D569" s="9"/>
      <c r="E569" s="13">
        <f t="shared" si="170"/>
        <v>2000</v>
      </c>
      <c r="F569" s="14">
        <f t="shared" si="173"/>
        <v>1180000</v>
      </c>
      <c r="G569" s="15">
        <f t="shared" si="174"/>
        <v>8.8834521437815686E-2</v>
      </c>
      <c r="H569" s="13">
        <f t="shared" si="175"/>
        <v>84441.618705190704</v>
      </c>
      <c r="I569" s="13">
        <f t="shared" si="176"/>
        <v>12030660.383846415</v>
      </c>
      <c r="J569" s="15">
        <f t="shared" si="177"/>
        <v>0.91116547856218433</v>
      </c>
      <c r="K569" s="13">
        <f t="shared" si="178"/>
        <v>12103124.408184063</v>
      </c>
      <c r="L569" s="13">
        <f t="shared" si="179"/>
        <v>1545176061.2946167</v>
      </c>
      <c r="M569" s="15">
        <f t="shared" si="180"/>
        <v>0.91116547856218433</v>
      </c>
      <c r="N569" s="13">
        <f t="shared" si="181"/>
        <v>0</v>
      </c>
      <c r="O569" s="13">
        <f t="shared" si="182"/>
        <v>-72464.024337643757</v>
      </c>
      <c r="P569" s="15">
        <f t="shared" si="183"/>
        <v>-5.4852688837759003E-3</v>
      </c>
      <c r="Q569" s="7">
        <f t="shared" si="184"/>
        <v>13210660.383846419</v>
      </c>
      <c r="R569" s="7">
        <f t="shared" si="185"/>
        <v>13283124.408184063</v>
      </c>
      <c r="S569" s="13">
        <f>IF('BANCO DE DADOS'!$AD$32="Sim",R569,Q569)</f>
        <v>13283124.408184063</v>
      </c>
      <c r="T569" s="9">
        <f t="shared" si="186"/>
        <v>565</v>
      </c>
      <c r="U569" s="18">
        <f t="shared" ca="1" si="171"/>
        <v>61576</v>
      </c>
    </row>
    <row r="570" spans="2:21" x14ac:dyDescent="0.2">
      <c r="B570" s="18">
        <f t="shared" ca="1" si="169"/>
        <v>61576</v>
      </c>
      <c r="C570" s="9">
        <f t="shared" si="172"/>
        <v>566</v>
      </c>
      <c r="D570" s="9"/>
      <c r="E570" s="13">
        <f t="shared" si="170"/>
        <v>2000</v>
      </c>
      <c r="F570" s="14">
        <f t="shared" si="173"/>
        <v>1182000</v>
      </c>
      <c r="G570" s="15">
        <f t="shared" si="174"/>
        <v>8.8402905269495916E-2</v>
      </c>
      <c r="H570" s="13">
        <f t="shared" si="175"/>
        <v>84997.786682697333</v>
      </c>
      <c r="I570" s="13">
        <f t="shared" si="176"/>
        <v>12115658.170529112</v>
      </c>
      <c r="J570" s="15">
        <f t="shared" si="177"/>
        <v>0.9115970947305041</v>
      </c>
      <c r="K570" s="13">
        <f t="shared" si="178"/>
        <v>12188601.29864146</v>
      </c>
      <c r="L570" s="13">
        <f t="shared" si="179"/>
        <v>1557364662.5932581</v>
      </c>
      <c r="M570" s="15">
        <f t="shared" si="180"/>
        <v>0.9115970947305041</v>
      </c>
      <c r="N570" s="13">
        <f t="shared" si="181"/>
        <v>0</v>
      </c>
      <c r="O570" s="13">
        <f t="shared" si="182"/>
        <v>-72943.128112344071</v>
      </c>
      <c r="P570" s="15">
        <f t="shared" si="183"/>
        <v>-5.4854115797625183E-3</v>
      </c>
      <c r="Q570" s="7">
        <f t="shared" si="184"/>
        <v>13297658.170529116</v>
      </c>
      <c r="R570" s="7">
        <f t="shared" si="185"/>
        <v>13370601.29864146</v>
      </c>
      <c r="S570" s="13">
        <f>IF('BANCO DE DADOS'!$AD$32="Sim",R570,Q570)</f>
        <v>13370601.29864146</v>
      </c>
      <c r="T570" s="9">
        <f t="shared" si="186"/>
        <v>566</v>
      </c>
      <c r="U570" s="18">
        <f t="shared" ca="1" si="171"/>
        <v>61607</v>
      </c>
    </row>
    <row r="571" spans="2:21" x14ac:dyDescent="0.2">
      <c r="B571" s="18">
        <f t="shared" ca="1" si="169"/>
        <v>61607</v>
      </c>
      <c r="C571" s="9">
        <f t="shared" si="172"/>
        <v>567</v>
      </c>
      <c r="D571" s="9"/>
      <c r="E571" s="13">
        <f t="shared" si="170"/>
        <v>2000</v>
      </c>
      <c r="F571" s="14">
        <f t="shared" si="173"/>
        <v>1184000</v>
      </c>
      <c r="G571" s="15">
        <f t="shared" si="174"/>
        <v>8.7973220952430195E-2</v>
      </c>
      <c r="H571" s="13">
        <f t="shared" si="175"/>
        <v>85557.533061717462</v>
      </c>
      <c r="I571" s="13">
        <f t="shared" si="176"/>
        <v>12201215.703590829</v>
      </c>
      <c r="J571" s="15">
        <f t="shared" si="177"/>
        <v>0.91202677904756979</v>
      </c>
      <c r="K571" s="13">
        <f t="shared" si="178"/>
        <v>12274641.01804599</v>
      </c>
      <c r="L571" s="13">
        <f t="shared" si="179"/>
        <v>1569639303.611304</v>
      </c>
      <c r="M571" s="15">
        <f t="shared" si="180"/>
        <v>0.91202677904756979</v>
      </c>
      <c r="N571" s="13">
        <f t="shared" si="181"/>
        <v>0</v>
      </c>
      <c r="O571" s="13">
        <f t="shared" si="182"/>
        <v>-73425.314455157146</v>
      </c>
      <c r="P571" s="15">
        <f t="shared" si="183"/>
        <v>-5.4855533210017259E-3</v>
      </c>
      <c r="Q571" s="7">
        <f t="shared" si="184"/>
        <v>13385215.703590833</v>
      </c>
      <c r="R571" s="7">
        <f t="shared" si="185"/>
        <v>13458641.01804599</v>
      </c>
      <c r="S571" s="13">
        <f>IF('BANCO DE DADOS'!$AD$32="Sim",R571,Q571)</f>
        <v>13458641.01804599</v>
      </c>
      <c r="T571" s="9">
        <f t="shared" si="186"/>
        <v>567</v>
      </c>
      <c r="U571" s="18">
        <f t="shared" ca="1" si="171"/>
        <v>61637</v>
      </c>
    </row>
    <row r="572" spans="2:21" x14ac:dyDescent="0.2">
      <c r="B572" s="18">
        <f t="shared" ca="1" si="169"/>
        <v>61637</v>
      </c>
      <c r="C572" s="9">
        <f t="shared" si="172"/>
        <v>568</v>
      </c>
      <c r="D572" s="9"/>
      <c r="E572" s="13">
        <f t="shared" si="170"/>
        <v>2000</v>
      </c>
      <c r="F572" s="14">
        <f t="shared" si="173"/>
        <v>1186000</v>
      </c>
      <c r="G572" s="15">
        <f t="shared" si="174"/>
        <v>8.7545460976061418E-2</v>
      </c>
      <c r="H572" s="13">
        <f t="shared" si="175"/>
        <v>86120.88086579417</v>
      </c>
      <c r="I572" s="13">
        <f t="shared" si="176"/>
        <v>12287336.584456623</v>
      </c>
      <c r="J572" s="15">
        <f t="shared" si="177"/>
        <v>0.91245453902393858</v>
      </c>
      <c r="K572" s="13">
        <f t="shared" si="178"/>
        <v>12361247.187656045</v>
      </c>
      <c r="L572" s="13">
        <f t="shared" si="179"/>
        <v>1582000550.7989602</v>
      </c>
      <c r="M572" s="15">
        <f t="shared" si="180"/>
        <v>0.91245453902393858</v>
      </c>
      <c r="N572" s="13">
        <f t="shared" si="181"/>
        <v>0</v>
      </c>
      <c r="O572" s="13">
        <f t="shared" si="182"/>
        <v>-73910.603199418634</v>
      </c>
      <c r="P572" s="15">
        <f t="shared" si="183"/>
        <v>-5.4856941141576488E-3</v>
      </c>
      <c r="Q572" s="7">
        <f t="shared" si="184"/>
        <v>13473336.584456626</v>
      </c>
      <c r="R572" s="7">
        <f t="shared" si="185"/>
        <v>13547247.187656045</v>
      </c>
      <c r="S572" s="13">
        <f>IF('BANCO DE DADOS'!$AD$32="Sim",R572,Q572)</f>
        <v>13547247.187656045</v>
      </c>
      <c r="T572" s="9">
        <f t="shared" si="186"/>
        <v>568</v>
      </c>
      <c r="U572" s="18">
        <f t="shared" ca="1" si="171"/>
        <v>61668</v>
      </c>
    </row>
    <row r="573" spans="2:21" x14ac:dyDescent="0.2">
      <c r="B573" s="18">
        <f t="shared" ca="1" si="169"/>
        <v>61668</v>
      </c>
      <c r="C573" s="9">
        <f t="shared" si="172"/>
        <v>569</v>
      </c>
      <c r="D573" s="9"/>
      <c r="E573" s="13">
        <f t="shared" si="170"/>
        <v>2000</v>
      </c>
      <c r="F573" s="14">
        <f t="shared" si="173"/>
        <v>1188000</v>
      </c>
      <c r="G573" s="15">
        <f t="shared" si="174"/>
        <v>8.7119617851351486E-2</v>
      </c>
      <c r="H573" s="13">
        <f t="shared" si="175"/>
        <v>86687.85326660471</v>
      </c>
      <c r="I573" s="13">
        <f t="shared" si="176"/>
        <v>12374024.437723227</v>
      </c>
      <c r="J573" s="15">
        <f t="shared" si="177"/>
        <v>0.91288038214864853</v>
      </c>
      <c r="K573" s="13">
        <f t="shared" si="178"/>
        <v>12448423.452029303</v>
      </c>
      <c r="L573" s="13">
        <f t="shared" si="179"/>
        <v>1594448974.2509894</v>
      </c>
      <c r="M573" s="15">
        <f t="shared" si="180"/>
        <v>0.91288038214864853</v>
      </c>
      <c r="N573" s="13">
        <f t="shared" si="181"/>
        <v>0</v>
      </c>
      <c r="O573" s="13">
        <f t="shared" si="182"/>
        <v>-74399.014306072146</v>
      </c>
      <c r="P573" s="15">
        <f t="shared" si="183"/>
        <v>-5.4858339658442707E-3</v>
      </c>
      <c r="Q573" s="7">
        <f t="shared" si="184"/>
        <v>13562024.437723231</v>
      </c>
      <c r="R573" s="7">
        <f t="shared" si="185"/>
        <v>13636423.452029303</v>
      </c>
      <c r="S573" s="13">
        <f>IF('BANCO DE DADOS'!$AD$32="Sim",R573,Q573)</f>
        <v>13636423.452029303</v>
      </c>
      <c r="T573" s="9">
        <f t="shared" si="186"/>
        <v>569</v>
      </c>
      <c r="U573" s="18">
        <f t="shared" ca="1" si="171"/>
        <v>61698</v>
      </c>
    </row>
    <row r="574" spans="2:21" x14ac:dyDescent="0.2">
      <c r="B574" s="18">
        <f t="shared" ca="1" si="169"/>
        <v>61698</v>
      </c>
      <c r="C574" s="9">
        <f t="shared" si="172"/>
        <v>570</v>
      </c>
      <c r="D574" s="9"/>
      <c r="E574" s="13">
        <f t="shared" si="170"/>
        <v>2000</v>
      </c>
      <c r="F574" s="14">
        <f t="shared" si="173"/>
        <v>1190000</v>
      </c>
      <c r="G574" s="15">
        <f t="shared" si="174"/>
        <v>8.6695684110771484E-2</v>
      </c>
      <c r="H574" s="13">
        <f t="shared" si="175"/>
        <v>87258.473584913605</v>
      </c>
      <c r="I574" s="13">
        <f t="shared" si="176"/>
        <v>12461282.91130814</v>
      </c>
      <c r="J574" s="15">
        <f t="shared" si="177"/>
        <v>0.91330431588922856</v>
      </c>
      <c r="K574" s="13">
        <f t="shared" si="178"/>
        <v>12536173.479172636</v>
      </c>
      <c r="L574" s="13">
        <f t="shared" si="179"/>
        <v>1606985147.7301621</v>
      </c>
      <c r="M574" s="15">
        <f t="shared" si="180"/>
        <v>0.91330431588922856</v>
      </c>
      <c r="N574" s="13">
        <f t="shared" si="181"/>
        <v>0</v>
      </c>
      <c r="O574" s="13">
        <f t="shared" si="182"/>
        <v>-74890.567864492536</v>
      </c>
      <c r="P574" s="15">
        <f t="shared" si="183"/>
        <v>-5.4859728826260256E-3</v>
      </c>
      <c r="Q574" s="7">
        <f t="shared" si="184"/>
        <v>13651282.911308143</v>
      </c>
      <c r="R574" s="7">
        <f t="shared" si="185"/>
        <v>13726173.479172636</v>
      </c>
      <c r="S574" s="13">
        <f>IF('BANCO DE DADOS'!$AD$32="Sim",R574,Q574)</f>
        <v>13726173.479172636</v>
      </c>
      <c r="T574" s="9">
        <f t="shared" si="186"/>
        <v>570</v>
      </c>
      <c r="U574" s="18">
        <f t="shared" ca="1" si="171"/>
        <v>61729</v>
      </c>
    </row>
    <row r="575" spans="2:21" x14ac:dyDescent="0.2">
      <c r="B575" s="18">
        <f t="shared" ca="1" si="169"/>
        <v>61729</v>
      </c>
      <c r="C575" s="9">
        <f t="shared" si="172"/>
        <v>571</v>
      </c>
      <c r="D575" s="9"/>
      <c r="E575" s="13">
        <f t="shared" si="170"/>
        <v>2000</v>
      </c>
      <c r="F575" s="14">
        <f t="shared" si="173"/>
        <v>1192000</v>
      </c>
      <c r="G575" s="15">
        <f t="shared" si="174"/>
        <v>8.6273652308291357E-2</v>
      </c>
      <c r="H575" s="13">
        <f t="shared" si="175"/>
        <v>87832.765291531876</v>
      </c>
      <c r="I575" s="13">
        <f t="shared" si="176"/>
        <v>12549115.676599672</v>
      </c>
      <c r="J575" s="15">
        <f t="shared" si="177"/>
        <v>0.91372634769170868</v>
      </c>
      <c r="K575" s="13">
        <f t="shared" si="178"/>
        <v>12624500.960692983</v>
      </c>
      <c r="L575" s="13">
        <f t="shared" si="179"/>
        <v>1619609648.690855</v>
      </c>
      <c r="M575" s="15">
        <f t="shared" si="180"/>
        <v>0.91372634769170868</v>
      </c>
      <c r="N575" s="13">
        <f t="shared" si="181"/>
        <v>0</v>
      </c>
      <c r="O575" s="13">
        <f t="shared" si="182"/>
        <v>-75385.284093307331</v>
      </c>
      <c r="P575" s="15">
        <f t="shared" si="183"/>
        <v>-5.486110871017854E-3</v>
      </c>
      <c r="Q575" s="7">
        <f t="shared" si="184"/>
        <v>13741115.676599676</v>
      </c>
      <c r="R575" s="7">
        <f t="shared" si="185"/>
        <v>13816500.960692983</v>
      </c>
      <c r="S575" s="13">
        <f>IF('BANCO DE DADOS'!$AD$32="Sim",R575,Q575)</f>
        <v>13816500.960692983</v>
      </c>
      <c r="T575" s="9">
        <f t="shared" si="186"/>
        <v>571</v>
      </c>
      <c r="U575" s="18">
        <f t="shared" ca="1" si="171"/>
        <v>61760</v>
      </c>
    </row>
    <row r="576" spans="2:21" x14ac:dyDescent="0.2">
      <c r="B576" s="18">
        <f t="shared" ca="1" si="169"/>
        <v>61760</v>
      </c>
      <c r="C576" s="9">
        <f t="shared" si="172"/>
        <v>572</v>
      </c>
      <c r="D576" s="9"/>
      <c r="E576" s="13">
        <f t="shared" si="170"/>
        <v>2000</v>
      </c>
      <c r="F576" s="14">
        <f t="shared" si="173"/>
        <v>1194000</v>
      </c>
      <c r="G576" s="15">
        <f t="shared" si="174"/>
        <v>8.5853515019369234E-2</v>
      </c>
      <c r="H576" s="13">
        <f t="shared" si="175"/>
        <v>88410.752008282478</v>
      </c>
      <c r="I576" s="13">
        <f t="shared" si="176"/>
        <v>12637526.428607954</v>
      </c>
      <c r="J576" s="15">
        <f t="shared" si="177"/>
        <v>0.91414648498063078</v>
      </c>
      <c r="K576" s="13">
        <f t="shared" si="178"/>
        <v>12713409.611949192</v>
      </c>
      <c r="L576" s="13">
        <f t="shared" si="179"/>
        <v>1632323058.3028042</v>
      </c>
      <c r="M576" s="15">
        <f t="shared" si="180"/>
        <v>0.91414648498063078</v>
      </c>
      <c r="N576" s="13">
        <f t="shared" si="181"/>
        <v>0</v>
      </c>
      <c r="O576" s="13">
        <f t="shared" si="182"/>
        <v>-75883.183341234922</v>
      </c>
      <c r="P576" s="15">
        <f t="shared" si="183"/>
        <v>-5.4862479374861023E-3</v>
      </c>
      <c r="Q576" s="7">
        <f t="shared" si="184"/>
        <v>13831526.428607957</v>
      </c>
      <c r="R576" s="7">
        <f t="shared" si="185"/>
        <v>13907409.611949192</v>
      </c>
      <c r="S576" s="13">
        <f>IF('BANCO DE DADOS'!$AD$32="Sim",R576,Q576)</f>
        <v>13907409.611949192</v>
      </c>
      <c r="T576" s="9">
        <f t="shared" si="186"/>
        <v>572</v>
      </c>
      <c r="U576" s="18">
        <f t="shared" ca="1" si="171"/>
        <v>61788</v>
      </c>
    </row>
    <row r="577" spans="2:21" x14ac:dyDescent="0.2">
      <c r="B577" s="18">
        <f t="shared" ca="1" si="169"/>
        <v>61788</v>
      </c>
      <c r="C577" s="9">
        <f t="shared" si="172"/>
        <v>573</v>
      </c>
      <c r="D577" s="9"/>
      <c r="E577" s="13">
        <f t="shared" si="170"/>
        <v>2000</v>
      </c>
      <c r="F577" s="14">
        <f t="shared" si="173"/>
        <v>1196000</v>
      </c>
      <c r="G577" s="15">
        <f t="shared" si="174"/>
        <v>8.5435264840940287E-2</v>
      </c>
      <c r="H577" s="13">
        <f t="shared" si="175"/>
        <v>88992.457508971813</v>
      </c>
      <c r="I577" s="13">
        <f t="shared" si="176"/>
        <v>12726518.886116926</v>
      </c>
      <c r="J577" s="15">
        <f t="shared" si="177"/>
        <v>0.91456473515905967</v>
      </c>
      <c r="K577" s="13">
        <f t="shared" si="178"/>
        <v>12802903.172204845</v>
      </c>
      <c r="L577" s="13">
        <f t="shared" si="179"/>
        <v>1645125961.475009</v>
      </c>
      <c r="M577" s="15">
        <f t="shared" si="180"/>
        <v>0.91456473515905967</v>
      </c>
      <c r="N577" s="13">
        <f t="shared" si="181"/>
        <v>0</v>
      </c>
      <c r="O577" s="13">
        <f t="shared" si="182"/>
        <v>-76384.286087915301</v>
      </c>
      <c r="P577" s="15">
        <f t="shared" si="183"/>
        <v>-5.4863840884484746E-3</v>
      </c>
      <c r="Q577" s="7">
        <f t="shared" si="184"/>
        <v>13922518.886116929</v>
      </c>
      <c r="R577" s="7">
        <f t="shared" si="185"/>
        <v>13998903.172204845</v>
      </c>
      <c r="S577" s="13">
        <f>IF('BANCO DE DADOS'!$AD$32="Sim",R577,Q577)</f>
        <v>13998903.172204845</v>
      </c>
      <c r="T577" s="9">
        <f t="shared" si="186"/>
        <v>573</v>
      </c>
      <c r="U577" s="18">
        <f t="shared" ca="1" si="171"/>
        <v>61819</v>
      </c>
    </row>
    <row r="578" spans="2:21" x14ac:dyDescent="0.2">
      <c r="B578" s="18">
        <f t="shared" ca="1" si="169"/>
        <v>61819</v>
      </c>
      <c r="C578" s="9">
        <f t="shared" si="172"/>
        <v>574</v>
      </c>
      <c r="D578" s="9"/>
      <c r="E578" s="13">
        <f t="shared" si="170"/>
        <v>2000</v>
      </c>
      <c r="F578" s="14">
        <f t="shared" si="173"/>
        <v>1198000</v>
      </c>
      <c r="G578" s="15">
        <f t="shared" si="174"/>
        <v>8.5018894391405378E-2</v>
      </c>
      <c r="H578" s="13">
        <f t="shared" si="175"/>
        <v>89577.905720367737</v>
      </c>
      <c r="I578" s="13">
        <f t="shared" si="176"/>
        <v>12816096.791837294</v>
      </c>
      <c r="J578" s="15">
        <f t="shared" si="177"/>
        <v>0.91498110560859458</v>
      </c>
      <c r="K578" s="13">
        <f t="shared" si="178"/>
        <v>12892985.404782053</v>
      </c>
      <c r="L578" s="13">
        <f t="shared" si="179"/>
        <v>1658018946.879791</v>
      </c>
      <c r="M578" s="15">
        <f t="shared" si="180"/>
        <v>0.91498110560859458</v>
      </c>
      <c r="N578" s="13">
        <f t="shared" si="181"/>
        <v>0</v>
      </c>
      <c r="O578" s="13">
        <f t="shared" si="182"/>
        <v>-76888.612944755703</v>
      </c>
      <c r="P578" s="15">
        <f t="shared" si="183"/>
        <v>-5.4865193302746796E-3</v>
      </c>
      <c r="Q578" s="7">
        <f t="shared" si="184"/>
        <v>14014096.791837297</v>
      </c>
      <c r="R578" s="7">
        <f t="shared" si="185"/>
        <v>14090985.404782053</v>
      </c>
      <c r="S578" s="13">
        <f>IF('BANCO DE DADOS'!$AD$32="Sim",R578,Q578)</f>
        <v>14090985.404782053</v>
      </c>
      <c r="T578" s="9">
        <f t="shared" si="186"/>
        <v>574</v>
      </c>
      <c r="U578" s="18">
        <f t="shared" ca="1" si="171"/>
        <v>61849</v>
      </c>
    </row>
    <row r="579" spans="2:21" x14ac:dyDescent="0.2">
      <c r="B579" s="18">
        <f t="shared" ca="1" si="169"/>
        <v>61849</v>
      </c>
      <c r="C579" s="9">
        <f t="shared" si="172"/>
        <v>575</v>
      </c>
      <c r="D579" s="9"/>
      <c r="E579" s="13">
        <f t="shared" si="170"/>
        <v>2000</v>
      </c>
      <c r="F579" s="14">
        <f t="shared" si="173"/>
        <v>1200000</v>
      </c>
      <c r="G579" s="15">
        <f t="shared" si="174"/>
        <v>8.4604396310619195E-2</v>
      </c>
      <c r="H579" s="13">
        <f t="shared" si="175"/>
        <v>90167.120723183645</v>
      </c>
      <c r="I579" s="13">
        <f t="shared" si="176"/>
        <v>12906263.912560478</v>
      </c>
      <c r="J579" s="15">
        <f t="shared" si="177"/>
        <v>0.91539560368938078</v>
      </c>
      <c r="K579" s="13">
        <f t="shared" si="178"/>
        <v>12983660.09721626</v>
      </c>
      <c r="L579" s="13">
        <f t="shared" si="179"/>
        <v>1671002606.9770074</v>
      </c>
      <c r="M579" s="15">
        <f t="shared" si="180"/>
        <v>0.91539560368938078</v>
      </c>
      <c r="N579" s="13">
        <f t="shared" si="181"/>
        <v>0</v>
      </c>
      <c r="O579" s="13">
        <f t="shared" si="182"/>
        <v>-77396.18465577811</v>
      </c>
      <c r="P579" s="15">
        <f t="shared" si="183"/>
        <v>-5.4866536692868119E-3</v>
      </c>
      <c r="Q579" s="7">
        <f t="shared" si="184"/>
        <v>14106263.912560482</v>
      </c>
      <c r="R579" s="7">
        <f t="shared" si="185"/>
        <v>14183660.09721626</v>
      </c>
      <c r="S579" s="13">
        <f>IF('BANCO DE DADOS'!$AD$32="Sim",R579,Q579)</f>
        <v>14183660.09721626</v>
      </c>
      <c r="T579" s="9">
        <f t="shared" si="186"/>
        <v>575</v>
      </c>
      <c r="U579" s="18">
        <f t="shared" ca="1" si="171"/>
        <v>61880</v>
      </c>
    </row>
    <row r="580" spans="2:21" x14ac:dyDescent="0.2">
      <c r="B580" s="18">
        <f t="shared" ca="1" si="169"/>
        <v>61880</v>
      </c>
      <c r="C580" s="9">
        <f t="shared" si="172"/>
        <v>576</v>
      </c>
      <c r="D580" s="9">
        <v>48</v>
      </c>
      <c r="E580" s="13">
        <f t="shared" si="170"/>
        <v>2000</v>
      </c>
      <c r="F580" s="14">
        <f t="shared" si="173"/>
        <v>1202000</v>
      </c>
      <c r="G580" s="15">
        <f t="shared" si="174"/>
        <v>8.4191763259878011E-2</v>
      </c>
      <c r="H580" s="13">
        <f t="shared" si="175"/>
        <v>90760.126753068937</v>
      </c>
      <c r="I580" s="13">
        <f t="shared" si="176"/>
        <v>12997024.039313547</v>
      </c>
      <c r="J580" s="15">
        <f t="shared" si="177"/>
        <v>0.91580823674012202</v>
      </c>
      <c r="K580" s="13">
        <f t="shared" si="178"/>
        <v>13074931.061412023</v>
      </c>
      <c r="L580" s="13">
        <f t="shared" si="179"/>
        <v>1684077538.0384195</v>
      </c>
      <c r="M580" s="15">
        <f t="shared" si="180"/>
        <v>0.91580823674012202</v>
      </c>
      <c r="N580" s="13">
        <f t="shared" si="181"/>
        <v>0</v>
      </c>
      <c r="O580" s="13">
        <f t="shared" si="182"/>
        <v>-77907.022098472342</v>
      </c>
      <c r="P580" s="15">
        <f t="shared" si="183"/>
        <v>-5.486787111759742E-3</v>
      </c>
      <c r="Q580" s="7">
        <f t="shared" si="184"/>
        <v>14199024.039313551</v>
      </c>
      <c r="R580" s="7">
        <f t="shared" si="185"/>
        <v>14276931.061412023</v>
      </c>
      <c r="S580" s="13">
        <f>IF('BANCO DE DADOS'!$AD$32="Sim",R580,Q580)</f>
        <v>14276931.061412023</v>
      </c>
      <c r="T580" s="9">
        <f t="shared" si="186"/>
        <v>576</v>
      </c>
      <c r="U580" s="18">
        <f t="shared" ca="1" si="171"/>
        <v>61910</v>
      </c>
    </row>
    <row r="581" spans="2:21" x14ac:dyDescent="0.2">
      <c r="B581" s="18">
        <f t="shared" ca="1" si="169"/>
        <v>61910</v>
      </c>
      <c r="C581" s="9">
        <f t="shared" si="172"/>
        <v>577</v>
      </c>
      <c r="D581" s="9"/>
      <c r="E581" s="13">
        <f t="shared" si="170"/>
        <v>2000</v>
      </c>
      <c r="F581" s="14">
        <f t="shared" si="173"/>
        <v>1204000</v>
      </c>
      <c r="G581" s="15">
        <f t="shared" si="174"/>
        <v>8.3780987921907177E-2</v>
      </c>
      <c r="H581" s="13">
        <f t="shared" si="175"/>
        <v>91356.948201605919</v>
      </c>
      <c r="I581" s="13">
        <f t="shared" si="176"/>
        <v>13088380.987515153</v>
      </c>
      <c r="J581" s="15">
        <f t="shared" si="177"/>
        <v>0.91621901207809286</v>
      </c>
      <c r="K581" s="13">
        <f t="shared" si="178"/>
        <v>13166802.133799812</v>
      </c>
      <c r="L581" s="13">
        <f t="shared" si="179"/>
        <v>1697244340.1722193</v>
      </c>
      <c r="M581" s="15">
        <f t="shared" si="180"/>
        <v>0.91621901207809286</v>
      </c>
      <c r="N581" s="13">
        <f t="shared" si="181"/>
        <v>0</v>
      </c>
      <c r="O581" s="13">
        <f t="shared" si="182"/>
        <v>-78421.146284654737</v>
      </c>
      <c r="P581" s="15">
        <f t="shared" si="183"/>
        <v>-5.4869196639215027E-3</v>
      </c>
      <c r="Q581" s="7">
        <f t="shared" si="184"/>
        <v>14292380.987515157</v>
      </c>
      <c r="R581" s="7">
        <f t="shared" si="185"/>
        <v>14370802.133799812</v>
      </c>
      <c r="S581" s="13">
        <f>IF('BANCO DE DADOS'!$AD$32="Sim",R581,Q581)</f>
        <v>14370802.133799812</v>
      </c>
      <c r="T581" s="9">
        <f t="shared" si="186"/>
        <v>577</v>
      </c>
      <c r="U581" s="18">
        <f t="shared" ca="1" si="171"/>
        <v>61941</v>
      </c>
    </row>
    <row r="582" spans="2:21" x14ac:dyDescent="0.2">
      <c r="B582" s="18">
        <f t="shared" ref="B582:B604" ca="1" si="187">DATE(YEAR(B581),MONTH(B581)+1,1)</f>
        <v>61941</v>
      </c>
      <c r="C582" s="9">
        <f t="shared" si="172"/>
        <v>578</v>
      </c>
      <c r="D582" s="9"/>
      <c r="E582" s="13">
        <f t="shared" ref="E582:E604" si="188">IF($AE$33,IF($AE$34,$E581*(1+Inflação)*(1+Crescimento_Salário),$E581*(1+Inflação)),IF($AE$34,$E581*(1+Crescimento_Salário),$E581))</f>
        <v>2000</v>
      </c>
      <c r="F582" s="14">
        <f t="shared" si="173"/>
        <v>1206000</v>
      </c>
      <c r="G582" s="15">
        <f t="shared" si="174"/>
        <v>8.3372063000848151E-2</v>
      </c>
      <c r="H582" s="13">
        <f t="shared" si="175"/>
        <v>91957.609617313079</v>
      </c>
      <c r="I582" s="13">
        <f t="shared" si="176"/>
        <v>13180338.597132467</v>
      </c>
      <c r="J582" s="15">
        <f t="shared" si="177"/>
        <v>0.9166279369991519</v>
      </c>
      <c r="K582" s="13">
        <f t="shared" si="178"/>
        <v>13259277.175493801</v>
      </c>
      <c r="L582" s="13">
        <f t="shared" si="179"/>
        <v>1710503617.347713</v>
      </c>
      <c r="M582" s="15">
        <f t="shared" si="180"/>
        <v>0.91662793699915179</v>
      </c>
      <c r="N582" s="13">
        <f t="shared" si="181"/>
        <v>0</v>
      </c>
      <c r="O582" s="13">
        <f t="shared" si="182"/>
        <v>-78938.578361330554</v>
      </c>
      <c r="P582" s="15">
        <f t="shared" si="183"/>
        <v>-5.4870513319535547E-3</v>
      </c>
      <c r="Q582" s="7">
        <f t="shared" si="184"/>
        <v>14386338.59713247</v>
      </c>
      <c r="R582" s="7">
        <f t="shared" si="185"/>
        <v>14465277.175493801</v>
      </c>
      <c r="S582" s="13">
        <f>IF('BANCO DE DADOS'!$AD$32="Sim",R582,Q582)</f>
        <v>14465277.175493801</v>
      </c>
      <c r="T582" s="9">
        <f t="shared" si="186"/>
        <v>578</v>
      </c>
      <c r="U582" s="18">
        <f t="shared" ref="U582:U604" ca="1" si="189">DATE(YEAR(U581),MONTH(U581)+1,1)</f>
        <v>61972</v>
      </c>
    </row>
    <row r="583" spans="2:21" x14ac:dyDescent="0.2">
      <c r="B583" s="18">
        <f t="shared" ca="1" si="187"/>
        <v>61972</v>
      </c>
      <c r="C583" s="9">
        <f t="shared" ref="C583:C604" si="190">C582+1</f>
        <v>579</v>
      </c>
      <c r="D583" s="9"/>
      <c r="E583" s="13">
        <f t="shared" si="188"/>
        <v>2000</v>
      </c>
      <c r="F583" s="14">
        <f t="shared" si="173"/>
        <v>1208000</v>
      </c>
      <c r="G583" s="15">
        <f t="shared" si="174"/>
        <v>8.296498122224516E-2</v>
      </c>
      <c r="H583" s="13">
        <f t="shared" si="175"/>
        <v>92562.135706654823</v>
      </c>
      <c r="I583" s="13">
        <f t="shared" si="176"/>
        <v>13272900.732839122</v>
      </c>
      <c r="J583" s="15">
        <f t="shared" si="177"/>
        <v>0.91703501877775484</v>
      </c>
      <c r="K583" s="13">
        <f t="shared" si="178"/>
        <v>13352360.072450694</v>
      </c>
      <c r="L583" s="13">
        <f t="shared" si="179"/>
        <v>1723855977.4201636</v>
      </c>
      <c r="M583" s="15">
        <f t="shared" si="180"/>
        <v>0.91703501877775484</v>
      </c>
      <c r="N583" s="13">
        <f t="shared" si="181"/>
        <v>0</v>
      </c>
      <c r="O583" s="13">
        <f t="shared" si="182"/>
        <v>-79459.339611567557</v>
      </c>
      <c r="P583" s="15">
        <f t="shared" si="183"/>
        <v>-5.4871821219914371E-3</v>
      </c>
      <c r="Q583" s="7">
        <f t="shared" si="184"/>
        <v>14480900.732839126</v>
      </c>
      <c r="R583" s="7">
        <f t="shared" si="185"/>
        <v>14560360.072450694</v>
      </c>
      <c r="S583" s="13">
        <f>IF('BANCO DE DADOS'!$AD$32="Sim",R583,Q583)</f>
        <v>14560360.072450694</v>
      </c>
      <c r="T583" s="9">
        <f t="shared" si="186"/>
        <v>579</v>
      </c>
      <c r="U583" s="18">
        <f t="shared" ca="1" si="189"/>
        <v>62002</v>
      </c>
    </row>
    <row r="584" spans="2:21" x14ac:dyDescent="0.2">
      <c r="B584" s="18">
        <f t="shared" ca="1" si="187"/>
        <v>62002</v>
      </c>
      <c r="C584" s="9">
        <f t="shared" si="190"/>
        <v>580</v>
      </c>
      <c r="D584" s="9"/>
      <c r="E584" s="13">
        <f t="shared" si="188"/>
        <v>2000</v>
      </c>
      <c r="F584" s="14">
        <f t="shared" si="173"/>
        <v>1210000</v>
      </c>
      <c r="G584" s="15">
        <f t="shared" si="174"/>
        <v>8.2559735333031584E-2</v>
      </c>
      <c r="H584" s="13">
        <f t="shared" si="175"/>
        <v>93170.55133505768</v>
      </c>
      <c r="I584" s="13">
        <f t="shared" si="176"/>
        <v>13366071.28417418</v>
      </c>
      <c r="J584" s="15">
        <f t="shared" si="177"/>
        <v>0.91744026466696837</v>
      </c>
      <c r="K584" s="13">
        <f t="shared" si="178"/>
        <v>13446054.735629553</v>
      </c>
      <c r="L584" s="13">
        <f t="shared" si="179"/>
        <v>1737302032.1557932</v>
      </c>
      <c r="M584" s="15">
        <f t="shared" si="180"/>
        <v>0.91744026466696837</v>
      </c>
      <c r="N584" s="13">
        <f t="shared" si="181"/>
        <v>0</v>
      </c>
      <c r="O584" s="13">
        <f t="shared" si="182"/>
        <v>-79983.451455369592</v>
      </c>
      <c r="P584" s="15">
        <f t="shared" si="183"/>
        <v>-5.4873120401250225E-3</v>
      </c>
      <c r="Q584" s="7">
        <f t="shared" si="184"/>
        <v>14576071.284174183</v>
      </c>
      <c r="R584" s="7">
        <f t="shared" si="185"/>
        <v>14656054.735629553</v>
      </c>
      <c r="S584" s="13">
        <f>IF('BANCO DE DADOS'!$AD$32="Sim",R584,Q584)</f>
        <v>14656054.735629553</v>
      </c>
      <c r="T584" s="9">
        <f t="shared" si="186"/>
        <v>580</v>
      </c>
      <c r="U584" s="18">
        <f t="shared" ca="1" si="189"/>
        <v>62033</v>
      </c>
    </row>
    <row r="585" spans="2:21" x14ac:dyDescent="0.2">
      <c r="B585" s="18">
        <f t="shared" ca="1" si="187"/>
        <v>62033</v>
      </c>
      <c r="C585" s="9">
        <f t="shared" si="190"/>
        <v>581</v>
      </c>
      <c r="D585" s="9"/>
      <c r="E585" s="13">
        <f t="shared" si="188"/>
        <v>2000</v>
      </c>
      <c r="F585" s="14">
        <f t="shared" si="173"/>
        <v>1212000</v>
      </c>
      <c r="G585" s="15">
        <f t="shared" si="174"/>
        <v>8.2156318101515857E-2</v>
      </c>
      <c r="H585" s="13">
        <f t="shared" si="175"/>
        <v>93782.881527933059</v>
      </c>
      <c r="I585" s="13">
        <f t="shared" si="176"/>
        <v>13459854.165702112</v>
      </c>
      <c r="J585" s="15">
        <f t="shared" si="177"/>
        <v>0.91784368189848409</v>
      </c>
      <c r="K585" s="13">
        <f t="shared" si="178"/>
        <v>13540365.101152672</v>
      </c>
      <c r="L585" s="13">
        <f t="shared" si="179"/>
        <v>1750842397.2569458</v>
      </c>
      <c r="M585" s="15">
        <f t="shared" si="180"/>
        <v>0.9178436818984842</v>
      </c>
      <c r="N585" s="13">
        <f t="shared" si="181"/>
        <v>0</v>
      </c>
      <c r="O585" s="13">
        <f t="shared" si="182"/>
        <v>-80510.935450555757</v>
      </c>
      <c r="P585" s="15">
        <f t="shared" si="183"/>
        <v>-5.4874410923987631E-3</v>
      </c>
      <c r="Q585" s="7">
        <f t="shared" si="184"/>
        <v>14671854.165702116</v>
      </c>
      <c r="R585" s="7">
        <f t="shared" si="185"/>
        <v>14752365.101152672</v>
      </c>
      <c r="S585" s="13">
        <f>IF('BANCO DE DADOS'!$AD$32="Sim",R585,Q585)</f>
        <v>14752365.101152672</v>
      </c>
      <c r="T585" s="9">
        <f t="shared" si="186"/>
        <v>581</v>
      </c>
      <c r="U585" s="18">
        <f t="shared" ca="1" si="189"/>
        <v>62063</v>
      </c>
    </row>
    <row r="586" spans="2:21" x14ac:dyDescent="0.2">
      <c r="B586" s="18">
        <f t="shared" ca="1" si="187"/>
        <v>62063</v>
      </c>
      <c r="C586" s="9">
        <f t="shared" si="190"/>
        <v>582</v>
      </c>
      <c r="D586" s="9"/>
      <c r="E586" s="13">
        <f t="shared" si="188"/>
        <v>2000</v>
      </c>
      <c r="F586" s="14">
        <f t="shared" si="173"/>
        <v>1214000</v>
      </c>
      <c r="G586" s="15">
        <f t="shared" si="174"/>
        <v>8.1754722317367134E-2</v>
      </c>
      <c r="H586" s="13">
        <f t="shared" si="175"/>
        <v>94399.151471706675</v>
      </c>
      <c r="I586" s="13">
        <f t="shared" si="176"/>
        <v>13554253.317173818</v>
      </c>
      <c r="J586" s="15">
        <f t="shared" si="177"/>
        <v>0.91824527768263287</v>
      </c>
      <c r="K586" s="13">
        <f t="shared" si="178"/>
        <v>13635295.130467471</v>
      </c>
      <c r="L586" s="13">
        <f t="shared" si="179"/>
        <v>1764477692.3874133</v>
      </c>
      <c r="M586" s="15">
        <f t="shared" si="180"/>
        <v>0.91824527768263287</v>
      </c>
      <c r="N586" s="13">
        <f t="shared" si="181"/>
        <v>0</v>
      </c>
      <c r="O586" s="13">
        <f t="shared" si="182"/>
        <v>-81041.813293648884</v>
      </c>
      <c r="P586" s="15">
        <f t="shared" si="183"/>
        <v>-5.4875692848121958E-3</v>
      </c>
      <c r="Q586" s="7">
        <f t="shared" si="184"/>
        <v>14768253.317173822</v>
      </c>
      <c r="R586" s="7">
        <f t="shared" si="185"/>
        <v>14849295.130467471</v>
      </c>
      <c r="S586" s="13">
        <f>IF('BANCO DE DADOS'!$AD$32="Sim",R586,Q586)</f>
        <v>14849295.130467471</v>
      </c>
      <c r="T586" s="9">
        <f t="shared" si="186"/>
        <v>582</v>
      </c>
      <c r="U586" s="18">
        <f t="shared" ca="1" si="189"/>
        <v>62094</v>
      </c>
    </row>
    <row r="587" spans="2:21" x14ac:dyDescent="0.2">
      <c r="B587" s="18">
        <f t="shared" ca="1" si="187"/>
        <v>62094</v>
      </c>
      <c r="C587" s="9">
        <f t="shared" si="190"/>
        <v>583</v>
      </c>
      <c r="D587" s="9"/>
      <c r="E587" s="13">
        <f t="shared" si="188"/>
        <v>2000</v>
      </c>
      <c r="F587" s="14">
        <f t="shared" si="173"/>
        <v>1216000</v>
      </c>
      <c r="G587" s="15">
        <f t="shared" si="174"/>
        <v>8.135494079160048E-2</v>
      </c>
      <c r="H587" s="13">
        <f t="shared" si="175"/>
        <v>95019.386514854414</v>
      </c>
      <c r="I587" s="13">
        <f t="shared" si="176"/>
        <v>13649272.703688672</v>
      </c>
      <c r="J587" s="15">
        <f t="shared" si="177"/>
        <v>0.91864505920839956</v>
      </c>
      <c r="K587" s="13">
        <f t="shared" si="178"/>
        <v>13730848.810509445</v>
      </c>
      <c r="L587" s="13">
        <f t="shared" si="179"/>
        <v>1778208541.1979227</v>
      </c>
      <c r="M587" s="15">
        <f t="shared" si="180"/>
        <v>0.91864505920839956</v>
      </c>
      <c r="N587" s="13">
        <f t="shared" si="181"/>
        <v>0</v>
      </c>
      <c r="O587" s="13">
        <f t="shared" si="182"/>
        <v>-81576.106820769608</v>
      </c>
      <c r="P587" s="15">
        <f t="shared" si="183"/>
        <v>-5.4876966233204233E-3</v>
      </c>
      <c r="Q587" s="7">
        <f t="shared" si="184"/>
        <v>14865272.703688676</v>
      </c>
      <c r="R587" s="7">
        <f t="shared" si="185"/>
        <v>14946848.810509445</v>
      </c>
      <c r="S587" s="13">
        <f>IF('BANCO DE DADOS'!$AD$32="Sim",R587,Q587)</f>
        <v>14946848.810509445</v>
      </c>
      <c r="T587" s="9">
        <f t="shared" si="186"/>
        <v>583</v>
      </c>
      <c r="U587" s="18">
        <f t="shared" ca="1" si="189"/>
        <v>62125</v>
      </c>
    </row>
    <row r="588" spans="2:21" x14ac:dyDescent="0.2">
      <c r="B588" s="18">
        <f t="shared" ca="1" si="187"/>
        <v>62125</v>
      </c>
      <c r="C588" s="9">
        <f t="shared" si="190"/>
        <v>584</v>
      </c>
      <c r="D588" s="9"/>
      <c r="E588" s="13">
        <f t="shared" si="188"/>
        <v>2000</v>
      </c>
      <c r="F588" s="14">
        <f t="shared" si="173"/>
        <v>1218000</v>
      </c>
      <c r="G588" s="15">
        <f t="shared" si="174"/>
        <v>8.0956966356561813E-2</v>
      </c>
      <c r="H588" s="13">
        <f t="shared" si="175"/>
        <v>95643.612168945037</v>
      </c>
      <c r="I588" s="13">
        <f t="shared" si="176"/>
        <v>13744916.315857617</v>
      </c>
      <c r="J588" s="15">
        <f t="shared" si="177"/>
        <v>0.9190430336434382</v>
      </c>
      <c r="K588" s="13">
        <f t="shared" si="178"/>
        <v>13827030.153866151</v>
      </c>
      <c r="L588" s="13">
        <f t="shared" si="179"/>
        <v>1792035571.3517888</v>
      </c>
      <c r="M588" s="15">
        <f t="shared" si="180"/>
        <v>0.9190430336434382</v>
      </c>
      <c r="N588" s="13">
        <f t="shared" si="181"/>
        <v>0</v>
      </c>
      <c r="O588" s="13">
        <f t="shared" si="182"/>
        <v>-82113.838008530438</v>
      </c>
      <c r="P588" s="15">
        <f t="shared" si="183"/>
        <v>-5.4878231138342079E-3</v>
      </c>
      <c r="Q588" s="7">
        <f t="shared" si="184"/>
        <v>14962916.315857621</v>
      </c>
      <c r="R588" s="7">
        <f t="shared" si="185"/>
        <v>15045030.153866151</v>
      </c>
      <c r="S588" s="13">
        <f>IF('BANCO DE DADOS'!$AD$32="Sim",R588,Q588)</f>
        <v>15045030.153866151</v>
      </c>
      <c r="T588" s="9">
        <f t="shared" si="186"/>
        <v>584</v>
      </c>
      <c r="U588" s="18">
        <f t="shared" ca="1" si="189"/>
        <v>62153</v>
      </c>
    </row>
    <row r="589" spans="2:21" x14ac:dyDescent="0.2">
      <c r="B589" s="18">
        <f t="shared" ca="1" si="187"/>
        <v>62153</v>
      </c>
      <c r="C589" s="9">
        <f t="shared" si="190"/>
        <v>585</v>
      </c>
      <c r="D589" s="9"/>
      <c r="E589" s="13">
        <f t="shared" si="188"/>
        <v>2000</v>
      </c>
      <c r="F589" s="14">
        <f t="shared" si="173"/>
        <v>1220000</v>
      </c>
      <c r="G589" s="15">
        <f t="shared" si="174"/>
        <v>8.056079186591239E-2</v>
      </c>
      <c r="H589" s="13">
        <f t="shared" si="175"/>
        <v>96271.854109689535</v>
      </c>
      <c r="I589" s="13">
        <f t="shared" si="176"/>
        <v>13841188.169967307</v>
      </c>
      <c r="J589" s="15">
        <f t="shared" si="177"/>
        <v>0.91943920813408764</v>
      </c>
      <c r="K589" s="13">
        <f t="shared" si="178"/>
        <v>13923843.198942255</v>
      </c>
      <c r="L589" s="13">
        <f t="shared" si="179"/>
        <v>1805959414.5507309</v>
      </c>
      <c r="M589" s="15">
        <f t="shared" si="180"/>
        <v>0.91943920813408764</v>
      </c>
      <c r="N589" s="13">
        <f t="shared" si="181"/>
        <v>0</v>
      </c>
      <c r="O589" s="13">
        <f t="shared" si="182"/>
        <v>-82655.028974944726</v>
      </c>
      <c r="P589" s="15">
        <f t="shared" si="183"/>
        <v>-5.4879487622206714E-3</v>
      </c>
      <c r="Q589" s="7">
        <f t="shared" si="184"/>
        <v>15061188.169967311</v>
      </c>
      <c r="R589" s="7">
        <f t="shared" si="185"/>
        <v>15143843.198942255</v>
      </c>
      <c r="S589" s="13">
        <f>IF('BANCO DE DADOS'!$AD$32="Sim",R589,Q589)</f>
        <v>15143843.198942255</v>
      </c>
      <c r="T589" s="9">
        <f t="shared" si="186"/>
        <v>585</v>
      </c>
      <c r="U589" s="18">
        <f t="shared" ca="1" si="189"/>
        <v>62184</v>
      </c>
    </row>
    <row r="590" spans="2:21" x14ac:dyDescent="0.2">
      <c r="B590" s="18">
        <f t="shared" ca="1" si="187"/>
        <v>62184</v>
      </c>
      <c r="C590" s="9">
        <f t="shared" si="190"/>
        <v>586</v>
      </c>
      <c r="D590" s="9"/>
      <c r="E590" s="13">
        <f t="shared" si="188"/>
        <v>2000</v>
      </c>
      <c r="F590" s="14">
        <f t="shared" si="173"/>
        <v>1222000</v>
      </c>
      <c r="G590" s="15">
        <f t="shared" si="174"/>
        <v>8.0166410194613055E-2</v>
      </c>
      <c r="H590" s="13">
        <f t="shared" si="175"/>
        <v>96904.138177997142</v>
      </c>
      <c r="I590" s="13">
        <f t="shared" si="176"/>
        <v>13938092.308145303</v>
      </c>
      <c r="J590" s="15">
        <f t="shared" si="177"/>
        <v>0.91983358980538699</v>
      </c>
      <c r="K590" s="13">
        <f t="shared" si="178"/>
        <v>14021292.010125641</v>
      </c>
      <c r="L590" s="13">
        <f t="shared" si="179"/>
        <v>1819980706.5608566</v>
      </c>
      <c r="M590" s="15">
        <f t="shared" si="180"/>
        <v>0.91983358980538699</v>
      </c>
      <c r="N590" s="13">
        <f t="shared" si="181"/>
        <v>0</v>
      </c>
      <c r="O590" s="13">
        <f t="shared" si="182"/>
        <v>-83199.701980333775</v>
      </c>
      <c r="P590" s="15">
        <f t="shared" si="183"/>
        <v>-5.4880735743034845E-3</v>
      </c>
      <c r="Q590" s="7">
        <f t="shared" si="184"/>
        <v>15160092.308145307</v>
      </c>
      <c r="R590" s="7">
        <f t="shared" si="185"/>
        <v>15243292.010125641</v>
      </c>
      <c r="S590" s="13">
        <f>IF('BANCO DE DADOS'!$AD$32="Sim",R590,Q590)</f>
        <v>15243292.010125641</v>
      </c>
      <c r="T590" s="9">
        <f t="shared" si="186"/>
        <v>586</v>
      </c>
      <c r="U590" s="18">
        <f t="shared" ca="1" si="189"/>
        <v>62214</v>
      </c>
    </row>
    <row r="591" spans="2:21" x14ac:dyDescent="0.2">
      <c r="B591" s="18">
        <f t="shared" ca="1" si="187"/>
        <v>62214</v>
      </c>
      <c r="C591" s="9">
        <f t="shared" si="190"/>
        <v>587</v>
      </c>
      <c r="D591" s="9"/>
      <c r="E591" s="13">
        <f t="shared" si="188"/>
        <v>2000</v>
      </c>
      <c r="F591" s="14">
        <f t="shared" si="173"/>
        <v>1224000</v>
      </c>
      <c r="G591" s="15">
        <f t="shared" si="174"/>
        <v>7.9773814238908045E-2</v>
      </c>
      <c r="H591" s="13">
        <f t="shared" si="175"/>
        <v>97540.490381038311</v>
      </c>
      <c r="I591" s="13">
        <f t="shared" si="176"/>
        <v>14035632.798526341</v>
      </c>
      <c r="J591" s="15">
        <f t="shared" si="177"/>
        <v>0.92022618576109194</v>
      </c>
      <c r="K591" s="13">
        <f t="shared" si="178"/>
        <v>14119380.677954584</v>
      </c>
      <c r="L591" s="13">
        <f t="shared" si="179"/>
        <v>1834100087.2388113</v>
      </c>
      <c r="M591" s="15">
        <f t="shared" si="180"/>
        <v>0.92022618576109194</v>
      </c>
      <c r="N591" s="13">
        <f t="shared" si="181"/>
        <v>0</v>
      </c>
      <c r="O591" s="13">
        <f t="shared" si="182"/>
        <v>-83747.879428239539</v>
      </c>
      <c r="P591" s="15">
        <f t="shared" si="183"/>
        <v>-5.4881975558630251E-3</v>
      </c>
      <c r="Q591" s="7">
        <f t="shared" si="184"/>
        <v>15259632.798526345</v>
      </c>
      <c r="R591" s="7">
        <f t="shared" si="185"/>
        <v>15343380.677954584</v>
      </c>
      <c r="S591" s="13">
        <f>IF('BANCO DE DADOS'!$AD$32="Sim",R591,Q591)</f>
        <v>15343380.677954584</v>
      </c>
      <c r="T591" s="9">
        <f t="shared" si="186"/>
        <v>587</v>
      </c>
      <c r="U591" s="18">
        <f t="shared" ca="1" si="189"/>
        <v>62245</v>
      </c>
    </row>
    <row r="592" spans="2:21" x14ac:dyDescent="0.2">
      <c r="B592" s="18">
        <f t="shared" ca="1" si="187"/>
        <v>62245</v>
      </c>
      <c r="C592" s="9">
        <f t="shared" si="190"/>
        <v>588</v>
      </c>
      <c r="D592" s="9">
        <v>49</v>
      </c>
      <c r="E592" s="13">
        <f t="shared" si="188"/>
        <v>2000</v>
      </c>
      <c r="F592" s="14">
        <f t="shared" si="173"/>
        <v>1226000</v>
      </c>
      <c r="G592" s="15">
        <f t="shared" si="174"/>
        <v>7.9382996916308485E-2</v>
      </c>
      <c r="H592" s="13">
        <f t="shared" si="175"/>
        <v>98180.936893314414</v>
      </c>
      <c r="I592" s="13">
        <f t="shared" si="176"/>
        <v>14133813.735419655</v>
      </c>
      <c r="J592" s="15">
        <f t="shared" si="177"/>
        <v>0.92061700308369154</v>
      </c>
      <c r="K592" s="13">
        <f t="shared" si="178"/>
        <v>14218113.319286009</v>
      </c>
      <c r="L592" s="13">
        <f t="shared" si="179"/>
        <v>1848318200.5580974</v>
      </c>
      <c r="M592" s="15">
        <f t="shared" si="180"/>
        <v>0.92061700308369154</v>
      </c>
      <c r="N592" s="13">
        <f t="shared" si="181"/>
        <v>0</v>
      </c>
      <c r="O592" s="13">
        <f t="shared" si="182"/>
        <v>-84299.583866350353</v>
      </c>
      <c r="P592" s="15">
        <f t="shared" si="183"/>
        <v>-5.4883207126370228E-3</v>
      </c>
      <c r="Q592" s="7">
        <f t="shared" si="184"/>
        <v>15359813.735419659</v>
      </c>
      <c r="R592" s="7">
        <f t="shared" si="185"/>
        <v>15444113.319286009</v>
      </c>
      <c r="S592" s="13">
        <f>IF('BANCO DE DADOS'!$AD$32="Sim",R592,Q592)</f>
        <v>15444113.319286009</v>
      </c>
      <c r="T592" s="9">
        <f t="shared" si="186"/>
        <v>588</v>
      </c>
      <c r="U592" s="18">
        <f t="shared" ca="1" si="189"/>
        <v>62275</v>
      </c>
    </row>
    <row r="593" spans="2:21" x14ac:dyDescent="0.2">
      <c r="B593" s="18">
        <f t="shared" ca="1" si="187"/>
        <v>62275</v>
      </c>
      <c r="C593" s="9">
        <f t="shared" si="190"/>
        <v>589</v>
      </c>
      <c r="D593" s="9"/>
      <c r="E593" s="13">
        <f t="shared" si="188"/>
        <v>2000</v>
      </c>
      <c r="F593" s="14">
        <f t="shared" si="173"/>
        <v>1228000</v>
      </c>
      <c r="G593" s="15">
        <f t="shared" si="174"/>
        <v>7.8993951165575546E-2</v>
      </c>
      <c r="H593" s="13">
        <f t="shared" si="175"/>
        <v>98825.504057734346</v>
      </c>
      <c r="I593" s="13">
        <f t="shared" si="176"/>
        <v>14232639.23947739</v>
      </c>
      <c r="J593" s="15">
        <f t="shared" si="177"/>
        <v>0.9210060488344245</v>
      </c>
      <c r="K593" s="13">
        <f t="shared" si="178"/>
        <v>14317494.077464821</v>
      </c>
      <c r="L593" s="13">
        <f t="shared" si="179"/>
        <v>1862635694.6355622</v>
      </c>
      <c r="M593" s="15">
        <f t="shared" si="180"/>
        <v>0.9210060488344245</v>
      </c>
      <c r="N593" s="13">
        <f t="shared" si="181"/>
        <v>0</v>
      </c>
      <c r="O593" s="13">
        <f t="shared" si="182"/>
        <v>-84854.837987426668</v>
      </c>
      <c r="P593" s="15">
        <f t="shared" si="183"/>
        <v>-5.4884430503207935E-3</v>
      </c>
      <c r="Q593" s="7">
        <f t="shared" si="184"/>
        <v>15460639.239477394</v>
      </c>
      <c r="R593" s="7">
        <f t="shared" si="185"/>
        <v>15545494.077464821</v>
      </c>
      <c r="S593" s="13">
        <f>IF('BANCO DE DADOS'!$AD$32="Sim",R593,Q593)</f>
        <v>15545494.077464821</v>
      </c>
      <c r="T593" s="9">
        <f t="shared" si="186"/>
        <v>589</v>
      </c>
      <c r="U593" s="18">
        <f t="shared" ca="1" si="189"/>
        <v>62306</v>
      </c>
    </row>
    <row r="594" spans="2:21" x14ac:dyDescent="0.2">
      <c r="B594" s="18">
        <f t="shared" ca="1" si="187"/>
        <v>62306</v>
      </c>
      <c r="C594" s="9">
        <f t="shared" si="190"/>
        <v>590</v>
      </c>
      <c r="D594" s="9"/>
      <c r="E594" s="13">
        <f t="shared" si="188"/>
        <v>2000</v>
      </c>
      <c r="F594" s="14">
        <f t="shared" si="173"/>
        <v>1230000</v>
      </c>
      <c r="G594" s="15">
        <f t="shared" si="174"/>
        <v>7.8606669946703317E-2</v>
      </c>
      <c r="H594" s="13">
        <f t="shared" si="175"/>
        <v>99474.218386698092</v>
      </c>
      <c r="I594" s="13">
        <f t="shared" si="176"/>
        <v>14332113.457864089</v>
      </c>
      <c r="J594" s="15">
        <f t="shared" si="177"/>
        <v>0.92139333005329671</v>
      </c>
      <c r="K594" s="13">
        <f t="shared" si="178"/>
        <v>14417527.122494329</v>
      </c>
      <c r="L594" s="13">
        <f t="shared" si="179"/>
        <v>1877053221.7580564</v>
      </c>
      <c r="M594" s="15">
        <f t="shared" si="180"/>
        <v>0.92139333005329671</v>
      </c>
      <c r="N594" s="13">
        <f t="shared" si="181"/>
        <v>0</v>
      </c>
      <c r="O594" s="13">
        <f t="shared" si="182"/>
        <v>-85413.664630236104</v>
      </c>
      <c r="P594" s="15">
        <f t="shared" si="183"/>
        <v>-5.4885645745676994E-3</v>
      </c>
      <c r="Q594" s="7">
        <f t="shared" si="184"/>
        <v>15562113.457864093</v>
      </c>
      <c r="R594" s="7">
        <f t="shared" si="185"/>
        <v>15647527.122494329</v>
      </c>
      <c r="S594" s="13">
        <f>IF('BANCO DE DADOS'!$AD$32="Sim",R594,Q594)</f>
        <v>15647527.122494329</v>
      </c>
      <c r="T594" s="9">
        <f t="shared" si="186"/>
        <v>590</v>
      </c>
      <c r="U594" s="18">
        <f t="shared" ca="1" si="189"/>
        <v>62337</v>
      </c>
    </row>
    <row r="595" spans="2:21" x14ac:dyDescent="0.2">
      <c r="B595" s="18">
        <f t="shared" ca="1" si="187"/>
        <v>62337</v>
      </c>
      <c r="C595" s="9">
        <f t="shared" si="190"/>
        <v>591</v>
      </c>
      <c r="D595" s="9"/>
      <c r="E595" s="13">
        <f t="shared" si="188"/>
        <v>2000</v>
      </c>
      <c r="F595" s="14">
        <f t="shared" si="173"/>
        <v>1232000</v>
      </c>
      <c r="G595" s="15">
        <f t="shared" si="174"/>
        <v>7.8221146240901179E-2</v>
      </c>
      <c r="H595" s="13">
        <f t="shared" si="175"/>
        <v>100127.10656318718</v>
      </c>
      <c r="I595" s="13">
        <f t="shared" si="176"/>
        <v>14432240.564427275</v>
      </c>
      <c r="J595" s="15">
        <f t="shared" si="177"/>
        <v>0.92177885375909885</v>
      </c>
      <c r="K595" s="13">
        <f t="shared" si="178"/>
        <v>14518216.651207773</v>
      </c>
      <c r="L595" s="13">
        <f t="shared" si="179"/>
        <v>1891571438.4092641</v>
      </c>
      <c r="M595" s="15">
        <f t="shared" si="180"/>
        <v>0.92177885375909885</v>
      </c>
      <c r="N595" s="13">
        <f t="shared" si="181"/>
        <v>0</v>
      </c>
      <c r="O595" s="13">
        <f t="shared" si="182"/>
        <v>-85976.086780494079</v>
      </c>
      <c r="P595" s="15">
        <f t="shared" si="183"/>
        <v>-5.4886852909895641E-3</v>
      </c>
      <c r="Q595" s="7">
        <f t="shared" si="184"/>
        <v>15664240.564427279</v>
      </c>
      <c r="R595" s="7">
        <f t="shared" si="185"/>
        <v>15750216.651207773</v>
      </c>
      <c r="S595" s="13">
        <f>IF('BANCO DE DADOS'!$AD$32="Sim",R595,Q595)</f>
        <v>15750216.651207773</v>
      </c>
      <c r="T595" s="9">
        <f t="shared" si="186"/>
        <v>591</v>
      </c>
      <c r="U595" s="18">
        <f t="shared" ca="1" si="189"/>
        <v>62367</v>
      </c>
    </row>
    <row r="596" spans="2:21" x14ac:dyDescent="0.2">
      <c r="B596" s="18">
        <f t="shared" ca="1" si="187"/>
        <v>62367</v>
      </c>
      <c r="C596" s="9">
        <f t="shared" si="190"/>
        <v>592</v>
      </c>
      <c r="D596" s="9"/>
      <c r="E596" s="13">
        <f t="shared" si="188"/>
        <v>2000</v>
      </c>
      <c r="F596" s="14">
        <f t="shared" si="173"/>
        <v>1234000</v>
      </c>
      <c r="G596" s="15">
        <f t="shared" si="174"/>
        <v>7.7837373050576031E-2</v>
      </c>
      <c r="H596" s="13">
        <f t="shared" si="175"/>
        <v>100784.19544186223</v>
      </c>
      <c r="I596" s="13">
        <f t="shared" si="176"/>
        <v>14533024.759869138</v>
      </c>
      <c r="J596" s="15">
        <f t="shared" si="177"/>
        <v>0.92216262694942397</v>
      </c>
      <c r="K596" s="13">
        <f t="shared" si="178"/>
        <v>14619566.88744094</v>
      </c>
      <c r="L596" s="13">
        <f t="shared" si="179"/>
        <v>1906191005.296705</v>
      </c>
      <c r="M596" s="15">
        <f t="shared" si="180"/>
        <v>0.92216262694942397</v>
      </c>
      <c r="N596" s="13">
        <f t="shared" si="181"/>
        <v>0</v>
      </c>
      <c r="O596" s="13">
        <f t="shared" si="182"/>
        <v>-86542.127571798861</v>
      </c>
      <c r="P596" s="15">
        <f t="shared" si="183"/>
        <v>-5.488805205156354E-3</v>
      </c>
      <c r="Q596" s="7">
        <f t="shared" si="184"/>
        <v>15767024.759869142</v>
      </c>
      <c r="R596" s="7">
        <f t="shared" si="185"/>
        <v>15853566.88744094</v>
      </c>
      <c r="S596" s="13">
        <f>IF('BANCO DE DADOS'!$AD$32="Sim",R596,Q596)</f>
        <v>15853566.88744094</v>
      </c>
      <c r="T596" s="9">
        <f t="shared" si="186"/>
        <v>592</v>
      </c>
      <c r="U596" s="18">
        <f t="shared" ca="1" si="189"/>
        <v>62398</v>
      </c>
    </row>
    <row r="597" spans="2:21" x14ac:dyDescent="0.2">
      <c r="B597" s="18">
        <f t="shared" ca="1" si="187"/>
        <v>62398</v>
      </c>
      <c r="C597" s="9">
        <f t="shared" si="190"/>
        <v>593</v>
      </c>
      <c r="D597" s="9"/>
      <c r="E597" s="13">
        <f t="shared" si="188"/>
        <v>2000</v>
      </c>
      <c r="F597" s="14">
        <f t="shared" si="173"/>
        <v>1236000</v>
      </c>
      <c r="G597" s="15">
        <f t="shared" si="174"/>
        <v>7.7455343399314078E-2</v>
      </c>
      <c r="H597" s="13">
        <f t="shared" si="175"/>
        <v>101445.51205016766</v>
      </c>
      <c r="I597" s="13">
        <f t="shared" si="176"/>
        <v>14634470.271919306</v>
      </c>
      <c r="J597" s="15">
        <f t="shared" si="177"/>
        <v>0.92254465660068596</v>
      </c>
      <c r="K597" s="13">
        <f t="shared" si="178"/>
        <v>14721582.082205908</v>
      </c>
      <c r="L597" s="13">
        <f t="shared" si="179"/>
        <v>1920912587.378911</v>
      </c>
      <c r="M597" s="15">
        <f t="shared" si="180"/>
        <v>0.92254465660068596</v>
      </c>
      <c r="N597" s="13">
        <f t="shared" si="181"/>
        <v>0</v>
      </c>
      <c r="O597" s="13">
        <f t="shared" si="182"/>
        <v>-87111.81028659828</v>
      </c>
      <c r="P597" s="15">
        <f t="shared" si="183"/>
        <v>-5.4889243225974887E-3</v>
      </c>
      <c r="Q597" s="7">
        <f t="shared" si="184"/>
        <v>15870470.27191931</v>
      </c>
      <c r="R597" s="7">
        <f t="shared" si="185"/>
        <v>15957582.082205908</v>
      </c>
      <c r="S597" s="13">
        <f>IF('BANCO DE DADOS'!$AD$32="Sim",R597,Q597)</f>
        <v>15957582.082205908</v>
      </c>
      <c r="T597" s="9">
        <f t="shared" si="186"/>
        <v>593</v>
      </c>
      <c r="U597" s="18">
        <f t="shared" ca="1" si="189"/>
        <v>62428</v>
      </c>
    </row>
    <row r="598" spans="2:21" x14ac:dyDescent="0.2">
      <c r="B598" s="18">
        <f t="shared" ca="1" si="187"/>
        <v>62428</v>
      </c>
      <c r="C598" s="9">
        <f t="shared" si="190"/>
        <v>594</v>
      </c>
      <c r="D598" s="9"/>
      <c r="E598" s="13">
        <f t="shared" si="188"/>
        <v>2000</v>
      </c>
      <c r="F598" s="14">
        <f t="shared" si="173"/>
        <v>1238000</v>
      </c>
      <c r="G598" s="15">
        <f t="shared" si="174"/>
        <v>7.7075050331862294E-2</v>
      </c>
      <c r="H598" s="13">
        <f t="shared" si="175"/>
        <v>102111.08358944317</v>
      </c>
      <c r="I598" s="13">
        <f t="shared" si="176"/>
        <v>14736581.35550875</v>
      </c>
      <c r="J598" s="15">
        <f t="shared" si="177"/>
        <v>0.92292494966813776</v>
      </c>
      <c r="K598" s="13">
        <f t="shared" si="178"/>
        <v>14824266.513865892</v>
      </c>
      <c r="L598" s="13">
        <f t="shared" si="179"/>
        <v>1935736853.892777</v>
      </c>
      <c r="M598" s="15">
        <f t="shared" si="180"/>
        <v>0.92292494966813765</v>
      </c>
      <c r="N598" s="13">
        <f t="shared" si="181"/>
        <v>0</v>
      </c>
      <c r="O598" s="13">
        <f t="shared" si="182"/>
        <v>-87685.158357137814</v>
      </c>
      <c r="P598" s="15">
        <f t="shared" si="183"/>
        <v>-5.4890426488015615E-3</v>
      </c>
      <c r="Q598" s="7">
        <f t="shared" si="184"/>
        <v>15974581.355508754</v>
      </c>
      <c r="R598" s="7">
        <f t="shared" si="185"/>
        <v>16062266.513865892</v>
      </c>
      <c r="S598" s="13">
        <f>IF('BANCO DE DADOS'!$AD$32="Sim",R598,Q598)</f>
        <v>16062266.513865892</v>
      </c>
      <c r="T598" s="9">
        <f t="shared" si="186"/>
        <v>594</v>
      </c>
      <c r="U598" s="18">
        <f t="shared" ca="1" si="189"/>
        <v>62459</v>
      </c>
    </row>
    <row r="599" spans="2:21" x14ac:dyDescent="0.2">
      <c r="B599" s="18">
        <f t="shared" ca="1" si="187"/>
        <v>62459</v>
      </c>
      <c r="C599" s="9">
        <f t="shared" si="190"/>
        <v>595</v>
      </c>
      <c r="D599" s="9"/>
      <c r="E599" s="13">
        <f t="shared" si="188"/>
        <v>2000</v>
      </c>
      <c r="F599" s="14">
        <f t="shared" si="173"/>
        <v>1240000</v>
      </c>
      <c r="G599" s="15">
        <f t="shared" si="174"/>
        <v>7.6696486914109616E-2</v>
      </c>
      <c r="H599" s="13">
        <f t="shared" si="175"/>
        <v>102780.93743604273</v>
      </c>
      <c r="I599" s="13">
        <f t="shared" si="176"/>
        <v>14839362.292944793</v>
      </c>
      <c r="J599" s="15">
        <f t="shared" si="177"/>
        <v>0.92330351308589043</v>
      </c>
      <c r="K599" s="13">
        <f t="shared" si="178"/>
        <v>14927624.488311226</v>
      </c>
      <c r="L599" s="13">
        <f t="shared" si="179"/>
        <v>1950664478.3810883</v>
      </c>
      <c r="M599" s="15">
        <f t="shared" si="180"/>
        <v>0.92330351308589043</v>
      </c>
      <c r="N599" s="13">
        <f t="shared" si="181"/>
        <v>0</v>
      </c>
      <c r="O599" s="13">
        <f t="shared" si="182"/>
        <v>-88262.195366429165</v>
      </c>
      <c r="P599" s="15">
        <f t="shared" si="183"/>
        <v>-5.4891601892169762E-3</v>
      </c>
      <c r="Q599" s="7">
        <f t="shared" si="184"/>
        <v>16079362.292944796</v>
      </c>
      <c r="R599" s="7">
        <f t="shared" si="185"/>
        <v>16167624.488311226</v>
      </c>
      <c r="S599" s="13">
        <f>IF('BANCO DE DADOS'!$AD$32="Sim",R599,Q599)</f>
        <v>16167624.488311226</v>
      </c>
      <c r="T599" s="9">
        <f t="shared" si="186"/>
        <v>595</v>
      </c>
      <c r="U599" s="18">
        <f t="shared" ca="1" si="189"/>
        <v>62490</v>
      </c>
    </row>
    <row r="600" spans="2:21" x14ac:dyDescent="0.2">
      <c r="B600" s="18">
        <f t="shared" ca="1" si="187"/>
        <v>62490</v>
      </c>
      <c r="C600" s="9">
        <f t="shared" si="190"/>
        <v>596</v>
      </c>
      <c r="D600" s="9"/>
      <c r="E600" s="13">
        <f t="shared" si="188"/>
        <v>2000</v>
      </c>
      <c r="F600" s="14">
        <f t="shared" si="173"/>
        <v>1242000</v>
      </c>
      <c r="G600" s="15">
        <f t="shared" si="174"/>
        <v>7.6319646233067709E-2</v>
      </c>
      <c r="H600" s="13">
        <f t="shared" si="175"/>
        <v>103455.10114246061</v>
      </c>
      <c r="I600" s="13">
        <f t="shared" si="176"/>
        <v>14942817.394087253</v>
      </c>
      <c r="J600" s="15">
        <f t="shared" si="177"/>
        <v>0.92368035376693225</v>
      </c>
      <c r="K600" s="13">
        <f t="shared" si="178"/>
        <v>15031660.339136468</v>
      </c>
      <c r="L600" s="13">
        <f t="shared" si="179"/>
        <v>1965696138.7202246</v>
      </c>
      <c r="M600" s="15">
        <f t="shared" si="180"/>
        <v>0.92368035376693225</v>
      </c>
      <c r="N600" s="13">
        <f t="shared" si="181"/>
        <v>0</v>
      </c>
      <c r="O600" s="13">
        <f t="shared" si="182"/>
        <v>-88842.945049211383</v>
      </c>
      <c r="P600" s="15">
        <f t="shared" si="183"/>
        <v>-5.489276949251715E-3</v>
      </c>
      <c r="Q600" s="7">
        <f t="shared" si="184"/>
        <v>16184817.394087257</v>
      </c>
      <c r="R600" s="7">
        <f t="shared" si="185"/>
        <v>16273660.339136468</v>
      </c>
      <c r="S600" s="13">
        <f>IF('BANCO DE DADOS'!$AD$32="Sim",R600,Q600)</f>
        <v>16273660.339136468</v>
      </c>
      <c r="T600" s="9">
        <f t="shared" si="186"/>
        <v>596</v>
      </c>
      <c r="U600" s="18">
        <f t="shared" ca="1" si="189"/>
        <v>62518</v>
      </c>
    </row>
    <row r="601" spans="2:21" x14ac:dyDescent="0.2">
      <c r="B601" s="18">
        <f t="shared" ca="1" si="187"/>
        <v>62518</v>
      </c>
      <c r="C601" s="9">
        <f t="shared" si="190"/>
        <v>597</v>
      </c>
      <c r="D601" s="9"/>
      <c r="E601" s="13">
        <f t="shared" si="188"/>
        <v>2000</v>
      </c>
      <c r="F601" s="14">
        <f t="shared" si="173"/>
        <v>1244000</v>
      </c>
      <c r="G601" s="15">
        <f t="shared" si="174"/>
        <v>7.5944521396851553E-2</v>
      </c>
      <c r="H601" s="13">
        <f t="shared" si="175"/>
        <v>104133.60243846466</v>
      </c>
      <c r="I601" s="13">
        <f t="shared" si="176"/>
        <v>15046950.996525718</v>
      </c>
      <c r="J601" s="15">
        <f t="shared" si="177"/>
        <v>0.92405547860314841</v>
      </c>
      <c r="K601" s="13">
        <f t="shared" si="178"/>
        <v>15136378.427818662</v>
      </c>
      <c r="L601" s="13">
        <f t="shared" si="179"/>
        <v>1980832517.1480434</v>
      </c>
      <c r="M601" s="15">
        <f t="shared" si="180"/>
        <v>0.92405547860314841</v>
      </c>
      <c r="N601" s="13">
        <f t="shared" si="181"/>
        <v>0</v>
      </c>
      <c r="O601" s="13">
        <f t="shared" si="182"/>
        <v>-89427.431292939931</v>
      </c>
      <c r="P601" s="15">
        <f t="shared" si="183"/>
        <v>-5.4893929342744703E-3</v>
      </c>
      <c r="Q601" s="7">
        <f t="shared" si="184"/>
        <v>16290950.996525722</v>
      </c>
      <c r="R601" s="7">
        <f t="shared" si="185"/>
        <v>16380378.427818662</v>
      </c>
      <c r="S601" s="13">
        <f>IF('BANCO DE DADOS'!$AD$32="Sim",R601,Q601)</f>
        <v>16380378.427818662</v>
      </c>
      <c r="T601" s="9">
        <f t="shared" si="186"/>
        <v>597</v>
      </c>
      <c r="U601" s="18">
        <f t="shared" ca="1" si="189"/>
        <v>62549</v>
      </c>
    </row>
    <row r="602" spans="2:21" x14ac:dyDescent="0.2">
      <c r="B602" s="18">
        <f t="shared" ca="1" si="187"/>
        <v>62549</v>
      </c>
      <c r="C602" s="9">
        <f t="shared" si="190"/>
        <v>598</v>
      </c>
      <c r="D602" s="9"/>
      <c r="E602" s="13">
        <f t="shared" si="188"/>
        <v>2000</v>
      </c>
      <c r="F602" s="14">
        <f t="shared" si="173"/>
        <v>1246000</v>
      </c>
      <c r="G602" s="15">
        <f t="shared" si="174"/>
        <v>7.5571105534659566E-2</v>
      </c>
      <c r="H602" s="13">
        <f t="shared" si="175"/>
        <v>104816.46923223688</v>
      </c>
      <c r="I602" s="13">
        <f t="shared" si="176"/>
        <v>15151767.465757955</v>
      </c>
      <c r="J602" s="15">
        <f t="shared" si="177"/>
        <v>0.92442889446534049</v>
      </c>
      <c r="K602" s="13">
        <f t="shared" si="178"/>
        <v>15241783.143896718</v>
      </c>
      <c r="L602" s="13">
        <f t="shared" si="179"/>
        <v>1996074300.2919402</v>
      </c>
      <c r="M602" s="15">
        <f t="shared" si="180"/>
        <v>0.92442889446534038</v>
      </c>
      <c r="N602" s="13">
        <f t="shared" si="181"/>
        <v>0</v>
      </c>
      <c r="O602" s="13">
        <f t="shared" si="182"/>
        <v>-90015.678138758987</v>
      </c>
      <c r="P602" s="15">
        <f t="shared" si="183"/>
        <v>-5.4895081496143276E-3</v>
      </c>
      <c r="Q602" s="7">
        <f t="shared" si="184"/>
        <v>16397767.465757959</v>
      </c>
      <c r="R602" s="7">
        <f t="shared" si="185"/>
        <v>16487783.143896718</v>
      </c>
      <c r="S602" s="13">
        <f>IF('BANCO DE DADOS'!$AD$32="Sim",R602,Q602)</f>
        <v>16487783.143896718</v>
      </c>
      <c r="T602" s="9">
        <f t="shared" si="186"/>
        <v>598</v>
      </c>
      <c r="U602" s="18">
        <f t="shared" ca="1" si="189"/>
        <v>62579</v>
      </c>
    </row>
    <row r="603" spans="2:21" x14ac:dyDescent="0.2">
      <c r="B603" s="18">
        <f t="shared" ca="1" si="187"/>
        <v>62579</v>
      </c>
      <c r="C603" s="9">
        <f t="shared" si="190"/>
        <v>599</v>
      </c>
      <c r="D603" s="9"/>
      <c r="E603" s="13">
        <f t="shared" si="188"/>
        <v>2000</v>
      </c>
      <c r="F603" s="14">
        <f t="shared" si="173"/>
        <v>1248000</v>
      </c>
      <c r="G603" s="15">
        <f t="shared" si="174"/>
        <v>7.5199391796753501E-2</v>
      </c>
      <c r="H603" s="13">
        <f t="shared" si="175"/>
        <v>105503.72961152135</v>
      </c>
      <c r="I603" s="13">
        <f t="shared" si="176"/>
        <v>15257271.195369476</v>
      </c>
      <c r="J603" s="15">
        <f t="shared" si="177"/>
        <v>0.9248006082032465</v>
      </c>
      <c r="K603" s="13">
        <f t="shared" si="178"/>
        <v>15347878.905151976</v>
      </c>
      <c r="L603" s="13">
        <f t="shared" si="179"/>
        <v>2011422179.1970923</v>
      </c>
      <c r="M603" s="15">
        <f t="shared" si="180"/>
        <v>0.9248006082032465</v>
      </c>
      <c r="N603" s="13">
        <f t="shared" si="181"/>
        <v>0</v>
      </c>
      <c r="O603" s="13">
        <f t="shared" si="182"/>
        <v>-90607.709782496095</v>
      </c>
      <c r="P603" s="15">
        <f t="shared" si="183"/>
        <v>-5.4896226005614439E-3</v>
      </c>
      <c r="Q603" s="7">
        <f t="shared" si="184"/>
        <v>16505271.19536948</v>
      </c>
      <c r="R603" s="7">
        <f t="shared" si="185"/>
        <v>16595878.905151976</v>
      </c>
      <c r="S603" s="13">
        <f>IF('BANCO DE DADOS'!$AD$32="Sim",R603,Q603)</f>
        <v>16595878.905151976</v>
      </c>
      <c r="T603" s="9">
        <f t="shared" si="186"/>
        <v>599</v>
      </c>
      <c r="U603" s="18">
        <f t="shared" ca="1" si="189"/>
        <v>62610</v>
      </c>
    </row>
    <row r="604" spans="2:21" x14ac:dyDescent="0.2">
      <c r="B604" s="18">
        <f t="shared" ca="1" si="187"/>
        <v>62610</v>
      </c>
      <c r="C604" s="9">
        <f t="shared" si="190"/>
        <v>600</v>
      </c>
      <c r="D604" s="9">
        <v>50</v>
      </c>
      <c r="E604" s="13">
        <f t="shared" si="188"/>
        <v>2000</v>
      </c>
      <c r="F604" s="14">
        <f t="shared" si="173"/>
        <v>1250000</v>
      </c>
      <c r="G604" s="15">
        <f t="shared" si="174"/>
        <v>7.4829373354437984E-2</v>
      </c>
      <c r="H604" s="13">
        <f t="shared" si="175"/>
        <v>106195.41184477955</v>
      </c>
      <c r="I604" s="13">
        <f t="shared" si="176"/>
        <v>15363466.607214255</v>
      </c>
      <c r="J604" s="15">
        <f t="shared" si="177"/>
        <v>0.92517062664556204</v>
      </c>
      <c r="K604" s="13">
        <f t="shared" si="178"/>
        <v>15454670.157789914</v>
      </c>
      <c r="L604" s="13">
        <f t="shared" si="179"/>
        <v>2026876849.3548822</v>
      </c>
      <c r="M604" s="15">
        <f t="shared" si="180"/>
        <v>0.92517062664556204</v>
      </c>
      <c r="N604" s="13">
        <f t="shared" si="181"/>
        <v>0</v>
      </c>
      <c r="O604" s="13">
        <f t="shared" si="182"/>
        <v>-91203.550575654954</v>
      </c>
      <c r="P604" s="15">
        <f t="shared" si="183"/>
        <v>-5.4897362923672158E-3</v>
      </c>
      <c r="Q604" s="7">
        <f t="shared" si="184"/>
        <v>16613466.607214259</v>
      </c>
      <c r="R604" s="7">
        <f t="shared" si="185"/>
        <v>16704670.157789914</v>
      </c>
      <c r="S604" s="13">
        <f>IF('BANCO DE DADOS'!$AD$32="Sim",R604,Q604)</f>
        <v>16704670.157789914</v>
      </c>
      <c r="T604" s="9">
        <f t="shared" si="186"/>
        <v>600</v>
      </c>
      <c r="U604" s="18">
        <f t="shared" ca="1" si="189"/>
        <v>62640</v>
      </c>
    </row>
  </sheetData>
  <dataValidations count="3">
    <dataValidation type="list" allowBlank="1" showInputMessage="1" showErrorMessage="1" sqref="AL11 AL13" xr:uid="{00000000-0002-0000-0400-000003000000}">
      <formula1>$D$53:$E$53</formula1>
    </dataValidation>
    <dataValidation type="list" allowBlank="1" showInputMessage="1" showErrorMessage="1" sqref="AL2" xr:uid="{00000000-0002-0000-0400-000000000000}">
      <formula1>$F$53:$G$53</formula1>
    </dataValidation>
    <dataValidation type="list" allowBlank="1" showErrorMessage="1" prompt="_x000a_" sqref="AM2 AP19 AP24 AP29" xr:uid="{00000000-0002-0000-0400-000001000000}">
      <formula1>"Sim,Não"</formula1>
    </dataValidation>
  </dataValidation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4" r:id="rId3" name="Check Box 4">
              <controlPr defaultSize="0" autoFill="0" autoLine="0" autoPict="0">
                <anchor moveWithCells="1">
                  <from>
                    <xdr:col>46</xdr:col>
                    <xdr:colOff>152400</xdr:colOff>
                    <xdr:row>25</xdr:row>
                    <xdr:rowOff>133350</xdr:rowOff>
                  </from>
                  <to>
                    <xdr:col>46</xdr:col>
                    <xdr:colOff>466725</xdr:colOff>
                    <xdr:row>27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5" r:id="rId4" name="Check Box 5">
              <controlPr defaultSize="0" autoFill="0" autoLine="0" autoPict="0">
                <anchor moveWithCells="1">
                  <from>
                    <xdr:col>46</xdr:col>
                    <xdr:colOff>152400</xdr:colOff>
                    <xdr:row>29</xdr:row>
                    <xdr:rowOff>142875</xdr:rowOff>
                  </from>
                  <to>
                    <xdr:col>46</xdr:col>
                    <xdr:colOff>466725</xdr:colOff>
                    <xdr:row>31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6" r:id="rId5" name="Check Box 6">
              <controlPr defaultSize="0" autoFill="0" autoLine="0" autoPict="0">
                <anchor moveWithCells="1">
                  <from>
                    <xdr:col>46</xdr:col>
                    <xdr:colOff>152400</xdr:colOff>
                    <xdr:row>33</xdr:row>
                    <xdr:rowOff>152400</xdr:rowOff>
                  </from>
                  <to>
                    <xdr:col>46</xdr:col>
                    <xdr:colOff>466725</xdr:colOff>
                    <xdr:row>35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7" r:id="rId6" name="Check Box 7">
              <controlPr defaultSize="0" autoFill="0" autoLine="0" autoPict="0">
                <anchor moveWithCells="1">
                  <from>
                    <xdr:col>46</xdr:col>
                    <xdr:colOff>152400</xdr:colOff>
                    <xdr:row>36</xdr:row>
                    <xdr:rowOff>104775</xdr:rowOff>
                  </from>
                  <to>
                    <xdr:col>46</xdr:col>
                    <xdr:colOff>466725</xdr:colOff>
                    <xdr:row>38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8" r:id="rId7" name="Check Box 8">
              <controlPr defaultSize="0" autoFill="0" autoLine="0" autoPict="0">
                <anchor moveWithCells="1">
                  <from>
                    <xdr:col>46</xdr:col>
                    <xdr:colOff>152400</xdr:colOff>
                    <xdr:row>40</xdr:row>
                    <xdr:rowOff>114300</xdr:rowOff>
                  </from>
                  <to>
                    <xdr:col>46</xdr:col>
                    <xdr:colOff>466725</xdr:colOff>
                    <xdr:row>42</xdr:row>
                    <xdr:rowOff>57150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4">
    <tabColor theme="0" tint="-4.9989318521683403E-2"/>
  </sheetPr>
  <dimension ref="B2:K46"/>
  <sheetViews>
    <sheetView showGridLines="0" workbookViewId="0">
      <selection activeCell="E22" sqref="E22"/>
    </sheetView>
  </sheetViews>
  <sheetFormatPr defaultColWidth="8.85546875" defaultRowHeight="15" x14ac:dyDescent="0.25"/>
  <cols>
    <col min="1" max="1" width="5.85546875" customWidth="1"/>
    <col min="2" max="2" width="17.42578125" customWidth="1"/>
    <col min="10" max="10" width="31" customWidth="1"/>
  </cols>
  <sheetData>
    <row r="2" spans="2:11" ht="18.75" x14ac:dyDescent="0.3">
      <c r="B2" s="1" t="s">
        <v>93</v>
      </c>
      <c r="D2" s="144" t="s">
        <v>94</v>
      </c>
    </row>
    <row r="4" spans="2:11" x14ac:dyDescent="0.25">
      <c r="B4" s="3" t="s">
        <v>25</v>
      </c>
      <c r="C4" s="2"/>
      <c r="D4" s="2"/>
      <c r="I4" s="3" t="s">
        <v>113</v>
      </c>
    </row>
    <row r="5" spans="2:11" x14ac:dyDescent="0.25">
      <c r="B5" s="2" t="s">
        <v>66</v>
      </c>
      <c r="C5" s="23" t="s">
        <v>56</v>
      </c>
      <c r="I5" s="36" t="b">
        <v>0</v>
      </c>
      <c r="J5" s="36" t="str">
        <f>'BANCO DE DADOS'!AC26</f>
        <v>Primeiro Aporte</v>
      </c>
      <c r="K5" s="36" t="s">
        <v>31</v>
      </c>
    </row>
    <row r="6" spans="2:11" x14ac:dyDescent="0.25">
      <c r="B6" s="2" t="s">
        <v>67</v>
      </c>
      <c r="C6" s="23" t="s">
        <v>55</v>
      </c>
      <c r="I6" s="36" t="b">
        <v>0</v>
      </c>
      <c r="J6" s="36" t="str">
        <f>'BANCO DE DADOS'!AC27</f>
        <v>Aportes (mensal)</v>
      </c>
      <c r="K6" s="36" t="s">
        <v>97</v>
      </c>
    </row>
    <row r="7" spans="2:11" x14ac:dyDescent="0.25">
      <c r="B7" s="2" t="s">
        <v>65</v>
      </c>
      <c r="C7" s="23" t="s">
        <v>63</v>
      </c>
      <c r="I7" s="36" t="b">
        <v>0</v>
      </c>
      <c r="J7" s="36" t="str">
        <f>'BANCO DE DADOS'!AC28</f>
        <v>Retorno Nominal Esperado (ao ano)</v>
      </c>
      <c r="K7" s="36" t="s">
        <v>154</v>
      </c>
    </row>
    <row r="8" spans="2:11" x14ac:dyDescent="0.25">
      <c r="B8" s="2" t="s">
        <v>64</v>
      </c>
      <c r="C8" s="23" t="s">
        <v>70</v>
      </c>
      <c r="I8" s="36" t="b">
        <v>0</v>
      </c>
      <c r="J8" s="36" t="str">
        <f>'BANCO DE DADOS'!AC29</f>
        <v>Período de Aplicação (em anos)</v>
      </c>
      <c r="K8" s="36" t="s">
        <v>95</v>
      </c>
    </row>
    <row r="9" spans="2:11" x14ac:dyDescent="0.25">
      <c r="B9" s="2" t="s">
        <v>69</v>
      </c>
      <c r="C9" s="23" t="s">
        <v>68</v>
      </c>
      <c r="I9" s="37" t="b">
        <v>0</v>
      </c>
      <c r="J9" s="37" t="str">
        <f>'BANCO DE DADOS'!AC30</f>
        <v>Inflação</v>
      </c>
      <c r="K9" s="37" t="s">
        <v>96</v>
      </c>
    </row>
    <row r="10" spans="2:11" x14ac:dyDescent="0.25">
      <c r="B10" s="2" t="s">
        <v>107</v>
      </c>
      <c r="C10" s="23" t="s">
        <v>89</v>
      </c>
      <c r="I10" s="36" t="b">
        <v>1</v>
      </c>
      <c r="J10" s="36" t="str">
        <f>'BANCO DE DADOS'!AC31</f>
        <v>Começar planejamento</v>
      </c>
      <c r="K10" s="36" t="s">
        <v>98</v>
      </c>
    </row>
    <row r="11" spans="2:11" x14ac:dyDescent="0.25">
      <c r="B11" s="2" t="s">
        <v>108</v>
      </c>
      <c r="C11" s="23" t="s">
        <v>90</v>
      </c>
      <c r="I11" s="36" t="b">
        <v>1</v>
      </c>
      <c r="J11" s="36" t="str">
        <f>'BANCO DE DADOS'!AC32</f>
        <v>Corrigir Patrimônio pela inflação?</v>
      </c>
      <c r="K11" s="36" t="s">
        <v>99</v>
      </c>
    </row>
    <row r="12" spans="2:11" x14ac:dyDescent="0.25">
      <c r="B12" s="2" t="s">
        <v>109</v>
      </c>
      <c r="C12" s="23" t="s">
        <v>103</v>
      </c>
      <c r="I12" s="36" t="b">
        <v>0</v>
      </c>
      <c r="J12" s="36" t="str">
        <f>'BANCO DE DADOS'!AC33</f>
        <v>Corrigir Aportes pela inflação?</v>
      </c>
      <c r="K12" s="36" t="s">
        <v>32</v>
      </c>
    </row>
    <row r="13" spans="2:11" x14ac:dyDescent="0.25">
      <c r="B13" s="2" t="s">
        <v>110</v>
      </c>
      <c r="C13" s="23" t="s">
        <v>104</v>
      </c>
      <c r="I13" s="36" t="b">
        <v>0</v>
      </c>
      <c r="J13" s="36" t="str">
        <f>'BANCO DE DADOS'!AC35</f>
        <v>Crescimento Salário</v>
      </c>
      <c r="K13" s="36" t="s">
        <v>100</v>
      </c>
    </row>
    <row r="14" spans="2:11" x14ac:dyDescent="0.25">
      <c r="I14" s="36" t="b">
        <v>0</v>
      </c>
      <c r="J14" s="36" t="str">
        <f>'BANCO DE DADOS'!AC36</f>
        <v>Incluir Imposto de Renda?</v>
      </c>
      <c r="K14" s="36" t="s">
        <v>101</v>
      </c>
    </row>
    <row r="15" spans="2:11" x14ac:dyDescent="0.25">
      <c r="B15" s="3" t="s">
        <v>24</v>
      </c>
      <c r="C15" s="2"/>
    </row>
    <row r="16" spans="2:11" x14ac:dyDescent="0.25">
      <c r="B16" s="2" t="s">
        <v>66</v>
      </c>
      <c r="C16" s="23" t="s">
        <v>53</v>
      </c>
    </row>
    <row r="17" spans="2:3" x14ac:dyDescent="0.25">
      <c r="B17" s="2" t="s">
        <v>67</v>
      </c>
      <c r="C17" s="23" t="s">
        <v>54</v>
      </c>
    </row>
    <row r="18" spans="2:3" x14ac:dyDescent="0.25">
      <c r="B18" s="2" t="s">
        <v>65</v>
      </c>
      <c r="C18" s="23" t="s">
        <v>62</v>
      </c>
    </row>
    <row r="19" spans="2:3" x14ac:dyDescent="0.25">
      <c r="B19" s="2" t="s">
        <v>64</v>
      </c>
      <c r="C19" s="23" t="s">
        <v>71</v>
      </c>
    </row>
    <row r="20" spans="2:3" x14ac:dyDescent="0.25">
      <c r="B20" s="2" t="s">
        <v>69</v>
      </c>
      <c r="C20" s="23" t="s">
        <v>72</v>
      </c>
    </row>
    <row r="21" spans="2:3" x14ac:dyDescent="0.25">
      <c r="B21" s="2" t="s">
        <v>107</v>
      </c>
      <c r="C21" s="23" t="s">
        <v>91</v>
      </c>
    </row>
    <row r="22" spans="2:3" x14ac:dyDescent="0.25">
      <c r="B22" s="2" t="s">
        <v>108</v>
      </c>
      <c r="C22" s="23" t="s">
        <v>92</v>
      </c>
    </row>
    <row r="23" spans="2:3" x14ac:dyDescent="0.25">
      <c r="B23" s="2" t="s">
        <v>109</v>
      </c>
      <c r="C23" s="23" t="s">
        <v>105</v>
      </c>
    </row>
    <row r="24" spans="2:3" x14ac:dyDescent="0.25">
      <c r="B24" s="2" t="s">
        <v>110</v>
      </c>
      <c r="C24" s="23" t="s">
        <v>106</v>
      </c>
    </row>
    <row r="26" spans="2:3" x14ac:dyDescent="0.25">
      <c r="B26" s="3" t="s">
        <v>57</v>
      </c>
    </row>
    <row r="27" spans="2:3" x14ac:dyDescent="0.25">
      <c r="B27" s="2" t="str">
        <f ca="1">MID(CELL("filename",'BANCO DE DADOS'!A1),FIND("[",CELL("filename",'BANCO DE DADOS'!A1))+1,FIND("]", CELL("filename",'BANCO DE DADOS'!A1))-FIND("[",CELL("filename",'BANCO DE DADOS'!A1))-1)</f>
        <v>Plano do Milhão.xlsx</v>
      </c>
    </row>
    <row r="28" spans="2:3" x14ac:dyDescent="0.25">
      <c r="B28" s="2" t="s">
        <v>26</v>
      </c>
    </row>
    <row r="30" spans="2:3" x14ac:dyDescent="0.25">
      <c r="B30" s="3" t="s">
        <v>136</v>
      </c>
    </row>
    <row r="31" spans="2:3" x14ac:dyDescent="0.25">
      <c r="B31" s="16" t="s">
        <v>30</v>
      </c>
      <c r="C31" s="16" t="s">
        <v>115</v>
      </c>
    </row>
    <row r="32" spans="2:3" x14ac:dyDescent="0.25">
      <c r="B32" s="16" t="s">
        <v>116</v>
      </c>
      <c r="C32" s="16" t="s">
        <v>117</v>
      </c>
    </row>
    <row r="33" spans="2:3" x14ac:dyDescent="0.25">
      <c r="B33" s="16" t="s">
        <v>118</v>
      </c>
      <c r="C33" s="16" t="s">
        <v>119</v>
      </c>
    </row>
    <row r="34" spans="2:3" x14ac:dyDescent="0.25">
      <c r="B34" s="16" t="s">
        <v>64</v>
      </c>
      <c r="C34" s="16" t="s">
        <v>120</v>
      </c>
    </row>
    <row r="35" spans="2:3" x14ac:dyDescent="0.25">
      <c r="B35" s="16" t="s">
        <v>107</v>
      </c>
      <c r="C35" s="16" t="s">
        <v>121</v>
      </c>
    </row>
    <row r="36" spans="2:3" x14ac:dyDescent="0.25">
      <c r="B36" s="16" t="s">
        <v>109</v>
      </c>
      <c r="C36" s="16" t="s">
        <v>122</v>
      </c>
    </row>
    <row r="37" spans="2:3" x14ac:dyDescent="0.25">
      <c r="B37" s="16" t="s">
        <v>65</v>
      </c>
      <c r="C37" s="16" t="s">
        <v>123</v>
      </c>
    </row>
    <row r="38" spans="2:3" x14ac:dyDescent="0.25">
      <c r="B38" s="16" t="s">
        <v>0</v>
      </c>
      <c r="C38" s="16" t="s">
        <v>124</v>
      </c>
    </row>
    <row r="39" spans="2:3" x14ac:dyDescent="0.25">
      <c r="B39" s="16" t="s">
        <v>125</v>
      </c>
      <c r="C39" s="16" t="s">
        <v>126</v>
      </c>
    </row>
    <row r="40" spans="2:3" x14ac:dyDescent="0.25">
      <c r="B40" s="16" t="s">
        <v>69</v>
      </c>
      <c r="C40" s="16" t="s">
        <v>127</v>
      </c>
    </row>
    <row r="41" spans="2:3" x14ac:dyDescent="0.25">
      <c r="B41" s="16" t="s">
        <v>108</v>
      </c>
      <c r="C41" s="16" t="s">
        <v>128</v>
      </c>
    </row>
    <row r="42" spans="2:3" x14ac:dyDescent="0.25">
      <c r="B42" s="16" t="s">
        <v>110</v>
      </c>
      <c r="C42" s="16" t="s">
        <v>129</v>
      </c>
    </row>
    <row r="43" spans="2:3" x14ac:dyDescent="0.25">
      <c r="B43" s="16" t="s">
        <v>130</v>
      </c>
      <c r="C43" s="16" t="s">
        <v>131</v>
      </c>
    </row>
    <row r="44" spans="2:3" x14ac:dyDescent="0.25">
      <c r="B44" s="16" t="s">
        <v>132</v>
      </c>
      <c r="C44" s="16" t="s">
        <v>133</v>
      </c>
    </row>
    <row r="45" spans="2:3" x14ac:dyDescent="0.25">
      <c r="B45" s="16" t="s">
        <v>67</v>
      </c>
      <c r="C45" s="16" t="s">
        <v>134</v>
      </c>
    </row>
    <row r="46" spans="2:3" x14ac:dyDescent="0.25">
      <c r="B46" s="16" t="s">
        <v>66</v>
      </c>
      <c r="C46" s="16" t="s">
        <v>135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6</vt:i4>
      </vt:variant>
      <vt:variant>
        <vt:lpstr>Intervalos com Nome</vt:lpstr>
      </vt:variant>
      <vt:variant>
        <vt:i4>8</vt:i4>
      </vt:variant>
    </vt:vector>
  </HeadingPairs>
  <TitlesOfParts>
    <vt:vector size="14" baseType="lpstr">
      <vt:lpstr>Dados Historicos</vt:lpstr>
      <vt:lpstr>INPUTS</vt:lpstr>
      <vt:lpstr>PAINEL</vt:lpstr>
      <vt:lpstr>Desafio do 1 centavo</vt:lpstr>
      <vt:lpstr>BANCO DE DADOS</vt:lpstr>
      <vt:lpstr>ANEXO DE APOIO</vt:lpstr>
      <vt:lpstr>Aportes</vt:lpstr>
      <vt:lpstr>Capital_Inicial</vt:lpstr>
      <vt:lpstr>Crescimento_Salário</vt:lpstr>
      <vt:lpstr>Inflação</vt:lpstr>
      <vt:lpstr>Mês_Atual</vt:lpstr>
      <vt:lpstr>'BANCO DE DADOS'!Mês_Atual_2</vt:lpstr>
      <vt:lpstr>Período</vt:lpstr>
      <vt:lpstr>Taxa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vinicius.souto</cp:lastModifiedBy>
  <dcterms:created xsi:type="dcterms:W3CDTF">2010-09-11T20:35:04Z</dcterms:created>
  <dcterms:modified xsi:type="dcterms:W3CDTF">2021-07-14T12:41:35Z</dcterms:modified>
</cp:coreProperties>
</file>