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B5B1753-C7C8-4EA4-A099-7119D4E990A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2" i="1" l="1"/>
  <c r="E90" i="1"/>
  <c r="R86" i="1"/>
  <c r="R85" i="1"/>
  <c r="R87" i="1"/>
  <c r="E87" i="1"/>
  <c r="E88" i="1" s="1"/>
  <c r="L31" i="1"/>
  <c r="L30" i="1"/>
  <c r="E86" i="1"/>
  <c r="E85" i="1"/>
  <c r="T75" i="1"/>
  <c r="R68" i="1"/>
  <c r="R72" i="1"/>
  <c r="T76" i="1"/>
  <c r="T73" i="1"/>
  <c r="T72" i="1"/>
  <c r="I47" i="1"/>
  <c r="B47" i="1"/>
  <c r="M45" i="1"/>
  <c r="R73" i="1" s="1"/>
  <c r="T77" i="1" s="1"/>
  <c r="X56" i="1"/>
  <c r="V56" i="1"/>
  <c r="T56" i="1"/>
  <c r="Z56" i="1" s="1"/>
  <c r="R56" i="1"/>
  <c r="P56" i="1"/>
  <c r="J59" i="1"/>
  <c r="J58" i="1"/>
  <c r="J57" i="1"/>
  <c r="H58" i="1"/>
  <c r="H57" i="1"/>
  <c r="F58" i="1"/>
  <c r="F57" i="1"/>
  <c r="D58" i="1"/>
  <c r="D57" i="1"/>
  <c r="B57" i="1"/>
  <c r="E76" i="1"/>
  <c r="D68" i="1"/>
  <c r="F73" i="1"/>
  <c r="F72" i="1"/>
  <c r="D72" i="1"/>
  <c r="B72" i="1"/>
  <c r="F59" i="1"/>
  <c r="D59" i="1"/>
  <c r="J56" i="1"/>
  <c r="H56" i="1"/>
  <c r="F56" i="1"/>
  <c r="D56" i="1"/>
  <c r="F46" i="1"/>
  <c r="H59" i="1" s="1"/>
  <c r="D39" i="1"/>
  <c r="R88" i="1" l="1"/>
  <c r="T79" i="1"/>
  <c r="T80" i="1" s="1"/>
  <c r="L56" i="1"/>
  <c r="L58" i="1"/>
  <c r="L57" i="1"/>
  <c r="L59" i="1"/>
  <c r="D73" i="1"/>
  <c r="E77" i="1" s="1"/>
  <c r="E75" i="1" l="1"/>
  <c r="E79" i="1"/>
  <c r="E80" i="1" s="1"/>
</calcChain>
</file>

<file path=xl/sharedStrings.xml><?xml version="1.0" encoding="utf-8"?>
<sst xmlns="http://schemas.openxmlformats.org/spreadsheetml/2006/main" count="127" uniqueCount="80">
  <si>
    <t>Payload</t>
  </si>
  <si>
    <t>SDR</t>
  </si>
  <si>
    <t>ADS-B Receiver</t>
  </si>
  <si>
    <t xml:space="preserve">Transmitter </t>
  </si>
  <si>
    <t>CDH</t>
  </si>
  <si>
    <t>Raspberry Pi</t>
  </si>
  <si>
    <t>TTC</t>
  </si>
  <si>
    <t>Power</t>
  </si>
  <si>
    <t>Solar Panels</t>
  </si>
  <si>
    <t>ADCS</t>
  </si>
  <si>
    <t>Actuators</t>
  </si>
  <si>
    <t>IMU</t>
  </si>
  <si>
    <t>Survivable</t>
  </si>
  <si>
    <t>Min</t>
  </si>
  <si>
    <t>Max</t>
  </si>
  <si>
    <t>Operating</t>
  </si>
  <si>
    <t xml:space="preserve">Min </t>
  </si>
  <si>
    <t>Battery</t>
  </si>
  <si>
    <t>?</t>
  </si>
  <si>
    <t>MCU</t>
  </si>
  <si>
    <t>Transceiver</t>
  </si>
  <si>
    <t>Temp Sensor</t>
  </si>
  <si>
    <t>Gyroscope</t>
  </si>
  <si>
    <t>Patch Antenna</t>
  </si>
  <si>
    <t>Material</t>
  </si>
  <si>
    <t>Gallium Arsenide</t>
  </si>
  <si>
    <t>Absorptivity</t>
  </si>
  <si>
    <t>Emissivity</t>
  </si>
  <si>
    <t>Sun</t>
  </si>
  <si>
    <t>Earth IR</t>
  </si>
  <si>
    <t>Earth Reflection</t>
  </si>
  <si>
    <t>Power Flux</t>
  </si>
  <si>
    <t>Component</t>
  </si>
  <si>
    <t>Payload Transmitter</t>
  </si>
  <si>
    <t>Magnetorquers</t>
  </si>
  <si>
    <t>TT&amp;C Transmitter</t>
  </si>
  <si>
    <t>Total Internal Power</t>
  </si>
  <si>
    <t>Area</t>
  </si>
  <si>
    <t>W</t>
  </si>
  <si>
    <t>K</t>
  </si>
  <si>
    <t>degC</t>
  </si>
  <si>
    <t>RADIO Surface</t>
  </si>
  <si>
    <t>White Plastic Coating</t>
  </si>
  <si>
    <t>Solar Cell</t>
  </si>
  <si>
    <t>PCB</t>
  </si>
  <si>
    <t>White FR-4 Substrate</t>
  </si>
  <si>
    <t>Boom</t>
  </si>
  <si>
    <t>Power Sources</t>
  </si>
  <si>
    <t>Source</t>
  </si>
  <si>
    <t>Face</t>
  </si>
  <si>
    <t>m^2</t>
  </si>
  <si>
    <t>Boom width</t>
  </si>
  <si>
    <t>Hot Case Table</t>
  </si>
  <si>
    <t>Power Source</t>
  </si>
  <si>
    <t xml:space="preserve">Area </t>
  </si>
  <si>
    <t>*</t>
  </si>
  <si>
    <t>Power conducted</t>
  </si>
  <si>
    <t>Heat In</t>
  </si>
  <si>
    <t>Heat Out</t>
  </si>
  <si>
    <t>Projected Area solar panels in sun</t>
  </si>
  <si>
    <t>Shaded Solar Panel Area</t>
  </si>
  <si>
    <t>Total Heat In</t>
  </si>
  <si>
    <t>External Heat In</t>
  </si>
  <si>
    <t>Internal Heat In</t>
  </si>
  <si>
    <t>Stefan-Boltzmann Constant</t>
  </si>
  <si>
    <t>Effective Radiative Area</t>
  </si>
  <si>
    <t xml:space="preserve">Equilibirum Temperature </t>
  </si>
  <si>
    <t>Cold Case Table</t>
  </si>
  <si>
    <t>Power Conducted</t>
  </si>
  <si>
    <t>Worst case - RADIO tilted at 45 deg and 13 degrees towards sun</t>
  </si>
  <si>
    <t>Worst case - Eclipse</t>
  </si>
  <si>
    <t>Equilibrium Temperature</t>
  </si>
  <si>
    <t>Louver Coverage of Solar Panels</t>
  </si>
  <si>
    <t>Cold to Hot Transition</t>
  </si>
  <si>
    <t>Thermal Capacity</t>
  </si>
  <si>
    <t>Weight</t>
  </si>
  <si>
    <t>White Steel</t>
  </si>
  <si>
    <t>Specific Heat (Ave)</t>
  </si>
  <si>
    <t>dQ/dt</t>
  </si>
  <si>
    <t xml:space="preserve">Time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</si>
</sst>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2"/>
  <sheetViews>
    <sheetView tabSelected="1" workbookViewId="0">
      <selection activeCell="E92" sqref="E92"/>
    </sheetView>
  </sheetViews>
  <sheetFormatPr defaultRowHeight="15" x14ac:dyDescent="0.25"/>
  <cols>
    <col min="15" max="15" width="12" bestFit="1" customWidth="1"/>
    <col min="18" max="18" width="12" bestFit="1" customWidth="1"/>
  </cols>
  <sheetData>
    <row r="1" spans="2:7" x14ac:dyDescent="0.25">
      <c r="D1" t="s">
        <v>12</v>
      </c>
      <c r="F1" t="s">
        <v>15</v>
      </c>
    </row>
    <row r="2" spans="2:7" x14ac:dyDescent="0.25">
      <c r="D2" t="s">
        <v>13</v>
      </c>
      <c r="E2" t="s">
        <v>14</v>
      </c>
      <c r="F2" t="s">
        <v>16</v>
      </c>
      <c r="G2" t="s">
        <v>14</v>
      </c>
    </row>
    <row r="3" spans="2:7" x14ac:dyDescent="0.25">
      <c r="B3" t="s">
        <v>0</v>
      </c>
    </row>
    <row r="4" spans="2:7" x14ac:dyDescent="0.25">
      <c r="B4" t="s">
        <v>1</v>
      </c>
      <c r="D4">
        <v>-65</v>
      </c>
      <c r="E4">
        <v>150</v>
      </c>
      <c r="F4">
        <v>-40</v>
      </c>
      <c r="G4">
        <v>85</v>
      </c>
    </row>
    <row r="5" spans="2:7" x14ac:dyDescent="0.25">
      <c r="B5" t="s">
        <v>2</v>
      </c>
      <c r="D5">
        <v>-40</v>
      </c>
      <c r="E5">
        <v>85</v>
      </c>
      <c r="F5">
        <v>-40</v>
      </c>
      <c r="G5">
        <v>85</v>
      </c>
    </row>
    <row r="6" spans="2:7" x14ac:dyDescent="0.25">
      <c r="B6" t="s">
        <v>3</v>
      </c>
      <c r="D6">
        <v>-40</v>
      </c>
      <c r="E6">
        <v>150</v>
      </c>
      <c r="F6">
        <v>-40</v>
      </c>
      <c r="G6">
        <v>85</v>
      </c>
    </row>
    <row r="8" spans="2:7" x14ac:dyDescent="0.25">
      <c r="B8" t="s">
        <v>4</v>
      </c>
    </row>
    <row r="9" spans="2:7" x14ac:dyDescent="0.25">
      <c r="B9" t="s">
        <v>5</v>
      </c>
      <c r="D9">
        <v>-55</v>
      </c>
      <c r="E9">
        <v>150</v>
      </c>
      <c r="F9">
        <v>-40</v>
      </c>
      <c r="G9">
        <v>85</v>
      </c>
    </row>
    <row r="11" spans="2:7" x14ac:dyDescent="0.25">
      <c r="B11" t="s">
        <v>6</v>
      </c>
    </row>
    <row r="12" spans="2:7" x14ac:dyDescent="0.25">
      <c r="B12" t="s">
        <v>19</v>
      </c>
      <c r="D12">
        <v>-55</v>
      </c>
      <c r="E12">
        <v>85</v>
      </c>
      <c r="F12">
        <v>-40</v>
      </c>
      <c r="G12">
        <v>85</v>
      </c>
    </row>
    <row r="13" spans="2:7" x14ac:dyDescent="0.25">
      <c r="B13" t="s">
        <v>20</v>
      </c>
      <c r="D13">
        <v>-55</v>
      </c>
      <c r="E13">
        <v>115</v>
      </c>
      <c r="F13">
        <v>-20</v>
      </c>
      <c r="G13">
        <v>70</v>
      </c>
    </row>
    <row r="15" spans="2:7" x14ac:dyDescent="0.25">
      <c r="B15" t="s">
        <v>7</v>
      </c>
    </row>
    <row r="16" spans="2:7" x14ac:dyDescent="0.25">
      <c r="B16" t="s">
        <v>8</v>
      </c>
    </row>
    <row r="17" spans="2:12" x14ac:dyDescent="0.25">
      <c r="B17" t="s">
        <v>17</v>
      </c>
      <c r="D17">
        <v>-20</v>
      </c>
      <c r="E17">
        <v>45</v>
      </c>
    </row>
    <row r="18" spans="2:12" x14ac:dyDescent="0.25">
      <c r="B18" t="s">
        <v>21</v>
      </c>
      <c r="F18">
        <v>-55</v>
      </c>
      <c r="G18">
        <v>150</v>
      </c>
    </row>
    <row r="19" spans="2:12" x14ac:dyDescent="0.25">
      <c r="B19" t="s">
        <v>22</v>
      </c>
      <c r="F19">
        <v>-40</v>
      </c>
      <c r="G19">
        <v>105</v>
      </c>
    </row>
    <row r="21" spans="2:12" x14ac:dyDescent="0.25">
      <c r="B21" t="s">
        <v>9</v>
      </c>
    </row>
    <row r="22" spans="2:12" x14ac:dyDescent="0.25">
      <c r="B22" t="s">
        <v>11</v>
      </c>
      <c r="D22" t="s">
        <v>18</v>
      </c>
      <c r="E22" t="s">
        <v>18</v>
      </c>
      <c r="F22">
        <v>-40</v>
      </c>
      <c r="G22">
        <v>85</v>
      </c>
    </row>
    <row r="23" spans="2:12" x14ac:dyDescent="0.25">
      <c r="B23" t="s">
        <v>10</v>
      </c>
    </row>
    <row r="26" spans="2:12" x14ac:dyDescent="0.25">
      <c r="B26" t="s">
        <v>41</v>
      </c>
    </row>
    <row r="28" spans="2:12" x14ac:dyDescent="0.25">
      <c r="B28" t="s">
        <v>32</v>
      </c>
      <c r="D28" t="s">
        <v>24</v>
      </c>
      <c r="F28" t="s">
        <v>27</v>
      </c>
      <c r="H28" t="s">
        <v>26</v>
      </c>
      <c r="J28" t="s">
        <v>74</v>
      </c>
      <c r="L28" t="s">
        <v>75</v>
      </c>
    </row>
    <row r="29" spans="2:12" x14ac:dyDescent="0.25">
      <c r="B29" t="s">
        <v>23</v>
      </c>
      <c r="D29" t="s">
        <v>42</v>
      </c>
      <c r="F29">
        <v>0.85</v>
      </c>
      <c r="H29">
        <v>0.25</v>
      </c>
      <c r="J29">
        <v>960</v>
      </c>
      <c r="L29">
        <v>0.13500000000000001</v>
      </c>
    </row>
    <row r="30" spans="2:12" x14ac:dyDescent="0.25">
      <c r="B30" t="s">
        <v>43</v>
      </c>
      <c r="D30" t="s">
        <v>25</v>
      </c>
      <c r="F30">
        <v>0.85</v>
      </c>
      <c r="H30">
        <v>0.90300000000000002</v>
      </c>
      <c r="J30">
        <v>350</v>
      </c>
      <c r="L30">
        <f>13*0.127/6</f>
        <v>0.27516666666666667</v>
      </c>
    </row>
    <row r="31" spans="2:12" x14ac:dyDescent="0.25">
      <c r="B31" t="s">
        <v>44</v>
      </c>
      <c r="D31" t="s">
        <v>45</v>
      </c>
      <c r="F31">
        <v>0.85</v>
      </c>
      <c r="H31">
        <v>0.25</v>
      </c>
      <c r="J31">
        <v>1200</v>
      </c>
      <c r="L31">
        <f>13*0.127/6</f>
        <v>0.27516666666666667</v>
      </c>
    </row>
    <row r="32" spans="2:12" x14ac:dyDescent="0.25">
      <c r="B32" t="s">
        <v>46</v>
      </c>
      <c r="D32" t="s">
        <v>76</v>
      </c>
      <c r="F32">
        <v>0.85</v>
      </c>
      <c r="H32">
        <v>0.25</v>
      </c>
      <c r="J32">
        <v>500</v>
      </c>
      <c r="L32">
        <v>0.1</v>
      </c>
    </row>
    <row r="35" spans="2:14" x14ac:dyDescent="0.25">
      <c r="B35" t="s">
        <v>47</v>
      </c>
    </row>
    <row r="36" spans="2:14" x14ac:dyDescent="0.25">
      <c r="B36" t="s">
        <v>48</v>
      </c>
      <c r="D36" t="s">
        <v>31</v>
      </c>
    </row>
    <row r="37" spans="2:14" x14ac:dyDescent="0.25">
      <c r="B37" t="s">
        <v>28</v>
      </c>
      <c r="D37">
        <v>1367</v>
      </c>
    </row>
    <row r="38" spans="2:14" x14ac:dyDescent="0.25">
      <c r="B38" t="s">
        <v>29</v>
      </c>
      <c r="D38">
        <v>231</v>
      </c>
    </row>
    <row r="39" spans="2:14" x14ac:dyDescent="0.25">
      <c r="B39" t="s">
        <v>30</v>
      </c>
      <c r="D39">
        <f>0.37*D37</f>
        <v>505.79</v>
      </c>
    </row>
    <row r="41" spans="2:14" x14ac:dyDescent="0.25">
      <c r="B41" t="s">
        <v>51</v>
      </c>
      <c r="D41">
        <v>5.0000000000000001E-3</v>
      </c>
    </row>
    <row r="43" spans="2:14" x14ac:dyDescent="0.25">
      <c r="B43" t="s">
        <v>69</v>
      </c>
      <c r="I43" t="s">
        <v>70</v>
      </c>
    </row>
    <row r="44" spans="2:14" x14ac:dyDescent="0.25">
      <c r="B44" t="s">
        <v>49</v>
      </c>
      <c r="F44" t="s">
        <v>37</v>
      </c>
      <c r="G44" t="s">
        <v>50</v>
      </c>
      <c r="I44" t="s">
        <v>49</v>
      </c>
      <c r="M44" t="s">
        <v>37</v>
      </c>
      <c r="N44" t="s">
        <v>50</v>
      </c>
    </row>
    <row r="45" spans="2:14" x14ac:dyDescent="0.25">
      <c r="B45" t="s">
        <v>59</v>
      </c>
      <c r="F45">
        <v>4.8535000000000002E-2</v>
      </c>
      <c r="I45" t="s">
        <v>46</v>
      </c>
      <c r="M45">
        <f>7.5*$D$41</f>
        <v>3.7499999999999999E-2</v>
      </c>
    </row>
    <row r="46" spans="2:14" x14ac:dyDescent="0.25">
      <c r="B46" t="s">
        <v>46</v>
      </c>
      <c r="F46">
        <f>7.5*D41</f>
        <v>3.7499999999999999E-2</v>
      </c>
      <c r="I46" t="s">
        <v>60</v>
      </c>
      <c r="M46">
        <v>0.13</v>
      </c>
    </row>
    <row r="47" spans="2:14" x14ac:dyDescent="0.25">
      <c r="B47" t="str">
        <f>$B$29</f>
        <v>Patch Antenna</v>
      </c>
      <c r="F47">
        <v>0.01</v>
      </c>
      <c r="I47" t="str">
        <f>$B$29</f>
        <v>Patch Antenna</v>
      </c>
      <c r="M47">
        <v>0.01</v>
      </c>
    </row>
    <row r="48" spans="2:14" x14ac:dyDescent="0.25">
      <c r="B48" t="s">
        <v>60</v>
      </c>
      <c r="F48">
        <v>0.06</v>
      </c>
    </row>
    <row r="53" spans="2:26" x14ac:dyDescent="0.25">
      <c r="B53" t="s">
        <v>52</v>
      </c>
      <c r="P53" t="s">
        <v>67</v>
      </c>
    </row>
    <row r="54" spans="2:26" x14ac:dyDescent="0.25">
      <c r="B54" t="s">
        <v>62</v>
      </c>
      <c r="P54" t="s">
        <v>62</v>
      </c>
    </row>
    <row r="55" spans="2:26" x14ac:dyDescent="0.25">
      <c r="B55" t="s">
        <v>49</v>
      </c>
      <c r="D55" t="s">
        <v>53</v>
      </c>
      <c r="F55" t="s">
        <v>31</v>
      </c>
      <c r="H55" t="s">
        <v>54</v>
      </c>
      <c r="J55" t="s">
        <v>26</v>
      </c>
      <c r="L55" t="s">
        <v>56</v>
      </c>
      <c r="P55" t="s">
        <v>49</v>
      </c>
      <c r="R55" t="s">
        <v>53</v>
      </c>
      <c r="T55" t="s">
        <v>31</v>
      </c>
      <c r="V55" t="s">
        <v>37</v>
      </c>
      <c r="X55" t="s">
        <v>26</v>
      </c>
      <c r="Z55" t="s">
        <v>68</v>
      </c>
    </row>
    <row r="56" spans="2:26" x14ac:dyDescent="0.25">
      <c r="B56" t="s">
        <v>8</v>
      </c>
      <c r="D56" t="str">
        <f>B37</f>
        <v>Sun</v>
      </c>
      <c r="F56">
        <f>D37</f>
        <v>1367</v>
      </c>
      <c r="H56">
        <f>F45</f>
        <v>4.8535000000000002E-2</v>
      </c>
      <c r="J56">
        <f>(H30+H31)/2</f>
        <v>0.57650000000000001</v>
      </c>
      <c r="K56" t="s">
        <v>55</v>
      </c>
      <c r="L56">
        <f>F56*H56*J56</f>
        <v>38.249244392500003</v>
      </c>
      <c r="P56" t="str">
        <f>$B$29</f>
        <v>Patch Antenna</v>
      </c>
      <c r="R56" t="str">
        <f>$B$38</f>
        <v>Earth IR</v>
      </c>
      <c r="T56">
        <f>$D$38</f>
        <v>231</v>
      </c>
      <c r="V56">
        <f>$F$47</f>
        <v>0.01</v>
      </c>
      <c r="X56">
        <f>$H$29</f>
        <v>0.25</v>
      </c>
      <c r="Z56">
        <f>T56*V56*X56</f>
        <v>0.57750000000000001</v>
      </c>
    </row>
    <row r="57" spans="2:26" x14ac:dyDescent="0.25">
      <c r="B57" t="str">
        <f>$B$29</f>
        <v>Patch Antenna</v>
      </c>
      <c r="D57" t="str">
        <f>$B$38</f>
        <v>Earth IR</v>
      </c>
      <c r="F57">
        <f>$D$38</f>
        <v>231</v>
      </c>
      <c r="H57">
        <f>$F$47</f>
        <v>0.01</v>
      </c>
      <c r="J57">
        <f>$H$29</f>
        <v>0.25</v>
      </c>
      <c r="L57">
        <f>F57*H57*J57</f>
        <v>0.57750000000000001</v>
      </c>
    </row>
    <row r="58" spans="2:26" x14ac:dyDescent="0.25">
      <c r="D58" t="str">
        <f>$B$39</f>
        <v>Earth Reflection</v>
      </c>
      <c r="F58">
        <f>$D$39</f>
        <v>505.79</v>
      </c>
      <c r="H58">
        <f>$F$47</f>
        <v>0.01</v>
      </c>
      <c r="J58">
        <f>$H$29</f>
        <v>0.25</v>
      </c>
      <c r="L58">
        <f>F58*H58*J58</f>
        <v>1.264475</v>
      </c>
    </row>
    <row r="59" spans="2:26" x14ac:dyDescent="0.25">
      <c r="B59" t="s">
        <v>46</v>
      </c>
      <c r="D59" t="str">
        <f>B37</f>
        <v>Sun</v>
      </c>
      <c r="F59">
        <f>D37</f>
        <v>1367</v>
      </c>
      <c r="H59">
        <f>F46</f>
        <v>3.7499999999999999E-2</v>
      </c>
      <c r="J59">
        <f>$H$32</f>
        <v>0.25</v>
      </c>
      <c r="L59">
        <f>F59*H59*J59</f>
        <v>12.815624999999999</v>
      </c>
    </row>
    <row r="61" spans="2:26" x14ac:dyDescent="0.25">
      <c r="B61" t="s">
        <v>63</v>
      </c>
      <c r="P61" t="s">
        <v>63</v>
      </c>
    </row>
    <row r="63" spans="2:26" x14ac:dyDescent="0.25">
      <c r="B63" t="s">
        <v>33</v>
      </c>
      <c r="D63">
        <v>806</v>
      </c>
      <c r="P63" t="s">
        <v>33</v>
      </c>
      <c r="R63">
        <v>806</v>
      </c>
    </row>
    <row r="64" spans="2:26" x14ac:dyDescent="0.25">
      <c r="B64" t="s">
        <v>5</v>
      </c>
      <c r="D64">
        <v>1020</v>
      </c>
      <c r="P64" t="s">
        <v>5</v>
      </c>
      <c r="R64">
        <v>1020</v>
      </c>
    </row>
    <row r="65" spans="2:20" x14ac:dyDescent="0.25">
      <c r="B65" t="s">
        <v>34</v>
      </c>
      <c r="D65">
        <v>1200</v>
      </c>
      <c r="P65" t="s">
        <v>34</v>
      </c>
      <c r="R65">
        <v>1200</v>
      </c>
    </row>
    <row r="66" spans="2:20" x14ac:dyDescent="0.25">
      <c r="B66" t="s">
        <v>35</v>
      </c>
      <c r="D66">
        <v>312</v>
      </c>
      <c r="P66" t="s">
        <v>35</v>
      </c>
      <c r="R66">
        <v>312</v>
      </c>
    </row>
    <row r="68" spans="2:20" x14ac:dyDescent="0.25">
      <c r="B68" t="s">
        <v>36</v>
      </c>
      <c r="D68">
        <f>(D66+D65+D64+D63)/1000</f>
        <v>3.3380000000000001</v>
      </c>
      <c r="E68" t="s">
        <v>38</v>
      </c>
      <c r="P68" t="s">
        <v>36</v>
      </c>
      <c r="R68">
        <f>(R66+R65+R64+R63)/1000</f>
        <v>3.3380000000000001</v>
      </c>
      <c r="S68" t="s">
        <v>38</v>
      </c>
    </row>
    <row r="70" spans="2:20" x14ac:dyDescent="0.25">
      <c r="B70" t="s">
        <v>58</v>
      </c>
      <c r="P70" t="s">
        <v>58</v>
      </c>
    </row>
    <row r="71" spans="2:20" x14ac:dyDescent="0.25">
      <c r="B71" t="s">
        <v>49</v>
      </c>
      <c r="D71" t="s">
        <v>37</v>
      </c>
      <c r="F71" t="s">
        <v>27</v>
      </c>
      <c r="P71" t="s">
        <v>49</v>
      </c>
      <c r="R71" t="s">
        <v>37</v>
      </c>
      <c r="T71" t="s">
        <v>27</v>
      </c>
    </row>
    <row r="72" spans="2:20" x14ac:dyDescent="0.25">
      <c r="B72" t="str">
        <f>B56</f>
        <v>Solar Panels</v>
      </c>
      <c r="D72">
        <f>F48</f>
        <v>0.06</v>
      </c>
      <c r="F72">
        <f>(F30+F31)/2</f>
        <v>0.85</v>
      </c>
      <c r="P72" t="s">
        <v>8</v>
      </c>
      <c r="R72">
        <f>M46*(1-T82)</f>
        <v>0.11700000000000001</v>
      </c>
      <c r="T72">
        <f>(F30+F31)/2</f>
        <v>0.85</v>
      </c>
    </row>
    <row r="73" spans="2:20" x14ac:dyDescent="0.25">
      <c r="B73" t="s">
        <v>46</v>
      </c>
      <c r="D73">
        <f>F46</f>
        <v>3.7499999999999999E-2</v>
      </c>
      <c r="F73">
        <f>F32</f>
        <v>0.85</v>
      </c>
      <c r="P73" t="s">
        <v>46</v>
      </c>
      <c r="R73">
        <f>M45</f>
        <v>3.7499999999999999E-2</v>
      </c>
      <c r="T73">
        <f>F32</f>
        <v>0.85</v>
      </c>
    </row>
    <row r="75" spans="2:20" x14ac:dyDescent="0.25">
      <c r="B75" t="s">
        <v>61</v>
      </c>
      <c r="E75">
        <f>SUM(L56:L59)+D68</f>
        <v>56.244844392499999</v>
      </c>
      <c r="F75" t="s">
        <v>38</v>
      </c>
      <c r="P75" t="s">
        <v>61</v>
      </c>
      <c r="T75">
        <f>R68+Z56</f>
        <v>3.9155000000000002</v>
      </c>
    </row>
    <row r="76" spans="2:20" x14ac:dyDescent="0.25">
      <c r="B76" t="s">
        <v>64</v>
      </c>
      <c r="E76">
        <f>5.67*10^-8</f>
        <v>5.6699999999999998E-8</v>
      </c>
      <c r="P76" t="s">
        <v>64</v>
      </c>
      <c r="T76">
        <f>E76</f>
        <v>5.6699999999999998E-8</v>
      </c>
    </row>
    <row r="77" spans="2:20" x14ac:dyDescent="0.25">
      <c r="B77" t="s">
        <v>65</v>
      </c>
      <c r="E77">
        <f>D72*F72+D73*F73</f>
        <v>8.2875000000000004E-2</v>
      </c>
      <c r="P77" t="s">
        <v>65</v>
      </c>
      <c r="T77">
        <f>R72*T72+R73*T73</f>
        <v>0.131325</v>
      </c>
    </row>
    <row r="79" spans="2:20" x14ac:dyDescent="0.25">
      <c r="B79" t="s">
        <v>66</v>
      </c>
      <c r="E79">
        <f>POWER(E75/(E76*E77), 1/4)</f>
        <v>330.76460511360722</v>
      </c>
      <c r="F79" t="s">
        <v>39</v>
      </c>
      <c r="P79" t="s">
        <v>71</v>
      </c>
      <c r="T79">
        <f>POWER(T75/(T76*T77), 1/4)</f>
        <v>151.43079068205125</v>
      </c>
    </row>
    <row r="80" spans="2:20" x14ac:dyDescent="0.25">
      <c r="E80">
        <f>E79-273</f>
        <v>57.764605113607217</v>
      </c>
      <c r="F80" t="s">
        <v>40</v>
      </c>
      <c r="T80">
        <f>T79-273</f>
        <v>-121.56920931794875</v>
      </c>
    </row>
    <row r="82" spans="2:20" x14ac:dyDescent="0.25">
      <c r="P82" t="s">
        <v>72</v>
      </c>
      <c r="T82">
        <v>0.1</v>
      </c>
    </row>
    <row r="84" spans="2:20" x14ac:dyDescent="0.25">
      <c r="B84" t="s">
        <v>73</v>
      </c>
      <c r="O84" t="s">
        <v>73</v>
      </c>
    </row>
    <row r="85" spans="2:20" x14ac:dyDescent="0.25">
      <c r="B85" t="s">
        <v>57</v>
      </c>
      <c r="E85">
        <f>T75</f>
        <v>3.9155000000000002</v>
      </c>
      <c r="O85" t="s">
        <v>57</v>
      </c>
      <c r="R85">
        <f>E75</f>
        <v>56.244844392499999</v>
      </c>
    </row>
    <row r="86" spans="2:20" x14ac:dyDescent="0.25">
      <c r="B86" t="s">
        <v>58</v>
      </c>
      <c r="E86">
        <f>E77*E76*E79^4</f>
        <v>56.244844392499964</v>
      </c>
      <c r="O86" t="s">
        <v>58</v>
      </c>
      <c r="R86">
        <f>T75</f>
        <v>3.9155000000000002</v>
      </c>
    </row>
    <row r="87" spans="2:20" x14ac:dyDescent="0.25">
      <c r="B87" t="s">
        <v>77</v>
      </c>
      <c r="E87">
        <f>$J$29*$L$29*$F$47+$J$30*$L$30*0.5*$T$77+$L$31*$J$31*0.5*$T$77+$L$32*$J$32*$F$46*2/($F$47+2*$F$46+$T$77)</f>
        <v>46.636631751379582</v>
      </c>
      <c r="O87" t="s">
        <v>77</v>
      </c>
      <c r="R87">
        <f>$J$29*$L$29*$F$47+$J$30*$L$30*0.5*$T$77+$L$31*$J$31*0.5*$T$77+$L$32*$J$32*$F$46*2/($F$47+2*$F$46+$T$77)</f>
        <v>46.636631751379582</v>
      </c>
    </row>
    <row r="88" spans="2:20" x14ac:dyDescent="0.25">
      <c r="B88" t="s">
        <v>78</v>
      </c>
      <c r="E88">
        <f>(E86-E85)/E87</f>
        <v>1.1220652613050681</v>
      </c>
      <c r="O88" t="s">
        <v>78</v>
      </c>
      <c r="R88">
        <f>(R86-R85)/R87</f>
        <v>-1.1220652613050688</v>
      </c>
    </row>
    <row r="90" spans="2:20" x14ac:dyDescent="0.25">
      <c r="B90" t="s">
        <v>79</v>
      </c>
      <c r="E90">
        <f>-1/E87</f>
        <v>-2.1442371853332191E-2</v>
      </c>
    </row>
    <row r="92" spans="2:20" x14ac:dyDescent="0.25">
      <c r="E92">
        <f>EXP(E90*5)</f>
        <v>0.89833533216359573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2018-11-14T03:22:23Z</dcterms:modified>
</cp:coreProperties>
</file>