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ml.chartshapes+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harts/chart10.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omments4.xml" ContentType="application/vnd.openxmlformats-officedocument.spreadsheetml.comments+xml"/>
  <Override PartName="/xl/drawings/drawing20.xml" ContentType="application/vnd.openxmlformats-officedocument.drawing+xml"/>
  <Override PartName="/xl/comments5.xml" ContentType="application/vnd.openxmlformats-officedocument.spreadsheetml.comment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harts/chart18.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970" yWindow="135" windowWidth="12060" windowHeight="9270" tabRatio="646"/>
  </bookViews>
  <sheets>
    <sheet name="Start" sheetId="27" r:id="rId1"/>
    <sheet name="Report &amp; Results " sheetId="23" r:id="rId2"/>
    <sheet name="Reference Systems" sheetId="24" r:id="rId3"/>
    <sheet name="In-House Techniques" sheetId="25" r:id="rId4"/>
    <sheet name="Outdoor Storage Techniques" sheetId="33" r:id="rId5"/>
    <sheet name="Field Techniques" sheetId="32" r:id="rId6"/>
    <sheet name="Calculations - Ref system" sheetId="1" r:id="rId7"/>
    <sheet name="Calculations - Techn" sheetId="22" r:id="rId8"/>
    <sheet name="Background data" sheetId="2" r:id="rId9"/>
    <sheet name="Not in use" sheetId="12" r:id="rId10"/>
    <sheet name="Not in use (2)" sheetId="26" r:id="rId11"/>
    <sheet name="Ark1" sheetId="30" r:id="rId12"/>
    <sheet name="Ark2" sheetId="31" r:id="rId13"/>
  </sheets>
  <definedNames>
    <definedName name="B0" localSheetId="5">'Background data'!#REF!</definedName>
    <definedName name="B0" localSheetId="4">'Background data'!#REF!</definedName>
    <definedName name="B0">'Background data'!#REF!</definedName>
    <definedName name="C_dm">'Background data'!$D$6</definedName>
    <definedName name="Cu_dm">'Background data'!$D$8</definedName>
    <definedName name="K_in_straw">'Background data'!$C$16</definedName>
    <definedName name="MCFh">'Background data'!$D$9</definedName>
    <definedName name="MCFs">'Background data'!$D$10</definedName>
    <definedName name="N_in_straw">'Background data'!$C$14</definedName>
    <definedName name="P_in_straw">'Background data'!$C$15</definedName>
    <definedName name="_xlnm.Print_Area" localSheetId="1">'Report &amp; Results '!$B$3:$H$248</definedName>
    <definedName name="_xlnm.Print_Area" localSheetId="0">Start!$B$3:$B$91</definedName>
    <definedName name="_xlnm.Print_Titles" localSheetId="1">'Report &amp; Results '!$1:$2</definedName>
    <definedName name="_xlnm.Print_Titles" localSheetId="0">Start!$1:$2</definedName>
    <definedName name="TAN_ab_house" localSheetId="5">'Background data'!#REF!</definedName>
    <definedName name="TAN_ab_house" localSheetId="4">'Background data'!#REF!</definedName>
    <definedName name="TAN_ab_house">'Background data'!#REF!</definedName>
    <definedName name="TANex" localSheetId="5">'Background data'!#REF!</definedName>
    <definedName name="TANex" localSheetId="4">'Background data'!#REF!</definedName>
    <definedName name="TANex">'Background data'!#REF!</definedName>
    <definedName name="VS">'Background data'!$D$5</definedName>
    <definedName name="Zn_dm">'Background data'!$D$7</definedName>
  </definedNames>
  <calcPr calcId="145621"/>
</workbook>
</file>

<file path=xl/calcChain.xml><?xml version="1.0" encoding="utf-8"?>
<calcChain xmlns="http://schemas.openxmlformats.org/spreadsheetml/2006/main">
  <c r="K166" i="24" l="1"/>
  <c r="L166" i="24"/>
  <c r="M166" i="24" s="1"/>
  <c r="J166" i="24"/>
  <c r="I166" i="24"/>
  <c r="AO28" i="25" l="1"/>
  <c r="AO29" i="25" s="1"/>
  <c r="AN28" i="25"/>
  <c r="AN29" i="25" s="1"/>
  <c r="AM28" i="25"/>
  <c r="AM29" i="25" s="1"/>
  <c r="K163" i="24"/>
  <c r="L163" i="24"/>
  <c r="J163" i="24"/>
  <c r="I163" i="24"/>
  <c r="AQ28" i="25"/>
  <c r="AP28" i="25"/>
  <c r="AL33" i="25" l="1"/>
  <c r="AL31" i="25"/>
  <c r="B1" i="25"/>
  <c r="AX28" i="25"/>
  <c r="K16" i="33" l="1"/>
  <c r="B2" i="33"/>
  <c r="B1" i="33"/>
  <c r="B4" i="32" l="1"/>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3" i="32"/>
  <c r="B2" i="32"/>
  <c r="B1" i="32"/>
  <c r="R29" i="32" l="1"/>
  <c r="Q29" i="32"/>
  <c r="P29" i="32"/>
  <c r="O33" i="32"/>
  <c r="O31" i="32"/>
  <c r="H31" i="32"/>
  <c r="H33" i="32"/>
  <c r="N33" i="32"/>
  <c r="N31" i="32"/>
  <c r="P168" i="24"/>
  <c r="P162" i="24"/>
  <c r="AC171" i="24" l="1"/>
  <c r="AC170" i="24"/>
  <c r="AC169" i="24"/>
  <c r="AC168" i="24"/>
  <c r="S26" i="1" s="1"/>
  <c r="S28" i="22" s="1"/>
  <c r="AC167" i="24"/>
  <c r="AC166" i="24"/>
  <c r="L26" i="1" s="1"/>
  <c r="AC165" i="24"/>
  <c r="AC164" i="24"/>
  <c r="AC163" i="24"/>
  <c r="G37" i="23" s="1"/>
  <c r="AC162" i="24"/>
  <c r="AC161" i="24"/>
  <c r="AC160" i="24"/>
  <c r="AC159" i="24"/>
  <c r="AC158" i="24"/>
  <c r="AC157" i="24"/>
  <c r="AC156" i="24"/>
  <c r="AC155" i="24"/>
  <c r="AC154" i="24"/>
  <c r="AC153" i="24"/>
  <c r="AC152" i="24"/>
  <c r="AC151" i="24"/>
  <c r="AC150" i="24"/>
  <c r="AC149" i="24"/>
  <c r="AC148" i="24"/>
  <c r="AC147" i="24"/>
  <c r="AC146" i="24"/>
  <c r="AC145" i="24"/>
  <c r="AC144" i="24"/>
  <c r="AC143" i="24"/>
  <c r="AC142" i="24"/>
  <c r="AC141" i="24"/>
  <c r="AC140" i="24"/>
  <c r="AC139" i="24"/>
  <c r="AC138" i="24"/>
  <c r="AC137" i="24"/>
  <c r="AC136" i="24"/>
  <c r="AC135" i="24"/>
  <c r="AC134" i="24"/>
  <c r="AC133" i="24"/>
  <c r="AC132" i="24"/>
  <c r="AC131" i="24"/>
  <c r="AC130" i="24"/>
  <c r="AC129" i="24"/>
  <c r="AC128" i="24"/>
  <c r="AC127" i="24"/>
  <c r="AC126" i="24"/>
  <c r="AC125" i="24"/>
  <c r="AC124" i="24"/>
  <c r="AC123" i="24"/>
  <c r="AC122" i="24"/>
  <c r="AC121" i="24"/>
  <c r="AC120" i="24"/>
  <c r="AC119" i="24"/>
  <c r="AC118" i="24"/>
  <c r="AC117" i="24"/>
  <c r="AC116" i="24"/>
  <c r="AC115" i="24"/>
  <c r="AC114" i="24"/>
  <c r="AC113" i="24"/>
  <c r="AC112" i="24"/>
  <c r="AC111" i="24"/>
  <c r="AC110" i="24"/>
  <c r="AC109" i="24"/>
  <c r="AC108" i="24"/>
  <c r="AC107" i="24"/>
  <c r="AC106" i="24"/>
  <c r="AC105" i="24"/>
  <c r="AC104" i="24"/>
  <c r="AC103" i="24"/>
  <c r="AC102" i="24"/>
  <c r="AC101" i="24"/>
  <c r="AC100" i="24"/>
  <c r="AC99" i="24"/>
  <c r="AC98" i="24"/>
  <c r="AC97" i="24"/>
  <c r="AC96" i="24"/>
  <c r="AC95" i="24"/>
  <c r="AC94" i="24"/>
  <c r="AC93" i="24"/>
  <c r="AC92" i="24"/>
  <c r="AC91" i="24"/>
  <c r="AC90" i="24"/>
  <c r="AC89" i="24"/>
  <c r="AC88" i="24"/>
  <c r="AC87" i="24"/>
  <c r="AC86" i="24"/>
  <c r="AC85" i="24"/>
  <c r="AC84" i="24"/>
  <c r="AC83" i="24"/>
  <c r="AC82" i="24"/>
  <c r="AC81" i="24"/>
  <c r="AC80" i="24"/>
  <c r="AC79" i="24"/>
  <c r="AC78" i="24"/>
  <c r="AC77" i="24"/>
  <c r="AC76" i="24"/>
  <c r="AC75" i="24"/>
  <c r="AC74" i="24"/>
  <c r="AC73" i="24"/>
  <c r="AC72" i="24"/>
  <c r="AC71" i="24"/>
  <c r="AC70" i="24"/>
  <c r="AC69" i="24"/>
  <c r="AC68" i="24"/>
  <c r="AC67" i="24"/>
  <c r="AC66" i="24"/>
  <c r="AC65" i="24"/>
  <c r="AC64" i="24"/>
  <c r="AC63" i="24"/>
  <c r="AC62" i="24"/>
  <c r="AC61" i="24"/>
  <c r="AC60" i="24"/>
  <c r="AC59" i="24"/>
  <c r="AC58" i="24"/>
  <c r="AC57" i="24"/>
  <c r="AC56" i="24"/>
  <c r="AC55" i="24"/>
  <c r="AC54" i="24"/>
  <c r="AC53" i="24"/>
  <c r="AC52" i="24"/>
  <c r="AC51" i="24"/>
  <c r="AC50" i="24"/>
  <c r="AC49" i="24"/>
  <c r="AC48" i="24"/>
  <c r="AC47" i="24"/>
  <c r="AC46" i="24"/>
  <c r="AC45" i="24"/>
  <c r="AC44" i="24"/>
  <c r="AC43" i="24"/>
  <c r="AC42" i="24"/>
  <c r="AC41" i="24"/>
  <c r="AC40" i="24"/>
  <c r="AC39" i="24"/>
  <c r="AC38" i="24"/>
  <c r="AC37" i="24"/>
  <c r="AC36" i="24"/>
  <c r="AC35" i="24"/>
  <c r="AC34" i="24"/>
  <c r="AC33" i="24"/>
  <c r="AC32" i="24"/>
  <c r="AC31" i="24"/>
  <c r="AC30" i="24"/>
  <c r="AC29" i="24"/>
  <c r="AC28" i="24"/>
  <c r="AC27" i="24"/>
  <c r="AC26" i="24"/>
  <c r="AC25" i="24"/>
  <c r="AC24" i="24"/>
  <c r="AC23" i="24"/>
  <c r="AC22" i="24"/>
  <c r="AC21" i="24"/>
  <c r="AC20" i="24"/>
  <c r="AC19" i="24"/>
  <c r="AC18" i="24"/>
  <c r="AC17" i="24"/>
  <c r="AC16" i="24"/>
  <c r="AC15" i="24"/>
  <c r="AC14" i="24"/>
  <c r="AC13" i="24"/>
  <c r="AC12" i="24"/>
  <c r="AC11" i="24"/>
  <c r="AC10" i="24"/>
  <c r="AC9" i="24"/>
  <c r="AC8" i="24"/>
  <c r="AC7" i="24" l="1"/>
  <c r="AD5" i="24"/>
  <c r="AD6" i="24"/>
  <c r="AD7" i="24"/>
  <c r="AD8" i="24" s="1"/>
  <c r="AD9" i="24" s="1"/>
  <c r="AD10" i="24" s="1"/>
  <c r="AD11" i="24" s="1"/>
  <c r="AD12" i="24" s="1"/>
  <c r="AD13" i="24" s="1"/>
  <c r="AD14" i="24" s="1"/>
  <c r="AD15" i="24" s="1"/>
  <c r="AD16" i="24" s="1"/>
  <c r="AD17" i="24" s="1"/>
  <c r="AD18" i="24" s="1"/>
  <c r="AD19" i="24" s="1"/>
  <c r="AD20" i="24" s="1"/>
  <c r="AD21" i="24" s="1"/>
  <c r="AD22" i="24" s="1"/>
  <c r="AD23" i="24" s="1"/>
  <c r="AD24" i="24" s="1"/>
  <c r="AD25" i="24" s="1"/>
  <c r="AD26" i="24" s="1"/>
  <c r="AD27" i="24" s="1"/>
  <c r="AD28" i="24" s="1"/>
  <c r="AD29" i="24" s="1"/>
  <c r="AD30" i="24" s="1"/>
  <c r="AD31" i="24" s="1"/>
  <c r="AD32" i="24" s="1"/>
  <c r="AD33" i="24" s="1"/>
  <c r="AD34" i="24" s="1"/>
  <c r="AD35" i="24" s="1"/>
  <c r="AD36" i="24" s="1"/>
  <c r="AD37" i="24" s="1"/>
  <c r="AD38" i="24" s="1"/>
  <c r="AD39" i="24" s="1"/>
  <c r="AD40" i="24" s="1"/>
  <c r="AD41" i="24" s="1"/>
  <c r="AD42" i="24" s="1"/>
  <c r="AD43" i="24" s="1"/>
  <c r="AD44" i="24" s="1"/>
  <c r="AD45" i="24" s="1"/>
  <c r="AD46" i="24" s="1"/>
  <c r="AD47" i="24" s="1"/>
  <c r="AD48" i="24" s="1"/>
  <c r="AD49" i="24" s="1"/>
  <c r="AD50" i="24" s="1"/>
  <c r="AD51" i="24" s="1"/>
  <c r="AD52" i="24" s="1"/>
  <c r="AD53" i="24" s="1"/>
  <c r="AD54" i="24" s="1"/>
  <c r="AD55" i="24" s="1"/>
  <c r="AD56" i="24" s="1"/>
  <c r="AD57" i="24" s="1"/>
  <c r="AD58" i="24" s="1"/>
  <c r="AD59" i="24" s="1"/>
  <c r="AD60" i="24" s="1"/>
  <c r="AD61" i="24" s="1"/>
  <c r="AD62" i="24" s="1"/>
  <c r="AD63" i="24" s="1"/>
  <c r="AD64" i="24" s="1"/>
  <c r="AD65" i="24" s="1"/>
  <c r="AD66" i="24" s="1"/>
  <c r="AD67" i="24" s="1"/>
  <c r="AD68" i="24" s="1"/>
  <c r="AD69" i="24" s="1"/>
  <c r="AD70" i="24" s="1"/>
  <c r="AD71" i="24" s="1"/>
  <c r="AD72" i="24" s="1"/>
  <c r="AD73" i="24" s="1"/>
  <c r="AD74" i="24" s="1"/>
  <c r="AD75" i="24" s="1"/>
  <c r="AD76" i="24" s="1"/>
  <c r="AD77" i="24" s="1"/>
  <c r="AD78" i="24" s="1"/>
  <c r="AD79" i="24" s="1"/>
  <c r="AD80" i="24" s="1"/>
  <c r="AD81" i="24" s="1"/>
  <c r="AD82" i="24" s="1"/>
  <c r="AD83" i="24" s="1"/>
  <c r="AD84" i="24" s="1"/>
  <c r="AD85" i="24" s="1"/>
  <c r="AD86" i="24" s="1"/>
  <c r="AD87" i="24" s="1"/>
  <c r="AD88" i="24" s="1"/>
  <c r="AD89" i="24" s="1"/>
  <c r="AD90" i="24" s="1"/>
  <c r="AD91" i="24" s="1"/>
  <c r="AD92" i="24" s="1"/>
  <c r="AD93" i="24" s="1"/>
  <c r="AD94" i="24" s="1"/>
  <c r="AD95" i="24" s="1"/>
  <c r="AD96" i="24" s="1"/>
  <c r="AD97" i="24" s="1"/>
  <c r="AD98" i="24" s="1"/>
  <c r="AD99" i="24" s="1"/>
  <c r="AD100" i="24" s="1"/>
  <c r="AD101" i="24" s="1"/>
  <c r="AD102" i="24" s="1"/>
  <c r="AD103" i="24" s="1"/>
  <c r="AD104" i="24" s="1"/>
  <c r="AD105" i="24" s="1"/>
  <c r="AD106" i="24" s="1"/>
  <c r="AD107" i="24" s="1"/>
  <c r="AD108" i="24" s="1"/>
  <c r="AD109" i="24" s="1"/>
  <c r="AD110" i="24" s="1"/>
  <c r="AD111" i="24" s="1"/>
  <c r="AD112" i="24" s="1"/>
  <c r="AD113" i="24" s="1"/>
  <c r="AD114" i="24" s="1"/>
  <c r="AD115" i="24" s="1"/>
  <c r="AD116" i="24" s="1"/>
  <c r="AD117" i="24" s="1"/>
  <c r="AD118" i="24" s="1"/>
  <c r="AD119" i="24" s="1"/>
  <c r="AD120" i="24" s="1"/>
  <c r="AD121" i="24" s="1"/>
  <c r="AD122" i="24" s="1"/>
  <c r="AD123" i="24" s="1"/>
  <c r="AD124" i="24" s="1"/>
  <c r="AD125" i="24" s="1"/>
  <c r="AD126" i="24" s="1"/>
  <c r="AD127" i="24" s="1"/>
  <c r="AD128" i="24" s="1"/>
  <c r="AD129" i="24" s="1"/>
  <c r="AD130" i="24" s="1"/>
  <c r="AD131" i="24" s="1"/>
  <c r="AD132" i="24" s="1"/>
  <c r="AD133" i="24" s="1"/>
  <c r="AD134" i="24" s="1"/>
  <c r="AD135" i="24" s="1"/>
  <c r="AD136" i="24" s="1"/>
  <c r="AD137" i="24" s="1"/>
  <c r="AD138" i="24" s="1"/>
  <c r="AD139" i="24" s="1"/>
  <c r="AD140" i="24" s="1"/>
  <c r="AD141" i="24" s="1"/>
  <c r="AD142" i="24" s="1"/>
  <c r="AD143" i="24" s="1"/>
  <c r="AD144" i="24" s="1"/>
  <c r="AD145" i="24" s="1"/>
  <c r="AD146" i="24" s="1"/>
  <c r="AD147" i="24" s="1"/>
  <c r="AD148" i="24" s="1"/>
  <c r="AD149" i="24" s="1"/>
  <c r="AD150" i="24" s="1"/>
  <c r="AD151" i="24" s="1"/>
  <c r="AD152" i="24" s="1"/>
  <c r="AD153" i="24" s="1"/>
  <c r="AD154" i="24" s="1"/>
  <c r="AD155" i="24" s="1"/>
  <c r="AD156" i="24" s="1"/>
  <c r="AD157" i="24" s="1"/>
  <c r="AD158" i="24" s="1"/>
  <c r="AD159" i="24" s="1"/>
  <c r="AD160" i="24" s="1"/>
  <c r="AD161" i="24" s="1"/>
  <c r="AD162" i="24" s="1"/>
  <c r="AD163" i="24" s="1"/>
  <c r="AD164" i="24" s="1"/>
  <c r="AD165" i="24" s="1"/>
  <c r="AD166" i="24" s="1"/>
  <c r="AD167" i="24" s="1"/>
  <c r="AD168" i="24" s="1"/>
  <c r="AD169" i="24" s="1"/>
  <c r="AD170" i="24" s="1"/>
  <c r="AD171" i="24" s="1"/>
  <c r="AD172" i="24" s="1"/>
  <c r="AD173" i="24" l="1"/>
  <c r="AC172" i="24"/>
  <c r="AD174" i="24" l="1"/>
  <c r="AC173" i="24"/>
  <c r="B59" i="23"/>
  <c r="B47" i="23"/>
  <c r="C6" i="23" l="1"/>
  <c r="B53" i="23"/>
  <c r="AD175" i="24"/>
  <c r="C2" i="33"/>
  <c r="G33" i="32"/>
  <c r="G31" i="32"/>
  <c r="K29" i="32"/>
  <c r="J29" i="32"/>
  <c r="I29" i="32"/>
  <c r="C2" i="32"/>
  <c r="C7" i="23" l="1"/>
  <c r="AD176" i="24"/>
  <c r="C3" i="33"/>
  <c r="B3" i="33" s="1"/>
  <c r="C3" i="32"/>
  <c r="O163" i="24"/>
  <c r="P163" i="24" s="1"/>
  <c r="AD177" i="24" l="1"/>
  <c r="C4" i="33"/>
  <c r="B4" i="33" s="1"/>
  <c r="B55" i="23" s="1"/>
  <c r="C4" i="32"/>
  <c r="B61" i="23" s="1"/>
  <c r="F162" i="24"/>
  <c r="G162" i="24"/>
  <c r="AD178" i="24" l="1"/>
  <c r="AC177" i="24"/>
  <c r="C5" i="33"/>
  <c r="B5" i="33" s="1"/>
  <c r="C5" i="32"/>
  <c r="AD179" i="24" l="1"/>
  <c r="AC178" i="24"/>
  <c r="C6" i="33"/>
  <c r="C6" i="32"/>
  <c r="O56" i="24"/>
  <c r="C7" i="32" l="1"/>
  <c r="AD180" i="24"/>
  <c r="C7" i="33"/>
  <c r="B7" i="33" s="1"/>
  <c r="B6" i="33"/>
  <c r="P190" i="24"/>
  <c r="P128" i="24"/>
  <c r="P115" i="24" s="1"/>
  <c r="P114" i="24"/>
  <c r="P91" i="24"/>
  <c r="P75" i="24"/>
  <c r="P74" i="24"/>
  <c r="P94" i="24" s="1"/>
  <c r="P71" i="24"/>
  <c r="P70" i="24"/>
  <c r="P69" i="24"/>
  <c r="P55" i="24"/>
  <c r="P54" i="24"/>
  <c r="P93" i="24" s="1"/>
  <c r="P202" i="24" s="1"/>
  <c r="P41" i="24"/>
  <c r="P30" i="24"/>
  <c r="P43" i="24" s="1"/>
  <c r="P29" i="24"/>
  <c r="P42" i="24" s="1"/>
  <c r="P28" i="24"/>
  <c r="P27" i="24"/>
  <c r="P40" i="24" s="1"/>
  <c r="P22" i="24"/>
  <c r="P35" i="24" s="1"/>
  <c r="N71" i="24"/>
  <c r="L71" i="24"/>
  <c r="C8" i="33" l="1"/>
  <c r="B8" i="33" s="1"/>
  <c r="C8" i="32"/>
  <c r="AD181" i="24"/>
  <c r="AC180" i="24"/>
  <c r="P207" i="24"/>
  <c r="P132" i="24"/>
  <c r="P133" i="24" s="1"/>
  <c r="P117" i="24"/>
  <c r="P92" i="24"/>
  <c r="P95" i="24"/>
  <c r="C9" i="33" l="1"/>
  <c r="B9" i="33" s="1"/>
  <c r="C9" i="32"/>
  <c r="AD182" i="24"/>
  <c r="P23" i="24"/>
  <c r="P21" i="24" s="1"/>
  <c r="P61" i="24"/>
  <c r="P120" i="24" s="1"/>
  <c r="P130" i="24"/>
  <c r="P197" i="24"/>
  <c r="P116" i="24"/>
  <c r="P118" i="24" s="1"/>
  <c r="P119" i="24" s="1"/>
  <c r="P97" i="24"/>
  <c r="C10" i="33" l="1"/>
  <c r="B10" i="33" s="1"/>
  <c r="C10" i="32"/>
  <c r="AD183" i="24"/>
  <c r="AC182" i="24"/>
  <c r="P24" i="24"/>
  <c r="P208" i="24"/>
  <c r="P137" i="24"/>
  <c r="P138" i="24" s="1"/>
  <c r="P36" i="24" s="1"/>
  <c r="P34" i="24" s="1"/>
  <c r="P122" i="24"/>
  <c r="P129" i="24"/>
  <c r="P131" i="24" s="1"/>
  <c r="P25" i="24"/>
  <c r="P98" i="24"/>
  <c r="P100" i="24"/>
  <c r="P101" i="24"/>
  <c r="P56" i="24"/>
  <c r="P99" i="24" s="1"/>
  <c r="P203" i="24" s="1"/>
  <c r="C11" i="33" l="1"/>
  <c r="B11" i="33" s="1"/>
  <c r="C11" i="32"/>
  <c r="AD184" i="24"/>
  <c r="AC183" i="24"/>
  <c r="P198" i="24"/>
  <c r="P135" i="24"/>
  <c r="P121" i="24"/>
  <c r="P123" i="24" s="1"/>
  <c r="P134" i="24" s="1"/>
  <c r="P136" i="24" s="1"/>
  <c r="P103" i="24"/>
  <c r="C12" i="33" l="1"/>
  <c r="B12" i="33" s="1"/>
  <c r="C12" i="32"/>
  <c r="AD185" i="24"/>
  <c r="AC184" i="24"/>
  <c r="P124" i="24"/>
  <c r="P37" i="24" s="1"/>
  <c r="P104" i="24"/>
  <c r="P105" i="24"/>
  <c r="P204" i="24" s="1"/>
  <c r="P38" i="24"/>
  <c r="P106" i="24"/>
  <c r="C13" i="33" l="1"/>
  <c r="B13" i="33" s="1"/>
  <c r="C13" i="32"/>
  <c r="AD186" i="24"/>
  <c r="AC185" i="24"/>
  <c r="P199" i="24"/>
  <c r="P109" i="24"/>
  <c r="P107" i="24"/>
  <c r="P108" i="24" s="1"/>
  <c r="P110" i="24" s="1"/>
  <c r="C14" i="33" l="1"/>
  <c r="B14" i="33" s="1"/>
  <c r="C14" i="32"/>
  <c r="AD187" i="24"/>
  <c r="AC186" i="24"/>
  <c r="R55" i="24"/>
  <c r="R54" i="24"/>
  <c r="O55" i="24"/>
  <c r="O54" i="24"/>
  <c r="Q55" i="24"/>
  <c r="Q54" i="24"/>
  <c r="C15" i="33" l="1"/>
  <c r="B15" i="33" s="1"/>
  <c r="C15" i="32"/>
  <c r="AD188" i="24"/>
  <c r="AC187" i="24"/>
  <c r="M69" i="24"/>
  <c r="C16" i="33" l="1"/>
  <c r="B16" i="33" s="1"/>
  <c r="C16" i="32"/>
  <c r="AD189" i="24"/>
  <c r="AC188" i="24"/>
  <c r="K69" i="24"/>
  <c r="M55" i="24"/>
  <c r="M54" i="24"/>
  <c r="C17" i="33" l="1"/>
  <c r="B17" i="33" s="1"/>
  <c r="C17" i="32"/>
  <c r="AD190" i="24"/>
  <c r="AC189" i="24"/>
  <c r="R71" i="24"/>
  <c r="Q71" i="24"/>
  <c r="O71" i="24"/>
  <c r="M71" i="24"/>
  <c r="K71" i="24"/>
  <c r="J71" i="24"/>
  <c r="I71" i="24"/>
  <c r="H71" i="24"/>
  <c r="G71" i="24"/>
  <c r="F71" i="24"/>
  <c r="E71" i="24"/>
  <c r="D71" i="24"/>
  <c r="C71" i="24"/>
  <c r="L55" i="24"/>
  <c r="L54" i="24"/>
  <c r="N55" i="24"/>
  <c r="N54" i="24"/>
  <c r="C18" i="33" l="1"/>
  <c r="B18" i="33" s="1"/>
  <c r="C18" i="32"/>
  <c r="AD191" i="24"/>
  <c r="K55" i="24"/>
  <c r="K54" i="24"/>
  <c r="C19" i="33" l="1"/>
  <c r="B19" i="33" s="1"/>
  <c r="C19" i="32"/>
  <c r="AD192" i="24"/>
  <c r="AC191" i="24"/>
  <c r="J55" i="24"/>
  <c r="J54" i="24"/>
  <c r="C20" i="33" l="1"/>
  <c r="B20" i="33" s="1"/>
  <c r="C20" i="32"/>
  <c r="AD193" i="24"/>
  <c r="AC192" i="24"/>
  <c r="I55" i="24"/>
  <c r="I54" i="24"/>
  <c r="I48" i="24"/>
  <c r="H55" i="24"/>
  <c r="H54" i="24"/>
  <c r="G55" i="24"/>
  <c r="G54" i="24"/>
  <c r="F119" i="24"/>
  <c r="F124" i="24"/>
  <c r="F138" i="24"/>
  <c r="F133" i="24"/>
  <c r="C21" i="33" l="1"/>
  <c r="B21" i="33" s="1"/>
  <c r="C21" i="32"/>
  <c r="AD194" i="24"/>
  <c r="AC193" i="24"/>
  <c r="P41" i="12"/>
  <c r="O41" i="12"/>
  <c r="J41" i="12"/>
  <c r="P39" i="12"/>
  <c r="O39" i="12"/>
  <c r="P24" i="12"/>
  <c r="O24" i="12"/>
  <c r="J24" i="12"/>
  <c r="P22" i="12"/>
  <c r="O22" i="12"/>
  <c r="P7" i="12"/>
  <c r="O7" i="12"/>
  <c r="J7" i="12"/>
  <c r="P5" i="12"/>
  <c r="O5" i="12"/>
  <c r="H265" i="2"/>
  <c r="H264" i="2"/>
  <c r="H263" i="2"/>
  <c r="H262" i="2"/>
  <c r="P258" i="2"/>
  <c r="I152" i="2"/>
  <c r="I151" i="2"/>
  <c r="I150" i="2"/>
  <c r="O148" i="2"/>
  <c r="M148" i="2"/>
  <c r="H73" i="2"/>
  <c r="H72" i="2"/>
  <c r="H71" i="2"/>
  <c r="Q65" i="2"/>
  <c r="O65" i="2"/>
  <c r="L49" i="2"/>
  <c r="G49" i="2"/>
  <c r="I48" i="2"/>
  <c r="H48" i="2"/>
  <c r="E48" i="2"/>
  <c r="I47" i="2"/>
  <c r="H47" i="2"/>
  <c r="G47" i="2"/>
  <c r="F47" i="2"/>
  <c r="E47" i="2"/>
  <c r="D47" i="2"/>
  <c r="I46" i="2"/>
  <c r="H46" i="2"/>
  <c r="G46" i="2"/>
  <c r="F46" i="2"/>
  <c r="E46" i="2"/>
  <c r="D46" i="2"/>
  <c r="I45" i="2"/>
  <c r="H45" i="2"/>
  <c r="F45" i="2"/>
  <c r="E45" i="2"/>
  <c r="D45" i="2"/>
  <c r="K35" i="2"/>
  <c r="K34" i="2"/>
  <c r="K33" i="2"/>
  <c r="K32" i="2"/>
  <c r="C23" i="2"/>
  <c r="C21" i="2"/>
  <c r="N19" i="2"/>
  <c r="M19" i="2"/>
  <c r="L19" i="2"/>
  <c r="D8" i="2"/>
  <c r="D7" i="2"/>
  <c r="D6" i="2"/>
  <c r="F155" i="22"/>
  <c r="F146" i="22"/>
  <c r="E146" i="22"/>
  <c r="F145" i="22"/>
  <c r="E145" i="22"/>
  <c r="T136" i="22"/>
  <c r="M136" i="22"/>
  <c r="F136" i="22"/>
  <c r="T135" i="22"/>
  <c r="M135" i="22"/>
  <c r="F135" i="22"/>
  <c r="F130" i="22"/>
  <c r="P85" i="22"/>
  <c r="H85" i="22"/>
  <c r="E85" i="22"/>
  <c r="P84" i="22"/>
  <c r="H84" i="22"/>
  <c r="P83" i="22"/>
  <c r="H83" i="22"/>
  <c r="H76" i="22"/>
  <c r="H75" i="22"/>
  <c r="E71" i="22"/>
  <c r="L53" i="22"/>
  <c r="E53" i="22"/>
  <c r="S47" i="22"/>
  <c r="L47" i="22"/>
  <c r="E47" i="22"/>
  <c r="L46" i="22"/>
  <c r="E46" i="22"/>
  <c r="S40" i="22"/>
  <c r="S30" i="22"/>
  <c r="S35" i="22" s="1"/>
  <c r="O81" i="22" s="1"/>
  <c r="P81" i="22" s="1"/>
  <c r="C3" i="22"/>
  <c r="P79" i="1"/>
  <c r="H79" i="1"/>
  <c r="P78" i="1"/>
  <c r="H78" i="1"/>
  <c r="P77" i="1"/>
  <c r="H77" i="1"/>
  <c r="P74" i="1"/>
  <c r="H74" i="1"/>
  <c r="H71" i="1"/>
  <c r="H70" i="1"/>
  <c r="C2" i="1"/>
  <c r="AI33" i="25"/>
  <c r="AH33" i="25"/>
  <c r="AG33" i="25"/>
  <c r="AF33" i="25"/>
  <c r="AE33" i="25"/>
  <c r="AD33" i="25"/>
  <c r="AC33" i="25"/>
  <c r="AB33" i="25"/>
  <c r="AA33" i="25"/>
  <c r="S33" i="25"/>
  <c r="AI31" i="25"/>
  <c r="AH31" i="25"/>
  <c r="AG31" i="25"/>
  <c r="AF31" i="25"/>
  <c r="AE31" i="25"/>
  <c r="AD31" i="25"/>
  <c r="AC31" i="25"/>
  <c r="AB31" i="25"/>
  <c r="AA31" i="25"/>
  <c r="S31" i="25"/>
  <c r="AH18" i="25"/>
  <c r="AH17" i="25"/>
  <c r="AH16" i="25"/>
  <c r="V11" i="25"/>
  <c r="C2" i="25"/>
  <c r="B2" i="25" s="1"/>
  <c r="B84" i="23" s="1"/>
  <c r="F208" i="24"/>
  <c r="E208" i="24"/>
  <c r="D208" i="24"/>
  <c r="C208" i="24"/>
  <c r="O207" i="24"/>
  <c r="J207" i="24"/>
  <c r="F207" i="24"/>
  <c r="E207" i="24"/>
  <c r="D207" i="24"/>
  <c r="C207" i="24"/>
  <c r="F204" i="24"/>
  <c r="D204" i="24"/>
  <c r="C204" i="24"/>
  <c r="F203" i="24"/>
  <c r="D203" i="24"/>
  <c r="C203" i="24"/>
  <c r="M202" i="24"/>
  <c r="I202" i="24"/>
  <c r="F202" i="24"/>
  <c r="E202" i="24"/>
  <c r="D202" i="24"/>
  <c r="C202" i="24"/>
  <c r="F199" i="24"/>
  <c r="D199" i="24"/>
  <c r="C199" i="24"/>
  <c r="F198" i="24"/>
  <c r="D198" i="24"/>
  <c r="C198" i="24"/>
  <c r="J197" i="24"/>
  <c r="I197" i="24"/>
  <c r="G197" i="24"/>
  <c r="F197" i="24"/>
  <c r="E197" i="24"/>
  <c r="D197" i="24"/>
  <c r="C197" i="24"/>
  <c r="R194" i="24"/>
  <c r="Q194" i="24"/>
  <c r="Q190" i="24"/>
  <c r="O190" i="24"/>
  <c r="K190" i="24"/>
  <c r="J190" i="24"/>
  <c r="I190" i="24"/>
  <c r="H190" i="24"/>
  <c r="G190" i="24"/>
  <c r="D190" i="24"/>
  <c r="R182" i="24"/>
  <c r="R181" i="24"/>
  <c r="E181" i="24"/>
  <c r="F181" i="24" s="1"/>
  <c r="C181" i="24"/>
  <c r="AC181" i="24" s="1"/>
  <c r="R180" i="24"/>
  <c r="E179" i="24"/>
  <c r="F179" i="24" s="1"/>
  <c r="C179" i="24"/>
  <c r="AC179" i="24" s="1"/>
  <c r="R178" i="24"/>
  <c r="Q176" i="24"/>
  <c r="D176" i="24"/>
  <c r="C176" i="24" s="1"/>
  <c r="AC176" i="24" s="1"/>
  <c r="R175" i="24"/>
  <c r="Q175" i="24"/>
  <c r="E175" i="24"/>
  <c r="F175" i="24" s="1"/>
  <c r="D175" i="24"/>
  <c r="C175" i="24"/>
  <c r="AC175" i="24" s="1"/>
  <c r="R174" i="24"/>
  <c r="E174" i="24"/>
  <c r="F174" i="24" s="1"/>
  <c r="C174" i="24"/>
  <c r="AC174" i="24" s="1"/>
  <c r="R168" i="24"/>
  <c r="O168" i="24"/>
  <c r="N168" i="24"/>
  <c r="M168" i="24"/>
  <c r="L168" i="24"/>
  <c r="K168" i="24"/>
  <c r="J168" i="24"/>
  <c r="I168" i="24"/>
  <c r="H168" i="24"/>
  <c r="G168" i="24"/>
  <c r="F168" i="24"/>
  <c r="E168" i="24"/>
  <c r="F166" i="24"/>
  <c r="E166" i="24"/>
  <c r="C166" i="24"/>
  <c r="G164" i="24"/>
  <c r="F164" i="24" s="1"/>
  <c r="D164" i="24"/>
  <c r="C164" i="24" s="1"/>
  <c r="Q163" i="24"/>
  <c r="R163" i="24" s="1"/>
  <c r="R162" i="24"/>
  <c r="E162" i="24"/>
  <c r="C162" i="24"/>
  <c r="H144" i="24"/>
  <c r="E138" i="24"/>
  <c r="D138" i="24"/>
  <c r="C138" i="24"/>
  <c r="F137" i="24"/>
  <c r="E137" i="24"/>
  <c r="D137" i="24"/>
  <c r="C137" i="24"/>
  <c r="F136" i="24"/>
  <c r="D136" i="24"/>
  <c r="C136" i="24"/>
  <c r="F135" i="24"/>
  <c r="D135" i="24"/>
  <c r="C135" i="24"/>
  <c r="F134" i="24"/>
  <c r="D134" i="24"/>
  <c r="C134" i="24"/>
  <c r="E133" i="24"/>
  <c r="D133" i="24"/>
  <c r="C133" i="24"/>
  <c r="O132" i="24"/>
  <c r="O133" i="24" s="1"/>
  <c r="J132" i="24"/>
  <c r="J133" i="24" s="1"/>
  <c r="F132" i="24"/>
  <c r="E132" i="24"/>
  <c r="D132" i="24"/>
  <c r="C132" i="24"/>
  <c r="F131" i="24"/>
  <c r="D131" i="24"/>
  <c r="C131" i="24"/>
  <c r="F130" i="24"/>
  <c r="D130" i="24"/>
  <c r="C130" i="24"/>
  <c r="F129" i="24"/>
  <c r="D129" i="24"/>
  <c r="C129" i="24"/>
  <c r="R128" i="24"/>
  <c r="Q128" i="24"/>
  <c r="O128" i="24"/>
  <c r="N128" i="24"/>
  <c r="M128" i="24"/>
  <c r="L128" i="24"/>
  <c r="L115" i="24" s="1"/>
  <c r="K128" i="24"/>
  <c r="J128" i="24"/>
  <c r="I128" i="24"/>
  <c r="H128" i="24"/>
  <c r="G128" i="24"/>
  <c r="F128" i="24"/>
  <c r="E128" i="24"/>
  <c r="D128" i="24"/>
  <c r="C128" i="24"/>
  <c r="D124" i="24"/>
  <c r="C124" i="24"/>
  <c r="F123" i="24"/>
  <c r="D123" i="24"/>
  <c r="C123" i="24"/>
  <c r="F122" i="24"/>
  <c r="E122" i="24"/>
  <c r="D122" i="24"/>
  <c r="C122" i="24"/>
  <c r="F121" i="24"/>
  <c r="D121" i="24"/>
  <c r="C121" i="24"/>
  <c r="F120" i="24"/>
  <c r="E120" i="24"/>
  <c r="D120" i="24"/>
  <c r="C120" i="24"/>
  <c r="D119" i="24"/>
  <c r="C119" i="24"/>
  <c r="G118" i="24"/>
  <c r="G129" i="24" s="1"/>
  <c r="F118" i="24"/>
  <c r="D118" i="24"/>
  <c r="C118" i="24"/>
  <c r="R117" i="24"/>
  <c r="J117" i="24"/>
  <c r="G117" i="24"/>
  <c r="F117" i="24"/>
  <c r="E117" i="24"/>
  <c r="D117" i="24"/>
  <c r="C117" i="24"/>
  <c r="G116" i="24"/>
  <c r="F116" i="24"/>
  <c r="D116" i="24"/>
  <c r="C116" i="24"/>
  <c r="R115" i="24"/>
  <c r="R207" i="24" s="1"/>
  <c r="Q115" i="24"/>
  <c r="Q132" i="24" s="1"/>
  <c r="Q133" i="24" s="1"/>
  <c r="O115" i="24"/>
  <c r="O117" i="24" s="1"/>
  <c r="N115" i="24"/>
  <c r="N117" i="24" s="1"/>
  <c r="M115" i="24"/>
  <c r="M117" i="24" s="1"/>
  <c r="K115" i="24"/>
  <c r="K117" i="24" s="1"/>
  <c r="J115" i="24"/>
  <c r="I115" i="24"/>
  <c r="I117" i="24" s="1"/>
  <c r="H115" i="24"/>
  <c r="H207" i="24" s="1"/>
  <c r="G115" i="24"/>
  <c r="G207" i="24" s="1"/>
  <c r="F115" i="24"/>
  <c r="E115" i="24"/>
  <c r="D115" i="24"/>
  <c r="C115" i="24"/>
  <c r="R114" i="24"/>
  <c r="Q114" i="24"/>
  <c r="O114" i="24"/>
  <c r="N114" i="24"/>
  <c r="M114" i="24"/>
  <c r="L114" i="24"/>
  <c r="K114" i="24"/>
  <c r="J114" i="24"/>
  <c r="I114" i="24"/>
  <c r="H114" i="24"/>
  <c r="G114" i="24"/>
  <c r="G119" i="24" s="1"/>
  <c r="F114" i="24"/>
  <c r="E114" i="24"/>
  <c r="D114" i="24"/>
  <c r="C114" i="24"/>
  <c r="C110" i="24"/>
  <c r="C108" i="24"/>
  <c r="F106" i="24"/>
  <c r="F109" i="24" s="1"/>
  <c r="D106" i="24"/>
  <c r="D107" i="24" s="1"/>
  <c r="D108" i="24" s="1"/>
  <c r="D110" i="24" s="1"/>
  <c r="C106" i="24"/>
  <c r="C109" i="24" s="1"/>
  <c r="F105" i="24"/>
  <c r="D105" i="24"/>
  <c r="C105" i="24"/>
  <c r="F104" i="24"/>
  <c r="D104" i="24"/>
  <c r="C104" i="24"/>
  <c r="F103" i="24"/>
  <c r="D103" i="24"/>
  <c r="C103" i="24"/>
  <c r="F101" i="24"/>
  <c r="D101" i="24"/>
  <c r="C101" i="24"/>
  <c r="F100" i="24"/>
  <c r="D100" i="24"/>
  <c r="C100" i="24"/>
  <c r="F99" i="24"/>
  <c r="D99" i="24"/>
  <c r="C99" i="24"/>
  <c r="F98" i="24"/>
  <c r="D98" i="24"/>
  <c r="C98" i="24"/>
  <c r="F97" i="24"/>
  <c r="E97" i="24"/>
  <c r="E25" i="24" s="1"/>
  <c r="D97" i="24"/>
  <c r="C97" i="24"/>
  <c r="O95" i="24"/>
  <c r="M95" i="24"/>
  <c r="M97" i="24" s="1"/>
  <c r="M25" i="24" s="1"/>
  <c r="J95" i="24"/>
  <c r="H95" i="24"/>
  <c r="F95" i="24"/>
  <c r="E95" i="24"/>
  <c r="D95" i="24"/>
  <c r="C95" i="24"/>
  <c r="O94" i="24"/>
  <c r="N94" i="24"/>
  <c r="M94" i="24"/>
  <c r="J94" i="24"/>
  <c r="I94" i="24"/>
  <c r="H94" i="24"/>
  <c r="G94" i="24"/>
  <c r="F94" i="24"/>
  <c r="E94" i="24"/>
  <c r="D94" i="24"/>
  <c r="C94" i="24"/>
  <c r="R93" i="24"/>
  <c r="R202" i="24" s="1"/>
  <c r="Q93" i="24"/>
  <c r="Q202" i="24" s="1"/>
  <c r="O93" i="24"/>
  <c r="O202" i="24" s="1"/>
  <c r="M93" i="24"/>
  <c r="K93" i="24"/>
  <c r="K202" i="24" s="1"/>
  <c r="J93" i="24"/>
  <c r="J202" i="24" s="1"/>
  <c r="I93" i="24"/>
  <c r="H93" i="24"/>
  <c r="H202" i="24" s="1"/>
  <c r="G93" i="24"/>
  <c r="F93" i="24"/>
  <c r="E93" i="24"/>
  <c r="D93" i="24"/>
  <c r="C93" i="24"/>
  <c r="R92" i="24"/>
  <c r="R116" i="24" s="1"/>
  <c r="R118" i="24" s="1"/>
  <c r="Q92" i="24"/>
  <c r="O92" i="24"/>
  <c r="O197" i="24" s="1"/>
  <c r="M92" i="24"/>
  <c r="K92" i="24"/>
  <c r="K197" i="24" s="1"/>
  <c r="J92" i="24"/>
  <c r="J130" i="24" s="1"/>
  <c r="I92" i="24"/>
  <c r="H92" i="24"/>
  <c r="H197" i="24" s="1"/>
  <c r="G92" i="24"/>
  <c r="F92" i="24"/>
  <c r="E92" i="24"/>
  <c r="E130" i="24" s="1"/>
  <c r="D92" i="24"/>
  <c r="C92" i="24"/>
  <c r="R91" i="24"/>
  <c r="Q91" i="24"/>
  <c r="O91" i="24"/>
  <c r="N91" i="24"/>
  <c r="M91" i="24"/>
  <c r="L91" i="24"/>
  <c r="K91" i="24"/>
  <c r="J91" i="24"/>
  <c r="I91" i="24"/>
  <c r="H91" i="24"/>
  <c r="G91" i="24"/>
  <c r="F91" i="24"/>
  <c r="E91" i="24"/>
  <c r="D91" i="24"/>
  <c r="C91" i="24"/>
  <c r="R75" i="24"/>
  <c r="Q75" i="24"/>
  <c r="O75" i="24"/>
  <c r="N75" i="24"/>
  <c r="M75" i="24"/>
  <c r="L75" i="24"/>
  <c r="K75" i="24"/>
  <c r="J75" i="24"/>
  <c r="I75" i="24"/>
  <c r="H75" i="24"/>
  <c r="G75" i="24"/>
  <c r="F75" i="24"/>
  <c r="E75" i="24"/>
  <c r="D75" i="24"/>
  <c r="C75" i="24"/>
  <c r="R74" i="24"/>
  <c r="R94" i="24" s="1"/>
  <c r="Q74" i="24"/>
  <c r="Q94" i="24" s="1"/>
  <c r="O74" i="24"/>
  <c r="N74" i="24"/>
  <c r="M74" i="24"/>
  <c r="L74" i="24"/>
  <c r="K74" i="24"/>
  <c r="K94" i="24" s="1"/>
  <c r="J74" i="24"/>
  <c r="I74" i="24"/>
  <c r="H74" i="24"/>
  <c r="G74" i="24"/>
  <c r="F74" i="24"/>
  <c r="E74" i="24"/>
  <c r="D74" i="24"/>
  <c r="C74" i="24"/>
  <c r="R70" i="24"/>
  <c r="Q70" i="24"/>
  <c r="O70" i="24"/>
  <c r="N70" i="24"/>
  <c r="M70" i="24"/>
  <c r="L70" i="24"/>
  <c r="K70" i="24"/>
  <c r="J70" i="24"/>
  <c r="I70" i="24"/>
  <c r="H70" i="24"/>
  <c r="G70" i="24"/>
  <c r="F70" i="24"/>
  <c r="E70" i="24"/>
  <c r="D70" i="24"/>
  <c r="C70" i="24"/>
  <c r="R69" i="24"/>
  <c r="R95" i="24" s="1"/>
  <c r="Q69" i="24"/>
  <c r="Q95" i="24" s="1"/>
  <c r="O69" i="24"/>
  <c r="N69" i="24"/>
  <c r="L69" i="24"/>
  <c r="K95" i="24"/>
  <c r="J69" i="24"/>
  <c r="I69" i="24"/>
  <c r="I95" i="24" s="1"/>
  <c r="I97" i="24" s="1"/>
  <c r="I98" i="24" s="1"/>
  <c r="H69" i="24"/>
  <c r="G69" i="24"/>
  <c r="G95" i="24" s="1"/>
  <c r="F69" i="24"/>
  <c r="E69" i="24"/>
  <c r="D69" i="24"/>
  <c r="C69" i="24"/>
  <c r="D66" i="24"/>
  <c r="C66" i="24"/>
  <c r="C61" i="24"/>
  <c r="C60" i="24"/>
  <c r="C59" i="24"/>
  <c r="F56" i="24"/>
  <c r="E56" i="24"/>
  <c r="E99" i="24" s="1"/>
  <c r="E203" i="24" s="1"/>
  <c r="D56" i="24"/>
  <c r="C56" i="24"/>
  <c r="F55" i="24"/>
  <c r="E55" i="24"/>
  <c r="D55" i="24"/>
  <c r="C55" i="24"/>
  <c r="F54" i="24"/>
  <c r="E54" i="24"/>
  <c r="D54" i="24"/>
  <c r="C54" i="24"/>
  <c r="D51" i="24"/>
  <c r="C51" i="24"/>
  <c r="D50" i="24"/>
  <c r="C50" i="24"/>
  <c r="D48" i="24"/>
  <c r="C48" i="24"/>
  <c r="R43" i="24"/>
  <c r="Q43" i="24"/>
  <c r="O43" i="24"/>
  <c r="M43" i="24"/>
  <c r="K43" i="24"/>
  <c r="J43" i="24"/>
  <c r="I43" i="24"/>
  <c r="H43" i="24"/>
  <c r="G43" i="24"/>
  <c r="F43" i="24"/>
  <c r="E43" i="24"/>
  <c r="D43" i="24"/>
  <c r="C43" i="24"/>
  <c r="R42" i="24"/>
  <c r="Q42" i="24"/>
  <c r="O42" i="24"/>
  <c r="M42" i="24"/>
  <c r="K42" i="24"/>
  <c r="J42" i="24"/>
  <c r="I42" i="24"/>
  <c r="H42" i="24"/>
  <c r="G42" i="24"/>
  <c r="F42" i="24"/>
  <c r="E42" i="24"/>
  <c r="D42" i="24"/>
  <c r="C42" i="24"/>
  <c r="R41" i="24"/>
  <c r="Q41" i="24"/>
  <c r="O41" i="24"/>
  <c r="M41" i="24"/>
  <c r="K41" i="24"/>
  <c r="J41" i="24"/>
  <c r="I41" i="24"/>
  <c r="H41" i="24"/>
  <c r="G41" i="24"/>
  <c r="F41" i="24"/>
  <c r="E41" i="24"/>
  <c r="D41" i="24"/>
  <c r="C41" i="24"/>
  <c r="R40" i="24"/>
  <c r="Q40" i="24"/>
  <c r="O40" i="24"/>
  <c r="M40" i="24"/>
  <c r="K40" i="24"/>
  <c r="J40" i="24"/>
  <c r="I40" i="24"/>
  <c r="H40" i="24"/>
  <c r="G40" i="24"/>
  <c r="F40" i="24"/>
  <c r="E40" i="24"/>
  <c r="D40" i="24"/>
  <c r="C40" i="24"/>
  <c r="F38" i="24"/>
  <c r="D38" i="24"/>
  <c r="C38" i="24"/>
  <c r="F37" i="24"/>
  <c r="D37" i="24"/>
  <c r="C37" i="24"/>
  <c r="F36" i="24"/>
  <c r="F34" i="24" s="1"/>
  <c r="E36" i="24"/>
  <c r="E34" i="24" s="1"/>
  <c r="D36" i="24"/>
  <c r="C36" i="24"/>
  <c r="R35" i="24"/>
  <c r="Q35" i="24"/>
  <c r="O35" i="24"/>
  <c r="M35" i="24"/>
  <c r="L35" i="24"/>
  <c r="K35" i="24"/>
  <c r="J35" i="24"/>
  <c r="I35" i="24"/>
  <c r="H35" i="24"/>
  <c r="G35" i="24"/>
  <c r="F35" i="24"/>
  <c r="E35" i="24"/>
  <c r="D35" i="24"/>
  <c r="C35" i="24"/>
  <c r="D34" i="24"/>
  <c r="R30" i="24"/>
  <c r="Q30" i="24"/>
  <c r="O30" i="24"/>
  <c r="N30" i="24"/>
  <c r="N43" i="24" s="1"/>
  <c r="M30" i="24"/>
  <c r="L30" i="24"/>
  <c r="L43" i="24" s="1"/>
  <c r="K30" i="24"/>
  <c r="J30" i="24"/>
  <c r="I30" i="24"/>
  <c r="H30" i="24"/>
  <c r="G30" i="24"/>
  <c r="F30" i="24"/>
  <c r="E30" i="24"/>
  <c r="D30" i="24"/>
  <c r="C30" i="24"/>
  <c r="R29" i="24"/>
  <c r="Q29" i="24"/>
  <c r="O29" i="24"/>
  <c r="N29" i="24"/>
  <c r="N42" i="24" s="1"/>
  <c r="M29" i="24"/>
  <c r="L29" i="24"/>
  <c r="L42" i="24" s="1"/>
  <c r="K29" i="24"/>
  <c r="J29" i="24"/>
  <c r="I29" i="24"/>
  <c r="H29" i="24"/>
  <c r="G29" i="24"/>
  <c r="F29" i="24"/>
  <c r="E29" i="24"/>
  <c r="D29" i="24"/>
  <c r="C29" i="24"/>
  <c r="R28" i="24"/>
  <c r="Q28" i="24"/>
  <c r="O28" i="24"/>
  <c r="N28" i="24"/>
  <c r="N41" i="24" s="1"/>
  <c r="M28" i="24"/>
  <c r="L28" i="24"/>
  <c r="L41" i="24" s="1"/>
  <c r="K28" i="24"/>
  <c r="J28" i="24"/>
  <c r="I28" i="24"/>
  <c r="H28" i="24"/>
  <c r="G28" i="24"/>
  <c r="F28" i="24"/>
  <c r="E28" i="24"/>
  <c r="D28" i="24"/>
  <c r="C28" i="24"/>
  <c r="R27" i="24"/>
  <c r="Q27" i="24"/>
  <c r="O27" i="24"/>
  <c r="N27" i="24"/>
  <c r="N40" i="24" s="1"/>
  <c r="M27" i="24"/>
  <c r="L27" i="24"/>
  <c r="L40" i="24" s="1"/>
  <c r="K27" i="24"/>
  <c r="J27" i="24"/>
  <c r="I27" i="24"/>
  <c r="H27" i="24"/>
  <c r="G27" i="24"/>
  <c r="F27" i="24"/>
  <c r="E27" i="24"/>
  <c r="D27" i="24"/>
  <c r="C27" i="24"/>
  <c r="F25" i="24"/>
  <c r="D25" i="24"/>
  <c r="C25" i="24"/>
  <c r="G24" i="24"/>
  <c r="F24" i="24"/>
  <c r="D24" i="24"/>
  <c r="C24" i="24"/>
  <c r="F23" i="24"/>
  <c r="F21" i="24" s="1"/>
  <c r="E23" i="24"/>
  <c r="E21" i="24" s="1"/>
  <c r="D23" i="24"/>
  <c r="C23" i="24"/>
  <c r="R22" i="24"/>
  <c r="Q22" i="24"/>
  <c r="O22" i="24"/>
  <c r="N22" i="24"/>
  <c r="N35" i="24" s="1"/>
  <c r="M22" i="24"/>
  <c r="L22" i="24"/>
  <c r="K22" i="24"/>
  <c r="J22" i="24"/>
  <c r="I22" i="24"/>
  <c r="H22" i="24"/>
  <c r="G22" i="24"/>
  <c r="F22" i="24"/>
  <c r="E22" i="24"/>
  <c r="D22" i="24"/>
  <c r="C22" i="24"/>
  <c r="D21" i="24"/>
  <c r="C21" i="24"/>
  <c r="AD4" i="24"/>
  <c r="AC4" i="24"/>
  <c r="AD3" i="24"/>
  <c r="AC2" i="24"/>
  <c r="C3" i="23" s="1"/>
  <c r="F123" i="23"/>
  <c r="E123" i="23"/>
  <c r="F121" i="23"/>
  <c r="E121" i="23"/>
  <c r="F120" i="23"/>
  <c r="E120" i="23"/>
  <c r="H119" i="23"/>
  <c r="G119" i="23"/>
  <c r="F119" i="23"/>
  <c r="E119" i="23"/>
  <c r="F118" i="23"/>
  <c r="E118" i="23"/>
  <c r="F116" i="23"/>
  <c r="E116" i="23"/>
  <c r="F115" i="23"/>
  <c r="E115" i="23"/>
  <c r="H114" i="23"/>
  <c r="G114" i="23"/>
  <c r="F114" i="23"/>
  <c r="E114" i="23"/>
  <c r="F109" i="23"/>
  <c r="E109" i="23"/>
  <c r="F108" i="23"/>
  <c r="E108" i="23"/>
  <c r="F107" i="23"/>
  <c r="E107" i="23"/>
  <c r="H106" i="23"/>
  <c r="G106" i="23"/>
  <c r="F106" i="23"/>
  <c r="E106" i="23"/>
  <c r="H105" i="23"/>
  <c r="G105" i="23"/>
  <c r="F105" i="23"/>
  <c r="E105" i="23"/>
  <c r="F103" i="23"/>
  <c r="E103" i="23"/>
  <c r="F102" i="23"/>
  <c r="E102" i="23"/>
  <c r="G101" i="23"/>
  <c r="F101" i="23"/>
  <c r="G100" i="23"/>
  <c r="F100" i="23"/>
  <c r="G99" i="23"/>
  <c r="H98" i="23"/>
  <c r="G98" i="23"/>
  <c r="F98" i="23"/>
  <c r="E98" i="23"/>
  <c r="F93" i="23"/>
  <c r="E93" i="23"/>
  <c r="G91" i="23"/>
  <c r="G81" i="22" l="1"/>
  <c r="F190" i="24"/>
  <c r="R176" i="24"/>
  <c r="R190" i="24"/>
  <c r="C3" i="25"/>
  <c r="B3" i="25" s="1"/>
  <c r="C22" i="33"/>
  <c r="B22" i="33" s="1"/>
  <c r="C22" i="32"/>
  <c r="E190" i="24"/>
  <c r="C190" i="24"/>
  <c r="AC190" i="24" s="1"/>
  <c r="E176" i="24"/>
  <c r="F176" i="24" s="1"/>
  <c r="AD195" i="24"/>
  <c r="AC194" i="24"/>
  <c r="E98" i="24"/>
  <c r="E103" i="24" s="1"/>
  <c r="E100" i="24"/>
  <c r="E101" i="24"/>
  <c r="E116" i="24"/>
  <c r="E118" i="24" s="1"/>
  <c r="E117" i="23"/>
  <c r="F117" i="23"/>
  <c r="F122" i="23"/>
  <c r="E122" i="23"/>
  <c r="AC6" i="24"/>
  <c r="AC5" i="24"/>
  <c r="O23" i="24"/>
  <c r="O21" i="24" s="1"/>
  <c r="O61" i="24"/>
  <c r="O120" i="24" s="1"/>
  <c r="O116" i="24"/>
  <c r="O118" i="24" s="1"/>
  <c r="C5" i="23"/>
  <c r="O208" i="24"/>
  <c r="O137" i="24"/>
  <c r="O138" i="24" s="1"/>
  <c r="O36" i="24" s="1"/>
  <c r="O34" i="24" s="1"/>
  <c r="O122" i="24"/>
  <c r="C34" i="24"/>
  <c r="R132" i="24"/>
  <c r="R133" i="24" s="1"/>
  <c r="R129" i="24"/>
  <c r="R119" i="24"/>
  <c r="R24" i="24" s="1"/>
  <c r="R197" i="24"/>
  <c r="Q120" i="24"/>
  <c r="Q23" i="24"/>
  <c r="Q21" i="24" s="1"/>
  <c r="Q207" i="24"/>
  <c r="Q116" i="24"/>
  <c r="Q118" i="24" s="1"/>
  <c r="Q129" i="24" s="1"/>
  <c r="Q117" i="24"/>
  <c r="R97" i="24"/>
  <c r="R130" i="24"/>
  <c r="O97" i="24"/>
  <c r="O99" i="24" s="1"/>
  <c r="O203" i="24" s="1"/>
  <c r="O130" i="24"/>
  <c r="O100" i="24"/>
  <c r="Q97" i="24"/>
  <c r="Q130" i="24"/>
  <c r="Q197" i="24"/>
  <c r="N95" i="24"/>
  <c r="M130" i="24"/>
  <c r="M100" i="24"/>
  <c r="M132" i="24"/>
  <c r="M133" i="24" s="1"/>
  <c r="M207" i="24"/>
  <c r="M56" i="24"/>
  <c r="M99" i="24" s="1"/>
  <c r="M203" i="24" s="1"/>
  <c r="M197" i="24"/>
  <c r="M101" i="24"/>
  <c r="M119" i="24"/>
  <c r="M24" i="24" s="1"/>
  <c r="M116" i="24"/>
  <c r="M118" i="24" s="1"/>
  <c r="M129" i="24" s="1"/>
  <c r="M131" i="24" s="1"/>
  <c r="M98" i="24"/>
  <c r="F107" i="24"/>
  <c r="F108" i="24" s="1"/>
  <c r="F110" i="24" s="1"/>
  <c r="D109" i="24"/>
  <c r="C107" i="24"/>
  <c r="N207" i="24"/>
  <c r="N132" i="24"/>
  <c r="N133" i="24" s="1"/>
  <c r="N92" i="24"/>
  <c r="N93" i="24"/>
  <c r="N202" i="24" s="1"/>
  <c r="L95" i="24"/>
  <c r="L92" i="24"/>
  <c r="L93" i="24"/>
  <c r="L202" i="24" s="1"/>
  <c r="L94" i="24"/>
  <c r="L207" i="24"/>
  <c r="L117" i="24"/>
  <c r="L132" i="24"/>
  <c r="L133" i="24" s="1"/>
  <c r="K207" i="24"/>
  <c r="K132" i="24"/>
  <c r="K133" i="24" s="1"/>
  <c r="K120" i="24" s="1"/>
  <c r="K23" i="24"/>
  <c r="K21" i="24" s="1"/>
  <c r="K97" i="24"/>
  <c r="K116" i="24"/>
  <c r="K118" i="24" s="1"/>
  <c r="K129" i="24" s="1"/>
  <c r="K130" i="24"/>
  <c r="J23" i="24"/>
  <c r="J21" i="24" s="1"/>
  <c r="J120" i="24"/>
  <c r="J97" i="24"/>
  <c r="J56" i="24" s="1"/>
  <c r="J99" i="24" s="1"/>
  <c r="J203" i="24" s="1"/>
  <c r="J101" i="24"/>
  <c r="J116" i="24"/>
  <c r="J118" i="24" s="1"/>
  <c r="J98" i="24"/>
  <c r="I132" i="24"/>
  <c r="I133" i="24" s="1"/>
  <c r="I207" i="24"/>
  <c r="I116" i="24"/>
  <c r="I118" i="24" s="1"/>
  <c r="I129" i="24" s="1"/>
  <c r="I130" i="24"/>
  <c r="I101" i="24"/>
  <c r="I25" i="24"/>
  <c r="I56" i="24"/>
  <c r="I99" i="24" s="1"/>
  <c r="I203" i="24" s="1"/>
  <c r="I198" i="24"/>
  <c r="I100" i="24"/>
  <c r="H132" i="24"/>
  <c r="H133" i="24" s="1"/>
  <c r="H116" i="24"/>
  <c r="H118" i="24" s="1"/>
  <c r="H119" i="24" s="1"/>
  <c r="H24" i="24" s="1"/>
  <c r="H117" i="24"/>
  <c r="H97" i="24"/>
  <c r="H130" i="24"/>
  <c r="G132" i="24"/>
  <c r="G133" i="24" s="1"/>
  <c r="G97" i="24"/>
  <c r="G56" i="24" s="1"/>
  <c r="G99" i="24" s="1"/>
  <c r="G203" i="24" s="1"/>
  <c r="G130" i="24"/>
  <c r="G131" i="24" s="1"/>
  <c r="G202" i="24"/>
  <c r="G101" i="24"/>
  <c r="G98" i="24"/>
  <c r="G25" i="24"/>
  <c r="G100" i="24"/>
  <c r="G198" i="24"/>
  <c r="J151" i="22" l="1"/>
  <c r="H81" i="22"/>
  <c r="H103" i="23" s="1"/>
  <c r="G103" i="23"/>
  <c r="C4" i="25"/>
  <c r="B4" i="25" s="1"/>
  <c r="B49" i="23" s="1"/>
  <c r="C23" i="33"/>
  <c r="B23" i="33" s="1"/>
  <c r="C23" i="32"/>
  <c r="AD196" i="24"/>
  <c r="AC195" i="24"/>
  <c r="E129" i="24"/>
  <c r="E131" i="24" s="1"/>
  <c r="E119" i="24"/>
  <c r="E198" i="24"/>
  <c r="E135" i="24"/>
  <c r="E121" i="24"/>
  <c r="E123" i="24" s="1"/>
  <c r="E134" i="24" s="1"/>
  <c r="E136" i="24" s="1"/>
  <c r="E38" i="24"/>
  <c r="E106" i="24"/>
  <c r="E105" i="24"/>
  <c r="E204" i="24" s="1"/>
  <c r="E104" i="24"/>
  <c r="C11" i="23"/>
  <c r="O101" i="24"/>
  <c r="O25" i="24"/>
  <c r="O129" i="24"/>
  <c r="O131" i="24" s="1"/>
  <c r="O119" i="24"/>
  <c r="O24" i="24" s="1"/>
  <c r="R120" i="24"/>
  <c r="R23" i="24"/>
  <c r="R21" i="24" s="1"/>
  <c r="R131" i="24"/>
  <c r="Q119" i="24"/>
  <c r="Q137" i="24"/>
  <c r="Q138" i="24" s="1"/>
  <c r="Q36" i="24" s="1"/>
  <c r="Q34" i="24" s="1"/>
  <c r="Q208" i="24"/>
  <c r="Q122" i="24"/>
  <c r="R98" i="24"/>
  <c r="R56" i="24"/>
  <c r="R99" i="24" s="1"/>
  <c r="R203" i="24" s="1"/>
  <c r="R100" i="24"/>
  <c r="R101" i="24"/>
  <c r="R25" i="24"/>
  <c r="Q101" i="24"/>
  <c r="Q25" i="24"/>
  <c r="Q98" i="24"/>
  <c r="Q56" i="24"/>
  <c r="Q99" i="24" s="1"/>
  <c r="Q203" i="24" s="1"/>
  <c r="Q100" i="24"/>
  <c r="Q24" i="24"/>
  <c r="Q131" i="24"/>
  <c r="M103" i="24"/>
  <c r="M120" i="24"/>
  <c r="M23" i="24"/>
  <c r="M21" i="24" s="1"/>
  <c r="M106" i="24"/>
  <c r="M104" i="24"/>
  <c r="M38" i="24"/>
  <c r="M105" i="24"/>
  <c r="M204" i="24" s="1"/>
  <c r="M198" i="24"/>
  <c r="M135" i="24"/>
  <c r="N23" i="24"/>
  <c r="N21" i="24" s="1"/>
  <c r="N120" i="24"/>
  <c r="N130" i="24"/>
  <c r="N97" i="24"/>
  <c r="N197" i="24"/>
  <c r="N116" i="24"/>
  <c r="N118" i="24" s="1"/>
  <c r="L130" i="24"/>
  <c r="L197" i="24"/>
  <c r="L116" i="24"/>
  <c r="L118" i="24" s="1"/>
  <c r="L129" i="24" s="1"/>
  <c r="L97" i="24"/>
  <c r="L23" i="24"/>
  <c r="L21" i="24" s="1"/>
  <c r="L120" i="24"/>
  <c r="K208" i="24"/>
  <c r="K137" i="24"/>
  <c r="K138" i="24" s="1"/>
  <c r="K36" i="24" s="1"/>
  <c r="K34" i="24" s="1"/>
  <c r="K122" i="24"/>
  <c r="K131" i="24"/>
  <c r="K100" i="24"/>
  <c r="K56" i="24"/>
  <c r="K99" i="24" s="1"/>
  <c r="K203" i="24" s="1"/>
  <c r="K98" i="24"/>
  <c r="K25" i="24"/>
  <c r="K101" i="24"/>
  <c r="K119" i="24"/>
  <c r="J122" i="24"/>
  <c r="J208" i="24"/>
  <c r="J137" i="24"/>
  <c r="J138" i="24" s="1"/>
  <c r="J36" i="24" s="1"/>
  <c r="J34" i="24" s="1"/>
  <c r="J100" i="24"/>
  <c r="J135" i="24" s="1"/>
  <c r="J25" i="24"/>
  <c r="J198" i="24"/>
  <c r="J121" i="24"/>
  <c r="J123" i="24" s="1"/>
  <c r="J134" i="24" s="1"/>
  <c r="J129" i="24"/>
  <c r="J131" i="24" s="1"/>
  <c r="J119" i="24"/>
  <c r="I131" i="24"/>
  <c r="I119" i="24"/>
  <c r="I24" i="24" s="1"/>
  <c r="I120" i="24"/>
  <c r="I23" i="24"/>
  <c r="I21" i="24" s="1"/>
  <c r="I103" i="24"/>
  <c r="I135" i="24"/>
  <c r="H120" i="24"/>
  <c r="H23" i="24"/>
  <c r="H21" i="24" s="1"/>
  <c r="H129" i="24"/>
  <c r="H131" i="24" s="1"/>
  <c r="H100" i="24"/>
  <c r="H98" i="24"/>
  <c r="H101" i="24"/>
  <c r="H56" i="24"/>
  <c r="H99" i="24" s="1"/>
  <c r="H203" i="24" s="1"/>
  <c r="H25" i="24"/>
  <c r="G120" i="24"/>
  <c r="G121" i="24" s="1"/>
  <c r="G123" i="24" s="1"/>
  <c r="G23" i="24"/>
  <c r="G21" i="24" s="1"/>
  <c r="G103" i="24"/>
  <c r="G135" i="24"/>
  <c r="G104" i="24"/>
  <c r="G199" i="24" s="1"/>
  <c r="G38" i="24"/>
  <c r="G106" i="24"/>
  <c r="G105" i="24"/>
  <c r="G204" i="24" s="1"/>
  <c r="C5" i="25" l="1"/>
  <c r="B5" i="25" s="1"/>
  <c r="C24" i="33"/>
  <c r="B24" i="33" s="1"/>
  <c r="C24" i="32"/>
  <c r="AD197" i="24"/>
  <c r="AC196" i="24"/>
  <c r="E24" i="24"/>
  <c r="E124" i="24"/>
  <c r="E37" i="24" s="1"/>
  <c r="E199" i="24"/>
  <c r="E107" i="24"/>
  <c r="E108" i="24" s="1"/>
  <c r="E110" i="24" s="1"/>
  <c r="E109" i="24"/>
  <c r="R208" i="24"/>
  <c r="R122" i="24"/>
  <c r="R137" i="24"/>
  <c r="R138" i="24" s="1"/>
  <c r="R36" i="24" s="1"/>
  <c r="R34" i="24" s="1"/>
  <c r="R103" i="24"/>
  <c r="R105" i="24" s="1"/>
  <c r="R204" i="24" s="1"/>
  <c r="R38" i="24"/>
  <c r="R135" i="24"/>
  <c r="R198" i="24"/>
  <c r="R121" i="24"/>
  <c r="R123" i="24" s="1"/>
  <c r="Q103" i="24"/>
  <c r="Q106" i="24" s="1"/>
  <c r="Q105" i="24"/>
  <c r="Q204" i="24" s="1"/>
  <c r="Q198" i="24"/>
  <c r="Q135" i="24"/>
  <c r="Q121" i="24"/>
  <c r="Q123" i="24" s="1"/>
  <c r="M208" i="24"/>
  <c r="M137" i="24"/>
  <c r="M138" i="24" s="1"/>
  <c r="M36" i="24" s="1"/>
  <c r="M34" i="24" s="1"/>
  <c r="M122" i="24"/>
  <c r="M121" i="24"/>
  <c r="M123" i="24" s="1"/>
  <c r="M199" i="24"/>
  <c r="M109" i="24"/>
  <c r="M107" i="24"/>
  <c r="M108" i="24" s="1"/>
  <c r="M110" i="24" s="1"/>
  <c r="L131" i="24"/>
  <c r="N119" i="24"/>
  <c r="N129" i="24"/>
  <c r="N131" i="24" s="1"/>
  <c r="N208" i="24"/>
  <c r="N137" i="24"/>
  <c r="N138" i="24" s="1"/>
  <c r="N36" i="24" s="1"/>
  <c r="N34" i="24" s="1"/>
  <c r="N122" i="24"/>
  <c r="N98" i="24"/>
  <c r="N25" i="24"/>
  <c r="N100" i="24"/>
  <c r="N101" i="24"/>
  <c r="N56" i="24"/>
  <c r="N99" i="24" s="1"/>
  <c r="N203" i="24" s="1"/>
  <c r="L119" i="24"/>
  <c r="L24" i="24" s="1"/>
  <c r="L25" i="24"/>
  <c r="L56" i="24"/>
  <c r="L99" i="24" s="1"/>
  <c r="L203" i="24" s="1"/>
  <c r="L100" i="24"/>
  <c r="L98" i="24"/>
  <c r="L101" i="24"/>
  <c r="L208" i="24"/>
  <c r="L122" i="24"/>
  <c r="L137" i="24"/>
  <c r="L138" i="24" s="1"/>
  <c r="L36" i="24" s="1"/>
  <c r="L34" i="24" s="1"/>
  <c r="K121" i="24"/>
  <c r="K123" i="24" s="1"/>
  <c r="K134" i="24" s="1"/>
  <c r="K135" i="24"/>
  <c r="K198" i="24"/>
  <c r="K24" i="24"/>
  <c r="K103" i="24"/>
  <c r="J103" i="24"/>
  <c r="J136" i="24"/>
  <c r="J124" i="24"/>
  <c r="J37" i="24" s="1"/>
  <c r="J24" i="24"/>
  <c r="J106" i="24"/>
  <c r="J104" i="24"/>
  <c r="J38" i="24"/>
  <c r="J105" i="24"/>
  <c r="J204" i="24" s="1"/>
  <c r="I208" i="24"/>
  <c r="I137" i="24"/>
  <c r="I138" i="24" s="1"/>
  <c r="I36" i="24" s="1"/>
  <c r="I34" i="24" s="1"/>
  <c r="I122" i="24"/>
  <c r="I121" i="24"/>
  <c r="I123" i="24" s="1"/>
  <c r="I105" i="24"/>
  <c r="I204" i="24" s="1"/>
  <c r="I106" i="24"/>
  <c r="I38" i="24"/>
  <c r="I104" i="24"/>
  <c r="H208" i="24"/>
  <c r="H122" i="24"/>
  <c r="H137" i="24"/>
  <c r="H138" i="24" s="1"/>
  <c r="H36" i="24" s="1"/>
  <c r="H34" i="24" s="1"/>
  <c r="H103" i="24"/>
  <c r="H105" i="24" s="1"/>
  <c r="H204" i="24" s="1"/>
  <c r="H38" i="24"/>
  <c r="H106" i="24"/>
  <c r="H104" i="24"/>
  <c r="H198" i="24"/>
  <c r="H135" i="24"/>
  <c r="H121" i="24"/>
  <c r="H123" i="24" s="1"/>
  <c r="G208" i="24"/>
  <c r="G137" i="24"/>
  <c r="G138" i="24" s="1"/>
  <c r="G36" i="24" s="1"/>
  <c r="G34" i="24" s="1"/>
  <c r="G122" i="24"/>
  <c r="G124" i="24" s="1"/>
  <c r="G37" i="24" s="1"/>
  <c r="G109" i="24"/>
  <c r="G107" i="24"/>
  <c r="G108" i="24" s="1"/>
  <c r="G110" i="24" s="1"/>
  <c r="C6" i="25" l="1"/>
  <c r="C7" i="25" s="1"/>
  <c r="B7" i="25" s="1"/>
  <c r="C15" i="22" s="1"/>
  <c r="C25" i="33"/>
  <c r="B25" i="33" s="1"/>
  <c r="E70" i="23" s="1"/>
  <c r="C25" i="32"/>
  <c r="AD198" i="24"/>
  <c r="AC197" i="24"/>
  <c r="F9" i="1"/>
  <c r="C12" i="23"/>
  <c r="R104" i="24"/>
  <c r="R199" i="24" s="1"/>
  <c r="R106" i="24"/>
  <c r="R107" i="24" s="1"/>
  <c r="R108" i="24" s="1"/>
  <c r="R110" i="24" s="1"/>
  <c r="R124" i="24"/>
  <c r="R37" i="24" s="1"/>
  <c r="R134" i="24"/>
  <c r="R136" i="24" s="1"/>
  <c r="R109" i="24"/>
  <c r="Q104" i="24"/>
  <c r="Q199" i="24" s="1"/>
  <c r="Q38" i="24"/>
  <c r="Q134" i="24"/>
  <c r="Q136" i="24" s="1"/>
  <c r="Q124" i="24"/>
  <c r="Q37" i="24" s="1"/>
  <c r="Q107" i="24"/>
  <c r="Q108" i="24" s="1"/>
  <c r="Q110" i="24" s="1"/>
  <c r="M134" i="24"/>
  <c r="M136" i="24" s="1"/>
  <c r="M124" i="24"/>
  <c r="M37" i="24" s="1"/>
  <c r="N135" i="24"/>
  <c r="N198" i="24"/>
  <c r="N103" i="24"/>
  <c r="N121" i="24"/>
  <c r="N123" i="24" s="1"/>
  <c r="N124" i="24" s="1"/>
  <c r="N37" i="24" s="1"/>
  <c r="N24" i="24"/>
  <c r="L103" i="24"/>
  <c r="L121" i="24"/>
  <c r="L123" i="24" s="1"/>
  <c r="L134" i="24" s="1"/>
  <c r="L198" i="24"/>
  <c r="L135" i="24"/>
  <c r="K124" i="24"/>
  <c r="K37" i="24" s="1"/>
  <c r="K106" i="24"/>
  <c r="K104" i="24"/>
  <c r="K105" i="24"/>
  <c r="K204" i="24" s="1"/>
  <c r="K38" i="24"/>
  <c r="K136" i="24"/>
  <c r="J199" i="24"/>
  <c r="J109" i="24"/>
  <c r="J107" i="24"/>
  <c r="J108" i="24" s="1"/>
  <c r="J110" i="24" s="1"/>
  <c r="I124" i="24"/>
  <c r="I37" i="24" s="1"/>
  <c r="I134" i="24"/>
  <c r="I136" i="24" s="1"/>
  <c r="I199" i="24"/>
  <c r="I109" i="24"/>
  <c r="I107" i="24"/>
  <c r="I108" i="24" s="1"/>
  <c r="I110" i="24" s="1"/>
  <c r="H199" i="24"/>
  <c r="H109" i="24"/>
  <c r="H134" i="24"/>
  <c r="H136" i="24" s="1"/>
  <c r="H124" i="24"/>
  <c r="H37" i="24" s="1"/>
  <c r="H107" i="24"/>
  <c r="H108" i="24" s="1"/>
  <c r="H110" i="24" s="1"/>
  <c r="G134" i="24"/>
  <c r="G136" i="24" s="1"/>
  <c r="C8" i="25" l="1"/>
  <c r="C9" i="25" s="1"/>
  <c r="C26" i="33"/>
  <c r="C27" i="33" s="1"/>
  <c r="G70" i="23"/>
  <c r="C26" i="32"/>
  <c r="AD199" i="24"/>
  <c r="AC198" i="24"/>
  <c r="F10" i="1"/>
  <c r="M10" i="1" s="1"/>
  <c r="T10" i="1" s="1"/>
  <c r="C13" i="23"/>
  <c r="Q109" i="24"/>
  <c r="N134" i="24"/>
  <c r="N136" i="24" s="1"/>
  <c r="N105" i="24"/>
  <c r="N204" i="24" s="1"/>
  <c r="N106" i="24"/>
  <c r="N104" i="24"/>
  <c r="N38" i="24"/>
  <c r="L136" i="24"/>
  <c r="L124" i="24"/>
  <c r="L37" i="24" s="1"/>
  <c r="L105" i="24"/>
  <c r="L204" i="24" s="1"/>
  <c r="L104" i="24"/>
  <c r="L38" i="24"/>
  <c r="L106" i="24"/>
  <c r="K199" i="24"/>
  <c r="K109" i="24"/>
  <c r="K107" i="24"/>
  <c r="K108" i="24" s="1"/>
  <c r="K110" i="24" s="1"/>
  <c r="B8" i="25" l="1"/>
  <c r="C16" i="22" s="1"/>
  <c r="B9" i="25"/>
  <c r="C17" i="22" s="1"/>
  <c r="C10" i="25"/>
  <c r="C11" i="25" s="1"/>
  <c r="B26" i="33"/>
  <c r="B27" i="33"/>
  <c r="C28" i="33"/>
  <c r="C27" i="32"/>
  <c r="AD200" i="24"/>
  <c r="AC199" i="24"/>
  <c r="F14" i="1"/>
  <c r="F11" i="1"/>
  <c r="F125" i="22" s="1"/>
  <c r="C14" i="23"/>
  <c r="N199" i="24"/>
  <c r="N109" i="24"/>
  <c r="N107" i="24"/>
  <c r="N108" i="24" s="1"/>
  <c r="N110" i="24" s="1"/>
  <c r="L107" i="24"/>
  <c r="L108" i="24" s="1"/>
  <c r="L110" i="24" s="1"/>
  <c r="L109" i="24"/>
  <c r="L199" i="24"/>
  <c r="B11" i="25" l="1"/>
  <c r="C12" i="25"/>
  <c r="B28" i="33"/>
  <c r="F75" i="23" s="1"/>
  <c r="C29" i="33"/>
  <c r="C28" i="32"/>
  <c r="AD201" i="24"/>
  <c r="AC200" i="24"/>
  <c r="B12" i="25" l="1"/>
  <c r="C13" i="25"/>
  <c r="C66" i="23"/>
  <c r="I39" i="22"/>
  <c r="B29" i="33"/>
  <c r="C30" i="33"/>
  <c r="H75" i="23"/>
  <c r="C29" i="32"/>
  <c r="AD202" i="24"/>
  <c r="AC201" i="24"/>
  <c r="F15" i="1"/>
  <c r="C15" i="23"/>
  <c r="B13" i="25" l="1"/>
  <c r="C14" i="25"/>
  <c r="C67" i="23"/>
  <c r="I40" i="22"/>
  <c r="B30" i="33"/>
  <c r="F76" i="23" s="1"/>
  <c r="C31" i="33"/>
  <c r="C30" i="32"/>
  <c r="AD203" i="24"/>
  <c r="AC202" i="24"/>
  <c r="F129" i="22"/>
  <c r="B14" i="25" l="1"/>
  <c r="C15" i="25"/>
  <c r="C16" i="25" s="1"/>
  <c r="C68" i="23"/>
  <c r="I43" i="22"/>
  <c r="B31" i="33"/>
  <c r="F77" i="23" s="1"/>
  <c r="C32" i="33"/>
  <c r="H76" i="23"/>
  <c r="C31" i="32"/>
  <c r="AD204" i="24"/>
  <c r="AC203" i="24"/>
  <c r="F18" i="1"/>
  <c r="F17" i="1"/>
  <c r="C16" i="23"/>
  <c r="C17" i="25" l="1"/>
  <c r="B16" i="25"/>
  <c r="P39" i="22" s="1"/>
  <c r="E66" i="23" s="1"/>
  <c r="B32" i="33"/>
  <c r="F78" i="23" s="1"/>
  <c r="C33" i="33"/>
  <c r="H77" i="23"/>
  <c r="C32" i="32"/>
  <c r="AD205" i="24"/>
  <c r="AC204" i="24"/>
  <c r="F132" i="22"/>
  <c r="M132" i="22" s="1"/>
  <c r="T132" i="22" s="1"/>
  <c r="M18" i="1"/>
  <c r="T18" i="1" s="1"/>
  <c r="F131" i="22"/>
  <c r="M131" i="22" s="1"/>
  <c r="T131" i="22" s="1"/>
  <c r="V47" i="22" s="1"/>
  <c r="M17" i="1"/>
  <c r="T17" i="1" s="1"/>
  <c r="V45" i="1" s="1"/>
  <c r="F19" i="1"/>
  <c r="F133" i="22" s="1"/>
  <c r="M133" i="22" s="1"/>
  <c r="T133" i="22" s="1"/>
  <c r="B17" i="25" l="1"/>
  <c r="P40" i="22" s="1"/>
  <c r="E67" i="23" s="1"/>
  <c r="C18" i="25"/>
  <c r="B33" i="33"/>
  <c r="F79" i="23" s="1"/>
  <c r="C34" i="33"/>
  <c r="H78" i="23"/>
  <c r="C33" i="32"/>
  <c r="AD206" i="24"/>
  <c r="AC205" i="24"/>
  <c r="F20" i="1"/>
  <c r="F134" i="22" s="1"/>
  <c r="M134" i="22" s="1"/>
  <c r="T134" i="22" s="1"/>
  <c r="G85" i="1"/>
  <c r="O85" i="1"/>
  <c r="P85" i="1" s="1"/>
  <c r="O98" i="24"/>
  <c r="O135" i="24" s="1"/>
  <c r="B18" i="25" l="1"/>
  <c r="P43" i="22" s="1"/>
  <c r="E68" i="23" s="1"/>
  <c r="C19" i="25"/>
  <c r="B34" i="33"/>
  <c r="C35" i="33"/>
  <c r="H79" i="23"/>
  <c r="C34" i="32"/>
  <c r="AD207" i="24"/>
  <c r="AC206" i="24"/>
  <c r="G121" i="23"/>
  <c r="H161" i="22"/>
  <c r="H85" i="1"/>
  <c r="H121" i="23" s="1"/>
  <c r="O121" i="24"/>
  <c r="O123" i="24" s="1"/>
  <c r="O134" i="24" s="1"/>
  <c r="O136" i="24" s="1"/>
  <c r="O103" i="24"/>
  <c r="O198" i="24"/>
  <c r="B19" i="25" l="1"/>
  <c r="C20" i="25"/>
  <c r="C21" i="25" s="1"/>
  <c r="B35" i="33"/>
  <c r="C36" i="33"/>
  <c r="C35" i="32"/>
  <c r="AD208" i="24"/>
  <c r="AC207" i="24"/>
  <c r="O124" i="24"/>
  <c r="O37" i="24" s="1"/>
  <c r="O106" i="24"/>
  <c r="O38" i="24"/>
  <c r="O104" i="24"/>
  <c r="O105" i="24"/>
  <c r="O204" i="24" s="1"/>
  <c r="C22" i="25" l="1"/>
  <c r="B21" i="25"/>
  <c r="W39" i="22" s="1"/>
  <c r="G66" i="23" s="1"/>
  <c r="B36" i="33"/>
  <c r="E81" i="23" s="1"/>
  <c r="C37" i="33"/>
  <c r="C36" i="32"/>
  <c r="AD209" i="24"/>
  <c r="AC208" i="24"/>
  <c r="E11" i="23"/>
  <c r="O199" i="24"/>
  <c r="O109" i="24"/>
  <c r="O107" i="24"/>
  <c r="O108" i="24" s="1"/>
  <c r="O110" i="24" s="1"/>
  <c r="B22" i="25" l="1"/>
  <c r="W40" i="22" s="1"/>
  <c r="C23" i="25"/>
  <c r="B37" i="33"/>
  <c r="C38" i="33"/>
  <c r="G81" i="23"/>
  <c r="C37" i="32"/>
  <c r="AD210" i="24"/>
  <c r="AC209" i="24"/>
  <c r="E12" i="23"/>
  <c r="B23" i="25" l="1"/>
  <c r="W43" i="22" s="1"/>
  <c r="G68" i="23" s="1"/>
  <c r="C24" i="25"/>
  <c r="B38" i="33"/>
  <c r="C39" i="33"/>
  <c r="C38" i="32"/>
  <c r="AD211" i="24"/>
  <c r="AC210" i="24"/>
  <c r="E13" i="23"/>
  <c r="B24" i="25" l="1"/>
  <c r="C25" i="25"/>
  <c r="B39" i="33"/>
  <c r="C40" i="33"/>
  <c r="C39" i="32"/>
  <c r="AD212" i="24"/>
  <c r="AC211" i="24"/>
  <c r="E14" i="23"/>
  <c r="C26" i="25" l="1"/>
  <c r="C27" i="25" s="1"/>
  <c r="B25" i="25"/>
  <c r="C70" i="23" s="1"/>
  <c r="B40" i="33"/>
  <c r="C41" i="33"/>
  <c r="C40" i="32"/>
  <c r="AD213" i="24"/>
  <c r="AC212" i="24"/>
  <c r="B27" i="25" l="1"/>
  <c r="C28" i="25"/>
  <c r="C42" i="33"/>
  <c r="B41" i="33"/>
  <c r="C41" i="32"/>
  <c r="AD214" i="24"/>
  <c r="AC213" i="24"/>
  <c r="E15" i="23"/>
  <c r="B28" i="25" l="1"/>
  <c r="C29" i="25"/>
  <c r="B42" i="33"/>
  <c r="C43" i="33"/>
  <c r="C42" i="32"/>
  <c r="AD215" i="24"/>
  <c r="AC214" i="24"/>
  <c r="C30" i="25" l="1"/>
  <c r="B29" i="25"/>
  <c r="D8" i="22" s="1"/>
  <c r="D75" i="23"/>
  <c r="B43" i="33"/>
  <c r="C44" i="33"/>
  <c r="C43" i="32"/>
  <c r="AD216" i="24"/>
  <c r="AC215" i="24"/>
  <c r="E16" i="23"/>
  <c r="C31" i="25" l="1"/>
  <c r="B30" i="25"/>
  <c r="B44" i="33"/>
  <c r="C45" i="33"/>
  <c r="C44" i="32"/>
  <c r="AD217" i="24"/>
  <c r="AC216" i="24"/>
  <c r="D9" i="22" l="1"/>
  <c r="G28" i="22" s="1"/>
  <c r="D76" i="23"/>
  <c r="B31" i="25"/>
  <c r="C32" i="25"/>
  <c r="B45" i="33"/>
  <c r="C46" i="33"/>
  <c r="C45" i="32"/>
  <c r="AD218" i="24"/>
  <c r="AC217" i="24"/>
  <c r="D77" i="23" l="1"/>
  <c r="D10" i="22"/>
  <c r="U28" i="22" s="1"/>
  <c r="C33" i="25"/>
  <c r="B32" i="25"/>
  <c r="G29" i="22"/>
  <c r="G30" i="22"/>
  <c r="G32" i="22"/>
  <c r="G31" i="22"/>
  <c r="B46" i="33"/>
  <c r="C47" i="33"/>
  <c r="C46" i="32"/>
  <c r="AD219" i="24"/>
  <c r="AC218" i="24"/>
  <c r="C34" i="25" l="1"/>
  <c r="B33" i="25"/>
  <c r="G35" i="22"/>
  <c r="D11" i="22"/>
  <c r="T58" i="22" s="1"/>
  <c r="D78" i="23"/>
  <c r="U30" i="22"/>
  <c r="U31" i="22"/>
  <c r="U29" i="22"/>
  <c r="U32" i="22"/>
  <c r="B47" i="33"/>
  <c r="C48" i="33"/>
  <c r="C47" i="32"/>
  <c r="AD220" i="24"/>
  <c r="AC219" i="24"/>
  <c r="M79" i="22" l="1"/>
  <c r="P79" i="22" s="1"/>
  <c r="E79" i="22"/>
  <c r="U35" i="22"/>
  <c r="T60" i="22"/>
  <c r="T65" i="22"/>
  <c r="T62" i="22"/>
  <c r="T64" i="22"/>
  <c r="T59" i="22"/>
  <c r="T61" i="22"/>
  <c r="D79" i="23"/>
  <c r="D12" i="22"/>
  <c r="S58" i="22" s="1"/>
  <c r="B34" i="25"/>
  <c r="C35" i="25"/>
  <c r="B48" i="33"/>
  <c r="C49" i="33"/>
  <c r="C48" i="32"/>
  <c r="AD221" i="24"/>
  <c r="AC220" i="24"/>
  <c r="T63" i="22" l="1"/>
  <c r="S60" i="22"/>
  <c r="S61" i="22"/>
  <c r="S59" i="22"/>
  <c r="S62" i="22"/>
  <c r="S65" i="22"/>
  <c r="S64" i="22"/>
  <c r="O80" i="22"/>
  <c r="P80" i="22" s="1"/>
  <c r="G80" i="22"/>
  <c r="H79" i="22"/>
  <c r="H101" i="23" s="1"/>
  <c r="F149" i="22"/>
  <c r="E101" i="23"/>
  <c r="C36" i="25"/>
  <c r="B35" i="25"/>
  <c r="B49" i="33"/>
  <c r="C50" i="33"/>
  <c r="C49" i="32"/>
  <c r="AD222" i="24"/>
  <c r="AC221" i="24"/>
  <c r="G11" i="23"/>
  <c r="O95" i="22" l="1"/>
  <c r="G95" i="22"/>
  <c r="S63" i="22"/>
  <c r="C37" i="25"/>
  <c r="C38" i="25" s="1"/>
  <c r="B36" i="25"/>
  <c r="C81" i="23" s="1"/>
  <c r="G102" i="23"/>
  <c r="H80" i="22"/>
  <c r="H102" i="23" s="1"/>
  <c r="J150" i="22"/>
  <c r="G88" i="22"/>
  <c r="O88" i="22"/>
  <c r="P88" i="22" s="1"/>
  <c r="B50" i="33"/>
  <c r="C51" i="33"/>
  <c r="C50" i="32"/>
  <c r="AD223" i="24"/>
  <c r="AC222" i="24"/>
  <c r="G12" i="23"/>
  <c r="H88" i="22" l="1"/>
  <c r="H109" i="23" s="1"/>
  <c r="G109" i="23"/>
  <c r="J158" i="22"/>
  <c r="B38" i="25"/>
  <c r="C39" i="25"/>
  <c r="O87" i="22"/>
  <c r="P87" i="22" s="1"/>
  <c r="G87" i="22"/>
  <c r="G96" i="22"/>
  <c r="G123" i="23" s="1"/>
  <c r="I161" i="22"/>
  <c r="G120" i="23"/>
  <c r="G122" i="23" s="1"/>
  <c r="H95" i="22"/>
  <c r="O96" i="22"/>
  <c r="P95" i="22"/>
  <c r="P96" i="22" s="1"/>
  <c r="B51" i="33"/>
  <c r="C52" i="33"/>
  <c r="C51" i="32"/>
  <c r="AD224" i="24"/>
  <c r="AC223" i="24"/>
  <c r="G13" i="23"/>
  <c r="H120" i="23" l="1"/>
  <c r="H122" i="23" s="1"/>
  <c r="H96" i="22"/>
  <c r="H123" i="23" s="1"/>
  <c r="J157" i="22"/>
  <c r="G108" i="23"/>
  <c r="H87" i="22"/>
  <c r="H108" i="23" s="1"/>
  <c r="B39" i="25"/>
  <c r="C40" i="25"/>
  <c r="B52" i="33"/>
  <c r="C53" i="33"/>
  <c r="C52" i="32"/>
  <c r="AD225" i="24"/>
  <c r="AC224" i="24"/>
  <c r="G14" i="23"/>
  <c r="B40" i="25" l="1"/>
  <c r="C41" i="25"/>
  <c r="C42" i="25" s="1"/>
  <c r="G130" i="23"/>
  <c r="L7" i="26"/>
  <c r="L5" i="27"/>
  <c r="B53" i="33"/>
  <c r="C54" i="33"/>
  <c r="C53" i="32"/>
  <c r="AD226" i="24"/>
  <c r="AC225" i="24"/>
  <c r="C43" i="25" l="1"/>
  <c r="B42" i="25"/>
  <c r="B21" i="12" s="1"/>
  <c r="B54" i="33"/>
  <c r="C55" i="33"/>
  <c r="C54" i="32"/>
  <c r="AD227" i="24"/>
  <c r="AC226" i="24"/>
  <c r="G15" i="23"/>
  <c r="B43" i="25" l="1"/>
  <c r="B22" i="12" s="1"/>
  <c r="C44" i="25"/>
  <c r="B55" i="33"/>
  <c r="C56" i="33"/>
  <c r="C55" i="32"/>
  <c r="AD228" i="24"/>
  <c r="AC227" i="24"/>
  <c r="B44" i="25" l="1"/>
  <c r="B23" i="12" s="1"/>
  <c r="C45" i="25"/>
  <c r="C57" i="33"/>
  <c r="B56" i="33"/>
  <c r="C56" i="32"/>
  <c r="AD229" i="24"/>
  <c r="AC228" i="24"/>
  <c r="G16" i="23"/>
  <c r="C46" i="25" l="1"/>
  <c r="B45" i="25"/>
  <c r="B24" i="12" s="1"/>
  <c r="B57" i="33"/>
  <c r="C58" i="33"/>
  <c r="C57" i="32"/>
  <c r="AD230" i="24"/>
  <c r="AC229" i="24"/>
  <c r="B46" i="25" l="1"/>
  <c r="B25" i="12" s="1"/>
  <c r="C47" i="25"/>
  <c r="B58" i="33"/>
  <c r="C59" i="33"/>
  <c r="C58" i="32"/>
  <c r="AD231" i="24"/>
  <c r="AC230" i="24"/>
  <c r="B47" i="25" l="1"/>
  <c r="B26" i="12" s="1"/>
  <c r="C48" i="25"/>
  <c r="B59" i="33"/>
  <c r="C60" i="33"/>
  <c r="C59" i="32"/>
  <c r="AD232" i="24"/>
  <c r="AC231" i="24"/>
  <c r="C49" i="25" l="1"/>
  <c r="B48" i="25"/>
  <c r="B27" i="12" s="1"/>
  <c r="C61" i="33"/>
  <c r="B60" i="33"/>
  <c r="C60" i="32"/>
  <c r="AD233" i="24"/>
  <c r="AC232" i="24"/>
  <c r="B49" i="25" l="1"/>
  <c r="B28" i="12" s="1"/>
  <c r="C50" i="25"/>
  <c r="B61" i="33"/>
  <c r="C62" i="33"/>
  <c r="C61" i="32"/>
  <c r="AD234" i="24"/>
  <c r="AC233" i="24"/>
  <c r="B50" i="25" l="1"/>
  <c r="B29" i="12" s="1"/>
  <c r="C51" i="25"/>
  <c r="B62" i="33"/>
  <c r="C63" i="33"/>
  <c r="C62" i="32"/>
  <c r="AD235" i="24"/>
  <c r="AC234" i="24"/>
  <c r="C52" i="25" l="1"/>
  <c r="B51" i="25"/>
  <c r="B30" i="12" s="1"/>
  <c r="B63" i="33"/>
  <c r="C64" i="33"/>
  <c r="C63" i="32"/>
  <c r="AD236" i="24"/>
  <c r="AC235" i="24"/>
  <c r="B52" i="25" l="1"/>
  <c r="B31" i="12" s="1"/>
  <c r="B33" i="12" s="1"/>
  <c r="C53" i="25"/>
  <c r="B64" i="33"/>
  <c r="C65" i="33"/>
  <c r="C64" i="32"/>
  <c r="AD237" i="24"/>
  <c r="AC237" i="24" s="1"/>
  <c r="AC236" i="24"/>
  <c r="B53" i="25" l="1"/>
  <c r="C54" i="25"/>
  <c r="B65" i="33"/>
  <c r="C66" i="33"/>
  <c r="C65" i="32"/>
  <c r="E37" i="1"/>
  <c r="C31" i="23"/>
  <c r="C55" i="25" l="1"/>
  <c r="B54" i="25"/>
  <c r="B66" i="33"/>
  <c r="C67" i="33"/>
  <c r="C66" i="32"/>
  <c r="H37" i="1"/>
  <c r="E39" i="22"/>
  <c r="H39" i="22" s="1"/>
  <c r="B55" i="25" l="1"/>
  <c r="C56" i="25"/>
  <c r="C57" i="25" s="1"/>
  <c r="B67" i="33"/>
  <c r="C68" i="33"/>
  <c r="C67" i="32"/>
  <c r="L37" i="1"/>
  <c r="L39" i="22" s="1"/>
  <c r="E31" i="23"/>
  <c r="M66" i="1"/>
  <c r="E66" i="1"/>
  <c r="E70" i="22"/>
  <c r="M70" i="22"/>
  <c r="B57" i="25" l="1"/>
  <c r="C58" i="25"/>
  <c r="B68" i="33"/>
  <c r="C69" i="33"/>
  <c r="C68" i="32"/>
  <c r="S37" i="1"/>
  <c r="G31" i="23"/>
  <c r="E92" i="23"/>
  <c r="F142" i="22"/>
  <c r="E142" i="22"/>
  <c r="B58" i="25" l="1"/>
  <c r="C59" i="25"/>
  <c r="B69" i="33"/>
  <c r="C70" i="33"/>
  <c r="C69" i="32"/>
  <c r="S39" i="22"/>
  <c r="B59" i="25" l="1"/>
  <c r="C60" i="25"/>
  <c r="C61" i="25" s="1"/>
  <c r="B70" i="33"/>
  <c r="C71" i="33"/>
  <c r="C70" i="32"/>
  <c r="B61" i="25" l="1"/>
  <c r="B38" i="12" s="1"/>
  <c r="C62" i="25"/>
  <c r="B71" i="33"/>
  <c r="C72" i="33"/>
  <c r="C71" i="32"/>
  <c r="E41" i="1"/>
  <c r="C33" i="23"/>
  <c r="B62" i="25" l="1"/>
  <c r="B39" i="12" s="1"/>
  <c r="C63" i="25"/>
  <c r="B72" i="33"/>
  <c r="C73" i="33"/>
  <c r="C72" i="32"/>
  <c r="H41" i="1"/>
  <c r="E43" i="22"/>
  <c r="H43" i="22" s="1"/>
  <c r="B63" i="25" l="1"/>
  <c r="B40" i="12" s="1"/>
  <c r="C64" i="25"/>
  <c r="B73" i="33"/>
  <c r="C74" i="33"/>
  <c r="C73" i="32"/>
  <c r="L41" i="1"/>
  <c r="E33" i="23"/>
  <c r="E32" i="23"/>
  <c r="B64" i="25" l="1"/>
  <c r="B41" i="12" s="1"/>
  <c r="C65" i="25"/>
  <c r="B74" i="33"/>
  <c r="C75" i="33"/>
  <c r="B75" i="33" s="1"/>
  <c r="C74" i="32"/>
  <c r="S41" i="1"/>
  <c r="G33" i="23"/>
  <c r="L43" i="22"/>
  <c r="B65" i="25" l="1"/>
  <c r="B42" i="12" s="1"/>
  <c r="C66" i="25"/>
  <c r="C75" i="32"/>
  <c r="S43" i="22"/>
  <c r="B66" i="25" l="1"/>
  <c r="B43" i="12" s="1"/>
  <c r="C67" i="25"/>
  <c r="E38" i="1"/>
  <c r="C32" i="23"/>
  <c r="B67" i="25" l="1"/>
  <c r="B44" i="12" s="1"/>
  <c r="C68" i="25"/>
  <c r="L38" i="1"/>
  <c r="E40" i="22"/>
  <c r="H40" i="22" s="1"/>
  <c r="H48" i="22" s="1"/>
  <c r="H38" i="1"/>
  <c r="H46" i="1" s="1"/>
  <c r="B68" i="25" l="1"/>
  <c r="B45" i="12" s="1"/>
  <c r="C69" i="25"/>
  <c r="L40" i="22"/>
  <c r="C70" i="25" l="1"/>
  <c r="B69" i="25"/>
  <c r="B46" i="12" s="1"/>
  <c r="B70" i="25" l="1"/>
  <c r="B47" i="12" s="1"/>
  <c r="C71" i="25"/>
  <c r="C72" i="25" l="1"/>
  <c r="B71" i="25"/>
  <c r="B48" i="12" s="1"/>
  <c r="E42" i="1"/>
  <c r="B72" i="25" l="1"/>
  <c r="B49" i="12" s="1"/>
  <c r="B50" i="12" s="1"/>
  <c r="C73" i="25"/>
  <c r="E44" i="22"/>
  <c r="H44" i="22" s="1"/>
  <c r="H42" i="1"/>
  <c r="L42" i="1"/>
  <c r="B73" i="25" l="1"/>
  <c r="C74" i="25"/>
  <c r="C75" i="25" s="1"/>
  <c r="S42" i="1"/>
  <c r="L44" i="22"/>
  <c r="S44" i="22" l="1"/>
  <c r="E43" i="1" l="1"/>
  <c r="E45" i="22" l="1"/>
  <c r="H45" i="22" s="1"/>
  <c r="H43" i="1"/>
  <c r="L43" i="1"/>
  <c r="L45" i="22" l="1"/>
  <c r="O45" i="22" s="1"/>
  <c r="M15" i="1"/>
  <c r="O43" i="1" s="1"/>
  <c r="M129" i="22"/>
  <c r="O44" i="22"/>
  <c r="O43" i="22" l="1"/>
  <c r="O39" i="22"/>
  <c r="O37" i="1"/>
  <c r="O41" i="1"/>
  <c r="O42" i="1"/>
  <c r="S44" i="1" l="1"/>
  <c r="N66" i="1"/>
  <c r="F66" i="1"/>
  <c r="T15" i="1"/>
  <c r="F70" i="22"/>
  <c r="N70" i="22"/>
  <c r="T129" i="22"/>
  <c r="R58" i="22" l="1"/>
  <c r="V39" i="22"/>
  <c r="V43" i="22"/>
  <c r="V44" i="22"/>
  <c r="G142" i="22"/>
  <c r="H142" i="22"/>
  <c r="F92" i="23"/>
  <c r="R56" i="1"/>
  <c r="V37" i="1"/>
  <c r="V41" i="1"/>
  <c r="V42" i="1"/>
  <c r="S46" i="22"/>
  <c r="V44" i="1" l="1"/>
  <c r="G66" i="1"/>
  <c r="O66" i="1"/>
  <c r="G70" i="22"/>
  <c r="O70" i="22"/>
  <c r="V46" i="22"/>
  <c r="R60" i="1"/>
  <c r="T60" i="1" s="1"/>
  <c r="R59" i="1"/>
  <c r="T59" i="1" s="1"/>
  <c r="R58" i="1"/>
  <c r="T58" i="1" s="1"/>
  <c r="R57" i="1"/>
  <c r="G43" i="23"/>
  <c r="R61" i="22"/>
  <c r="R62" i="22"/>
  <c r="R60" i="22"/>
  <c r="R59" i="22"/>
  <c r="R63" i="22" l="1"/>
  <c r="O86" i="22" s="1"/>
  <c r="P86" i="22" s="1"/>
  <c r="O71" i="22"/>
  <c r="P71" i="22" s="1"/>
  <c r="G71" i="22"/>
  <c r="P66" i="1"/>
  <c r="G67" i="1"/>
  <c r="G68" i="1" s="1"/>
  <c r="G95" i="23" s="1"/>
  <c r="O67" i="1"/>
  <c r="P67" i="1" s="1"/>
  <c r="T61" i="1"/>
  <c r="P70" i="22"/>
  <c r="O83" i="1"/>
  <c r="P83" i="1" s="1"/>
  <c r="G83" i="1"/>
  <c r="O92" i="22"/>
  <c r="G92" i="22"/>
  <c r="I142" i="22"/>
  <c r="H66" i="1"/>
  <c r="G92" i="23"/>
  <c r="J142" i="22"/>
  <c r="H70" i="22"/>
  <c r="H92" i="23" s="1"/>
  <c r="O72" i="22" l="1"/>
  <c r="G86" i="22"/>
  <c r="O68" i="1"/>
  <c r="H83" i="1"/>
  <c r="H116" i="23" s="1"/>
  <c r="G116" i="23"/>
  <c r="F161" i="22"/>
  <c r="G72" i="22"/>
  <c r="J143" i="22"/>
  <c r="G93" i="23"/>
  <c r="H71" i="22"/>
  <c r="H93" i="23" s="1"/>
  <c r="H92" i="22"/>
  <c r="G115" i="23"/>
  <c r="G93" i="22"/>
  <c r="G118" i="23" s="1"/>
  <c r="G161" i="22"/>
  <c r="P92" i="22"/>
  <c r="P93" i="22" s="1"/>
  <c r="O93" i="22"/>
  <c r="O80" i="1"/>
  <c r="P80" i="1" s="1"/>
  <c r="G80" i="1"/>
  <c r="I143" i="22"/>
  <c r="H67" i="1"/>
  <c r="H86" i="22" l="1"/>
  <c r="H107" i="23" s="1"/>
  <c r="I86" i="22"/>
  <c r="O73" i="22"/>
  <c r="J156" i="22"/>
  <c r="G107" i="23"/>
  <c r="G117" i="23"/>
  <c r="G94" i="23"/>
  <c r="G96" i="23" s="1"/>
  <c r="G73" i="22"/>
  <c r="G97" i="23" s="1"/>
  <c r="H93" i="22"/>
  <c r="H118" i="23" s="1"/>
  <c r="H115" i="23"/>
  <c r="H117" i="23" s="1"/>
  <c r="S51" i="1"/>
  <c r="H80" i="1"/>
  <c r="I156" i="22"/>
  <c r="S50" i="1"/>
  <c r="L50" i="1"/>
  <c r="E50" i="1"/>
  <c r="L52" i="22" l="1"/>
  <c r="O52" i="22" s="1"/>
  <c r="O50" i="1"/>
  <c r="S52" i="22"/>
  <c r="V52" i="22" s="1"/>
  <c r="V50" i="1"/>
  <c r="E52" i="22"/>
  <c r="H52" i="22" s="1"/>
  <c r="H54" i="22" s="1"/>
  <c r="H50" i="1"/>
  <c r="H52" i="1" s="1"/>
  <c r="S53" i="22"/>
  <c r="V53" i="22" s="1"/>
  <c r="V51" i="1"/>
  <c r="J4" i="26"/>
  <c r="J5" i="27"/>
  <c r="F130" i="23"/>
  <c r="V54" i="22" l="1"/>
  <c r="G82" i="22" s="1"/>
  <c r="G89" i="22" s="1"/>
  <c r="V52" i="1"/>
  <c r="G76" i="1" s="1"/>
  <c r="E82" i="22"/>
  <c r="M82" i="22"/>
  <c r="M76" i="1"/>
  <c r="E76" i="1"/>
  <c r="E152" i="22" s="1"/>
  <c r="O82" i="22" l="1"/>
  <c r="O89" i="22" s="1"/>
  <c r="O76" i="1"/>
  <c r="L39" i="1"/>
  <c r="E39" i="1"/>
  <c r="E40" i="1"/>
  <c r="I152" i="22"/>
  <c r="G104" i="23"/>
  <c r="J152" i="22"/>
  <c r="E104" i="23"/>
  <c r="F152" i="22"/>
  <c r="E42" i="22" l="1"/>
  <c r="H42" i="22" s="1"/>
  <c r="H40" i="1"/>
  <c r="G110" i="23"/>
  <c r="E41" i="22"/>
  <c r="H41" i="22" s="1"/>
  <c r="H39" i="1"/>
  <c r="L40" i="1"/>
  <c r="L41" i="22"/>
  <c r="H49" i="22" l="1"/>
  <c r="H50" i="22" s="1"/>
  <c r="H51" i="22" s="1"/>
  <c r="M125" i="22" s="1"/>
  <c r="O40" i="22" s="1"/>
  <c r="O54" i="22" s="1"/>
  <c r="H47" i="1"/>
  <c r="H48" i="1" s="1"/>
  <c r="H49" i="1" s="1"/>
  <c r="M11" i="1" s="1"/>
  <c r="L42" i="22"/>
  <c r="O42" i="22" s="1"/>
  <c r="O40" i="1"/>
  <c r="O48" i="22" l="1"/>
  <c r="O41" i="22"/>
  <c r="O49" i="22" s="1"/>
  <c r="M14" i="1"/>
  <c r="M9" i="1"/>
  <c r="O38" i="1"/>
  <c r="N82" i="22"/>
  <c r="P82" i="22" s="1"/>
  <c r="F82" i="22"/>
  <c r="O50" i="22" l="1"/>
  <c r="O51" i="22" s="1"/>
  <c r="T125" i="22" s="1"/>
  <c r="F104" i="23"/>
  <c r="H152" i="22"/>
  <c r="H82" i="22"/>
  <c r="H104" i="23" s="1"/>
  <c r="O52" i="1"/>
  <c r="O46" i="1"/>
  <c r="O39" i="1"/>
  <c r="O47" i="1" s="1"/>
  <c r="O48" i="1" l="1"/>
  <c r="O49" i="1" s="1"/>
  <c r="T11" i="1" s="1"/>
  <c r="T9" i="1" s="1"/>
  <c r="T19" i="1" s="1"/>
  <c r="M19" i="1" s="1"/>
  <c r="F76" i="1"/>
  <c r="N76" i="1"/>
  <c r="P76" i="1" s="1"/>
  <c r="T20" i="1" l="1"/>
  <c r="M20" i="1" s="1"/>
  <c r="G152" i="22"/>
  <c r="H76" i="1"/>
  <c r="C21" i="23" l="1"/>
  <c r="C22" i="23" l="1"/>
  <c r="C24" i="23" l="1"/>
  <c r="C26" i="23" l="1"/>
  <c r="F26" i="1" l="1"/>
  <c r="F27" i="1" l="1"/>
  <c r="F29" i="1"/>
  <c r="F30" i="1"/>
  <c r="F28" i="1"/>
  <c r="E28" i="22"/>
  <c r="F33" i="1" l="1"/>
  <c r="E72" i="1" s="1"/>
  <c r="E65" i="1"/>
  <c r="M65" i="1"/>
  <c r="M68" i="1" s="1"/>
  <c r="E31" i="22"/>
  <c r="E29" i="22"/>
  <c r="E30" i="22"/>
  <c r="E32" i="22"/>
  <c r="H26" i="1"/>
  <c r="G38" i="23"/>
  <c r="M72" i="1" l="1"/>
  <c r="E35" i="22"/>
  <c r="E77" i="22" s="1"/>
  <c r="E147" i="22"/>
  <c r="M69" i="22"/>
  <c r="M72" i="22" s="1"/>
  <c r="M73" i="22" s="1"/>
  <c r="E69" i="22"/>
  <c r="H29" i="1"/>
  <c r="H28" i="1"/>
  <c r="F28" i="22"/>
  <c r="H30" i="1"/>
  <c r="E141" i="22"/>
  <c r="E68" i="1"/>
  <c r="E95" i="23" s="1"/>
  <c r="M77" i="22" l="1"/>
  <c r="G40" i="23"/>
  <c r="F31" i="22"/>
  <c r="F30" i="22"/>
  <c r="F32" i="22"/>
  <c r="E99" i="23"/>
  <c r="F147" i="22"/>
  <c r="F141" i="22"/>
  <c r="E72" i="22"/>
  <c r="E91" i="23"/>
  <c r="H33" i="1"/>
  <c r="F35" i="22" l="1"/>
  <c r="E78" i="22" s="1"/>
  <c r="M73" i="1"/>
  <c r="E73" i="1"/>
  <c r="E94" i="23"/>
  <c r="E96" i="23" s="1"/>
  <c r="E73" i="22"/>
  <c r="E97" i="23" s="1"/>
  <c r="L29" i="1"/>
  <c r="L28" i="1"/>
  <c r="L28" i="22"/>
  <c r="L27" i="1"/>
  <c r="L30" i="1"/>
  <c r="M78" i="22" l="1"/>
  <c r="P78" i="22" s="1"/>
  <c r="L33" i="1"/>
  <c r="N72" i="1" s="1"/>
  <c r="L32" i="22"/>
  <c r="L30" i="22"/>
  <c r="L31" i="22"/>
  <c r="L29" i="22"/>
  <c r="H73" i="1"/>
  <c r="E148" i="22"/>
  <c r="E81" i="1"/>
  <c r="E111" i="23" s="1"/>
  <c r="F65" i="1"/>
  <c r="N65" i="1"/>
  <c r="H78" i="22"/>
  <c r="H100" i="23" s="1"/>
  <c r="E100" i="23"/>
  <c r="F148" i="22"/>
  <c r="E89" i="22"/>
  <c r="S28" i="1"/>
  <c r="S33" i="1" s="1"/>
  <c r="G42" i="23"/>
  <c r="P73" i="1"/>
  <c r="M81" i="1"/>
  <c r="F72" i="1" l="1"/>
  <c r="F81" i="1" s="1"/>
  <c r="F111" i="23" s="1"/>
  <c r="M89" i="22"/>
  <c r="M90" i="22" s="1"/>
  <c r="L35" i="22"/>
  <c r="O75" i="1"/>
  <c r="G75" i="1"/>
  <c r="G141" i="22"/>
  <c r="F68" i="1"/>
  <c r="F95" i="23" s="1"/>
  <c r="H65" i="1"/>
  <c r="H68" i="1" s="1"/>
  <c r="H95" i="23" s="1"/>
  <c r="F69" i="22"/>
  <c r="N69" i="22"/>
  <c r="E90" i="22"/>
  <c r="E113" i="23" s="1"/>
  <c r="E110" i="23"/>
  <c r="E112" i="23" s="1"/>
  <c r="P65" i="1"/>
  <c r="P68" i="1" s="1"/>
  <c r="N68" i="1"/>
  <c r="N81" i="1"/>
  <c r="P72" i="1"/>
  <c r="I81" i="22" l="1"/>
  <c r="O81" i="1"/>
  <c r="O90" i="22" s="1"/>
  <c r="G147" i="22"/>
  <c r="H72" i="1"/>
  <c r="F91" i="23"/>
  <c r="H141" i="22"/>
  <c r="F72" i="22"/>
  <c r="H69" i="22"/>
  <c r="H75" i="1"/>
  <c r="I151" i="22"/>
  <c r="G81" i="1"/>
  <c r="P75" i="1"/>
  <c r="P81" i="1" s="1"/>
  <c r="F77" i="22"/>
  <c r="N77" i="22"/>
  <c r="P69" i="22"/>
  <c r="P72" i="22" s="1"/>
  <c r="P73" i="22" s="1"/>
  <c r="N72" i="22"/>
  <c r="N73" i="22" s="1"/>
  <c r="H81" i="1" l="1"/>
  <c r="H111" i="23" s="1"/>
  <c r="P77" i="22"/>
  <c r="P89" i="22" s="1"/>
  <c r="N89" i="22"/>
  <c r="N90" i="22" s="1"/>
  <c r="H147" i="22"/>
  <c r="F99" i="23"/>
  <c r="F89" i="22"/>
  <c r="H77" i="22"/>
  <c r="G111" i="23"/>
  <c r="G112" i="23" s="1"/>
  <c r="G90" i="22"/>
  <c r="G113" i="23" s="1"/>
  <c r="F73" i="22"/>
  <c r="F97" i="23" s="1"/>
  <c r="F94" i="23"/>
  <c r="F96" i="23" s="1"/>
  <c r="H91" i="23"/>
  <c r="H72" i="22"/>
  <c r="H73" i="22" l="1"/>
  <c r="H97" i="23" s="1"/>
  <c r="H94" i="23"/>
  <c r="H96" i="23" s="1"/>
  <c r="H99" i="23"/>
  <c r="H89" i="22"/>
  <c r="F110" i="23"/>
  <c r="F112" i="23" s="1"/>
  <c r="F90" i="22"/>
  <c r="F113" i="23" s="1"/>
  <c r="G147" i="23"/>
  <c r="P90" i="22"/>
  <c r="D16" i="26"/>
  <c r="C3" i="26" l="1"/>
  <c r="G5" i="27"/>
  <c r="C130" i="23"/>
  <c r="H90" i="22"/>
  <c r="H113" i="23" s="1"/>
  <c r="H110" i="23"/>
  <c r="H112" i="23" s="1"/>
  <c r="K16" i="27" l="1"/>
  <c r="A56" i="12"/>
  <c r="C15" i="12"/>
  <c r="C40" i="12"/>
  <c r="D40" i="12" s="1"/>
  <c r="C24" i="12"/>
  <c r="D24" i="12" s="1"/>
  <c r="C7" i="12"/>
  <c r="C31" i="12"/>
  <c r="D31" i="12" s="1"/>
  <c r="C46" i="12"/>
  <c r="D46" i="12" s="1"/>
  <c r="C28" i="12"/>
  <c r="D28" i="12" s="1"/>
  <c r="C48" i="12"/>
  <c r="D48" i="12" s="1"/>
  <c r="C9" i="12"/>
  <c r="C22" i="12"/>
  <c r="D22" i="12" s="1"/>
  <c r="C27" i="12"/>
  <c r="D27" i="12" s="1"/>
  <c r="C23" i="12"/>
  <c r="D23" i="12" s="1"/>
  <c r="C4" i="12"/>
  <c r="C49" i="12"/>
  <c r="D49" i="12" s="1"/>
  <c r="C47" i="12"/>
  <c r="D47" i="12" s="1"/>
  <c r="C41" i="12"/>
  <c r="D41" i="12" s="1"/>
  <c r="C30" i="12"/>
  <c r="D30" i="12" s="1"/>
  <c r="C45" i="12"/>
  <c r="D45" i="12" s="1"/>
  <c r="C25" i="12"/>
  <c r="D25" i="12" s="1"/>
  <c r="C8" i="12"/>
  <c r="C43" i="12"/>
  <c r="D43" i="12" s="1"/>
  <c r="C10" i="12"/>
  <c r="C39" i="12"/>
  <c r="D39" i="12" s="1"/>
  <c r="C13" i="12"/>
  <c r="C26" i="12"/>
  <c r="D26" i="12" s="1"/>
  <c r="C11" i="12"/>
  <c r="C38" i="12"/>
  <c r="D38" i="12" s="1"/>
  <c r="C5" i="12"/>
  <c r="C42" i="12"/>
  <c r="D42" i="12" s="1"/>
  <c r="C44" i="12"/>
  <c r="D44" i="12" s="1"/>
  <c r="C29" i="12"/>
  <c r="D29" i="12" s="1"/>
  <c r="C12" i="12"/>
  <c r="C14" i="12"/>
  <c r="C21" i="12"/>
  <c r="D21" i="12" s="1"/>
  <c r="C6" i="12"/>
  <c r="D33" i="12" l="1"/>
  <c r="E9" i="12"/>
  <c r="E43" i="12"/>
  <c r="E10" i="12"/>
  <c r="E38" i="12"/>
  <c r="E22" i="12"/>
  <c r="E5" i="12"/>
  <c r="E46" i="12"/>
  <c r="E21" i="12"/>
  <c r="E48" i="12"/>
  <c r="E49" i="12"/>
  <c r="E12" i="12"/>
  <c r="E42" i="12"/>
  <c r="E23" i="12"/>
  <c r="E27" i="12"/>
  <c r="E25" i="12"/>
  <c r="E15" i="12"/>
  <c r="E47" i="12"/>
  <c r="E14" i="12"/>
  <c r="E40" i="12"/>
  <c r="E24" i="12"/>
  <c r="E7" i="12"/>
  <c r="E6" i="12"/>
  <c r="E26" i="12"/>
  <c r="E13" i="12"/>
  <c r="E44" i="12"/>
  <c r="E31" i="12"/>
  <c r="E29" i="12"/>
  <c r="E11" i="12"/>
  <c r="E28" i="12"/>
  <c r="E39" i="12"/>
  <c r="E45" i="12"/>
  <c r="E8" i="12"/>
  <c r="E30" i="12"/>
  <c r="E4" i="12"/>
  <c r="E41" i="12"/>
  <c r="D50" i="12"/>
  <c r="F7" i="12" l="1"/>
  <c r="F46" i="12"/>
  <c r="G46" i="12" s="1"/>
  <c r="F30" i="12"/>
  <c r="G30" i="12" s="1"/>
  <c r="F48" i="12"/>
  <c r="G48" i="12" s="1"/>
  <c r="F21" i="12"/>
  <c r="G21" i="12" s="1"/>
  <c r="F4" i="12"/>
  <c r="F38" i="12"/>
  <c r="G38" i="12" s="1"/>
  <c r="F5" i="12"/>
  <c r="F25" i="12"/>
  <c r="G25" i="12" s="1"/>
  <c r="F8" i="12"/>
  <c r="F26" i="12"/>
  <c r="G26" i="12" s="1"/>
  <c r="F47" i="12"/>
  <c r="G47" i="12" s="1"/>
  <c r="F41" i="12"/>
  <c r="G41" i="12" s="1"/>
  <c r="F28" i="12"/>
  <c r="G28" i="12" s="1"/>
  <c r="F45" i="12"/>
  <c r="G45" i="12" s="1"/>
  <c r="F43" i="12"/>
  <c r="G43" i="12" s="1"/>
  <c r="F12" i="12"/>
  <c r="F39" i="12"/>
  <c r="G39" i="12" s="1"/>
  <c r="F9" i="12"/>
  <c r="F23" i="12"/>
  <c r="G23" i="12" s="1"/>
  <c r="F6" i="12"/>
  <c r="F40" i="12"/>
  <c r="G40" i="12" s="1"/>
  <c r="F10" i="12"/>
  <c r="F29" i="12"/>
  <c r="G29" i="12" s="1"/>
  <c r="F14" i="12"/>
  <c r="F42" i="12"/>
  <c r="G42" i="12" s="1"/>
  <c r="F44" i="12"/>
  <c r="G44" i="12" s="1"/>
  <c r="F15" i="12"/>
  <c r="F49" i="12"/>
  <c r="G49" i="12" s="1"/>
  <c r="I49" i="12" s="1"/>
  <c r="F31" i="12"/>
  <c r="G31" i="12" s="1"/>
  <c r="F24" i="12"/>
  <c r="G24" i="12" s="1"/>
  <c r="D26" i="1"/>
  <c r="D28" i="22" s="1"/>
  <c r="F13" i="12"/>
  <c r="F11" i="12"/>
  <c r="F27" i="12"/>
  <c r="G27" i="12" s="1"/>
  <c r="F22" i="12"/>
  <c r="G22" i="12" s="1"/>
  <c r="N22" i="12" l="1"/>
  <c r="Q22" i="12" s="1"/>
  <c r="I22" i="12"/>
  <c r="I23" i="12"/>
  <c r="N23" i="12"/>
  <c r="Q23" i="12" s="1"/>
  <c r="N47" i="12"/>
  <c r="Q47" i="12" s="1"/>
  <c r="I47" i="12"/>
  <c r="I27" i="12"/>
  <c r="N27" i="12"/>
  <c r="Q27" i="12" s="1"/>
  <c r="I44" i="12"/>
  <c r="N44" i="12"/>
  <c r="Q44" i="12" s="1"/>
  <c r="N45" i="12"/>
  <c r="Q45" i="12" s="1"/>
  <c r="I45" i="12"/>
  <c r="N26" i="12"/>
  <c r="Q26" i="12" s="1"/>
  <c r="I26" i="12"/>
  <c r="N38" i="12"/>
  <c r="Q38" i="12" s="1"/>
  <c r="I38" i="12"/>
  <c r="G50" i="12"/>
  <c r="N30" i="12"/>
  <c r="Q30" i="12" s="1"/>
  <c r="I30" i="12"/>
  <c r="I31" i="12"/>
  <c r="N31" i="12"/>
  <c r="Q31" i="12" s="1"/>
  <c r="I42" i="12"/>
  <c r="N42" i="12"/>
  <c r="Q42" i="12" s="1"/>
  <c r="I40" i="12"/>
  <c r="N40" i="12"/>
  <c r="Q40" i="12" s="1"/>
  <c r="N39" i="12"/>
  <c r="Q39" i="12" s="1"/>
  <c r="I39" i="12"/>
  <c r="I28" i="12"/>
  <c r="N28" i="12"/>
  <c r="Q28" i="12" s="1"/>
  <c r="I46" i="12"/>
  <c r="N46" i="12"/>
  <c r="Q46" i="12" s="1"/>
  <c r="I29" i="12"/>
  <c r="N29" i="12"/>
  <c r="Q29" i="12" s="1"/>
  <c r="I43" i="12"/>
  <c r="N43" i="12"/>
  <c r="Q43" i="12" s="1"/>
  <c r="N48" i="12"/>
  <c r="Q48" i="12" s="1"/>
  <c r="I48" i="12"/>
  <c r="N24" i="12"/>
  <c r="Q24" i="12" s="1"/>
  <c r="I24" i="12"/>
  <c r="B4" i="12"/>
  <c r="D4" i="12" s="1"/>
  <c r="I41" i="12"/>
  <c r="N41" i="12"/>
  <c r="Q41" i="12" s="1"/>
  <c r="N25" i="12"/>
  <c r="Q25" i="12" s="1"/>
  <c r="I25" i="12"/>
  <c r="N21" i="12"/>
  <c r="Q21" i="12" s="1"/>
  <c r="I21" i="12"/>
  <c r="G33" i="12"/>
  <c r="Q33" i="12" l="1"/>
  <c r="B5" i="12"/>
  <c r="G4" i="12"/>
  <c r="I50" i="12"/>
  <c r="I33" i="12"/>
  <c r="Q50" i="12"/>
  <c r="N4" i="12" l="1"/>
  <c r="Q4" i="12" s="1"/>
  <c r="I4" i="12"/>
  <c r="B6" i="12"/>
  <c r="D5" i="12"/>
  <c r="G5" i="12"/>
  <c r="B7" i="12" l="1"/>
  <c r="I5" i="12"/>
  <c r="N5" i="12"/>
  <c r="Q5" i="12" s="1"/>
  <c r="D6" i="12"/>
  <c r="G6" i="12"/>
  <c r="B8" i="12" l="1"/>
  <c r="I6" i="12"/>
  <c r="N6" i="12"/>
  <c r="Q6" i="12" s="1"/>
  <c r="G7" i="12"/>
  <c r="D7" i="12"/>
  <c r="N7" i="12" l="1"/>
  <c r="Q7" i="12" s="1"/>
  <c r="I7" i="12"/>
  <c r="D8" i="12"/>
  <c r="G8" i="12"/>
  <c r="B9" i="12"/>
  <c r="D9" i="12" l="1"/>
  <c r="G9" i="12"/>
  <c r="B10" i="12"/>
  <c r="N8" i="12"/>
  <c r="Q8" i="12" s="1"/>
  <c r="I8" i="12"/>
  <c r="G10" i="12" l="1"/>
  <c r="D10" i="12"/>
  <c r="I9" i="12"/>
  <c r="N9" i="12"/>
  <c r="Q9" i="12" s="1"/>
  <c r="B11" i="12"/>
  <c r="B12" i="12" l="1"/>
  <c r="D11" i="12"/>
  <c r="G11" i="12"/>
  <c r="I10" i="12"/>
  <c r="N10" i="12"/>
  <c r="Q10" i="12" s="1"/>
  <c r="B13" i="12" l="1"/>
  <c r="I11" i="12"/>
  <c r="N11" i="12"/>
  <c r="Q11" i="12" s="1"/>
  <c r="D12" i="12"/>
  <c r="G12" i="12"/>
  <c r="N12" i="12" l="1"/>
  <c r="Q12" i="12" s="1"/>
  <c r="I12" i="12"/>
  <c r="B14" i="12"/>
  <c r="D13" i="12"/>
  <c r="G13" i="12"/>
  <c r="D14" i="12" l="1"/>
  <c r="G14" i="12"/>
  <c r="B15" i="12"/>
  <c r="I13" i="12"/>
  <c r="N13" i="12"/>
  <c r="Q13" i="12" s="1"/>
  <c r="B16" i="12" l="1"/>
  <c r="D15" i="12"/>
  <c r="D16" i="12" s="1"/>
  <c r="G15" i="12"/>
  <c r="N14" i="12"/>
  <c r="Q14" i="12" s="1"/>
  <c r="Q16" i="12" s="1"/>
  <c r="I14" i="12"/>
  <c r="I15" i="12" l="1"/>
  <c r="I16" i="12" s="1"/>
  <c r="G16" i="12"/>
  <c r="D34" i="22"/>
  <c r="D32" i="1"/>
  <c r="D31" i="1" l="1"/>
  <c r="D33" i="1" s="1"/>
  <c r="D33" i="22"/>
  <c r="D35" i="22" s="1"/>
  <c r="AD238" i="24" l="1"/>
  <c r="AC238" i="24" s="1"/>
</calcChain>
</file>

<file path=xl/comments1.xml><?xml version="1.0" encoding="utf-8"?>
<comments xmlns="http://schemas.openxmlformats.org/spreadsheetml/2006/main">
  <authors>
    <author>Marianne Wesnæs</author>
  </authors>
  <commentList>
    <comment ref="D162" authorId="0">
      <text>
        <r>
          <rPr>
            <b/>
            <sz val="9"/>
            <color indexed="81"/>
            <rFont val="Tahoma"/>
            <family val="2"/>
          </rPr>
          <t>Marianne Wesnæs:</t>
        </r>
        <r>
          <rPr>
            <sz val="9"/>
            <color indexed="81"/>
            <rFont val="Tahoma"/>
            <family val="2"/>
          </rPr>
          <t xml:space="preserve">
11.5-17 kWh per ton manure
Data from DE and NL
26 kWh per animal place per year / 1.82 ton manure per animal place per year = 14.1 kWh per ton manure
KTBL (2008):
Light: 4 (3 - 5)
Ventilation: 20 (16-24)
Feeding: 1 (0.8-1.2)
Cleaning: 0.3 (0.2-0.5)
Manure removal: 0.1
Data from DE_housing fattening pig_fully slatted.pdf
</t>
        </r>
      </text>
    </comment>
    <comment ref="G162" authorId="0">
      <text>
        <r>
          <rPr>
            <b/>
            <sz val="9"/>
            <color indexed="81"/>
            <rFont val="Tahoma"/>
            <family val="2"/>
          </rPr>
          <t>Marianne Wesnæs:</t>
        </r>
        <r>
          <rPr>
            <sz val="9"/>
            <color indexed="81"/>
            <rFont val="Tahoma"/>
            <family val="2"/>
          </rPr>
          <t xml:space="preserve">
 Reference data from German data from BATIS database:
Reference for sows:
DE_housing farrowing_individual_1.pdf
Energy: 60 kWh/(ap yr)
Heat: 180 kWh/(ap yr)
DE_housing mating_servicecenter.pdf
Energy: 60 kWh/(ap yr)
Heat: 160 kWh/(ap yr)
DE_housing waiting sow_fully slatted with lying pen.pdf:
Energy: 60 kWh/(ap yr)
Heat: 160 kWh/(ap yr)
DE_housing waiting sow_fully slatted with lying pen.pdf
Energy: 60 kWh/(ap yr)
Heat: 160 kWh/(ap yr)
</t>
        </r>
      </text>
    </comment>
    <comment ref="Q162" authorId="0">
      <text>
        <r>
          <rPr>
            <b/>
            <sz val="9"/>
            <color indexed="81"/>
            <rFont val="Tahoma"/>
            <family val="2"/>
          </rPr>
          <t xml:space="preserve">Marianne Wesnæs:
From German data in BATIS database - DE_housing_broiler_litter.pdf
</t>
        </r>
        <r>
          <rPr>
            <sz val="9"/>
            <color indexed="81"/>
            <rFont val="Tahoma"/>
            <family val="2"/>
          </rPr>
          <t xml:space="preserve">
5.8 kWh/(ap yr)
KTBL (2006):
ligthening: 0.33 kWh/ (ap yr)
ventilation: 0.73 kWh/ (ap yr)
heating:4.5 kWh/ (ap yr)
feeding: 0.14 kWh/ (ap yr)
manure removal/cleaning: 0.14 kWh/ (ap yr)
</t>
        </r>
        <r>
          <rPr>
            <b/>
            <sz val="9"/>
            <color indexed="81"/>
            <rFont val="Tahoma"/>
            <family val="2"/>
          </rPr>
          <t>alternative: open climate house:</t>
        </r>
        <r>
          <rPr>
            <sz val="9"/>
            <color indexed="81"/>
            <rFont val="Tahoma"/>
            <family val="2"/>
          </rPr>
          <t xml:space="preserve">
ligthening: 0.20 kWh/ (ap yr)
ventilation: 0.1 kWh/ (ap yr)
heating: no data
feeding: 0.14 kWh/ (ap yr)
manure removal/cleaning: 0.14 kWh/ (ap yr)
</t>
        </r>
        <r>
          <rPr>
            <b/>
            <sz val="9"/>
            <color indexed="81"/>
            <rFont val="Tahoma"/>
            <family val="2"/>
          </rPr>
          <t>alternative: with outdoor run:</t>
        </r>
        <r>
          <rPr>
            <sz val="9"/>
            <color indexed="81"/>
            <rFont val="Tahoma"/>
            <family val="2"/>
          </rPr>
          <t xml:space="preserve">
ligthening: 0.33 kWh/ (ap yr)
ventilation: 0.73 kWh/ (ap yr)
heating: 5.5. kWh/ (ap yr) feeding: 0.14 kWh/ (ap yr)
manure removal/cleaning: 0.14 kWh/ (ap yr)
</t>
        </r>
        <r>
          <rPr>
            <b/>
            <sz val="9"/>
            <color indexed="81"/>
            <rFont val="Tahoma"/>
            <family val="2"/>
          </rPr>
          <t>alternative: veranda and outdoor run:</t>
        </r>
        <r>
          <rPr>
            <sz val="9"/>
            <color indexed="81"/>
            <rFont val="Tahoma"/>
            <family val="2"/>
          </rPr>
          <t xml:space="preserve">
ligthening: no data
ventilation: no data
heating: no data
feeding: 0.14 kWh/ (ap yr)
manure removal/cleaning: 0.14</t>
        </r>
      </text>
    </comment>
    <comment ref="I163" authorId="0">
      <text>
        <r>
          <rPr>
            <b/>
            <sz val="9"/>
            <color indexed="81"/>
            <rFont val="Tahoma"/>
            <family val="2"/>
          </rPr>
          <t>Marianne Wesnæs:</t>
        </r>
        <r>
          <rPr>
            <sz val="9"/>
            <color indexed="81"/>
            <rFont val="Tahoma"/>
            <family val="2"/>
          </rPr>
          <t xml:space="preserve">
Te energy consumption for the "reference system for dairy cows" is 18-76 kWh per cow per year. According to the Danish Norm data, 2011, a cow produces 22.1 tons slurry per year
Reference: Danish Environmental Agency (2011): The Technology List and Danish EPA technology sheet, 30.06.2010. Teknologitype: Staldindretning – Skrabere i gyllekanaler. In Danish. http://www.mst.dk/NR/rdonlyres/968B3890-9E2E-43A0-85DF-22809BD44F33/0/Skrabereigyllekanaleristaldetilmalkekvæg.pdf</t>
        </r>
      </text>
    </comment>
    <comment ref="O163" authorId="0">
      <text>
        <r>
          <rPr>
            <b/>
            <sz val="9"/>
            <color indexed="81"/>
            <rFont val="Tahoma"/>
            <family val="2"/>
          </rPr>
          <t>Marianne Wesnæs:</t>
        </r>
        <r>
          <rPr>
            <sz val="9"/>
            <color indexed="81"/>
            <rFont val="Tahoma"/>
            <family val="2"/>
          </rPr>
          <t xml:space="preserve">
DE_housing_layers_litter.pdf: 
ligthening: 0.52 kWh/ (ap yr) + ventilation: 2.2 kWh/ (ap yr)
UBA (2002): alternative: manure belt: ventilation: 2.2 kWh/ (ap yr) + lightening: 0.52 kWh/ (ap yr)
alternative: ventilated manure belt: ventilation: 3.18 kWh/ (ap yr) + lightening: 0.52 kWh/ (ap yr)
Ref for litter based: 0.52 + 2.2 kWh/(ap yr) = 2.72 kWh/(ap yr)</t>
        </r>
      </text>
    </comment>
    <comment ref="D164" authorId="0">
      <text>
        <r>
          <rPr>
            <b/>
            <sz val="9"/>
            <color indexed="81"/>
            <rFont val="Tahoma"/>
            <family val="2"/>
          </rPr>
          <t>Marianne Wesnæs:</t>
        </r>
        <r>
          <rPr>
            <sz val="9"/>
            <color indexed="81"/>
            <rFont val="Tahoma"/>
            <family val="2"/>
          </rPr>
          <t xml:space="preserve">
100-150 MJ per ton manure
Data from DE and NL
Germany, fully slatted floor: 
70 kWh/(ap yr) / 1.84 ton manure per animal place per year = 38 KWh per ton = 137 MJ per ton manure
Data from DE_housing fattening pig_fully slatted.pdf</t>
        </r>
      </text>
    </comment>
    <comment ref="G164" authorId="0">
      <text>
        <r>
          <rPr>
            <b/>
            <sz val="9"/>
            <color indexed="81"/>
            <rFont val="Tahoma"/>
            <family val="2"/>
          </rPr>
          <t>Marianne Wesnæs:</t>
        </r>
        <r>
          <rPr>
            <sz val="9"/>
            <color indexed="81"/>
            <rFont val="Tahoma"/>
            <family val="2"/>
          </rPr>
          <t xml:space="preserve">
 Reference data from German data from BATIS database:
Reference for sows:
DE_housing farrowing_individual_1.pdf
Energy: 60 kWh/(ap yr)
Heat: 180 kWh/(ap yr)
DE_housing mating_servicecenter.pdf
Energy: 60 kWh/(ap yr)
Heat: 160 kWh/(ap yr)
DE_housing waiting sow_fully slatted with lying pen.pdf:
Energy: 60 kWh/(ap yr)
Heat: 160 kWh/(ap yr)
DE_housing waiting sow_fully slatted with lying pen.pdf
Energy: 60 kWh/(ap yr)
Heat: 160 kWh/(ap yr)
</t>
        </r>
      </text>
    </comment>
    <comment ref="D168" authorId="0">
      <text>
        <r>
          <rPr>
            <b/>
            <sz val="9"/>
            <color indexed="81"/>
            <rFont val="Tahoma"/>
            <family val="2"/>
          </rPr>
          <t>Marianne Wesnæs:</t>
        </r>
        <r>
          <rPr>
            <sz val="9"/>
            <color indexed="81"/>
            <rFont val="Tahoma"/>
            <family val="2"/>
          </rPr>
          <t xml:space="preserve">
Data from DE</t>
        </r>
      </text>
    </comment>
    <comment ref="Q168" authorId="0">
      <text>
        <r>
          <rPr>
            <b/>
            <sz val="9"/>
            <color indexed="81"/>
            <rFont val="Tahoma"/>
            <family val="2"/>
          </rPr>
          <t>Marianne Wesnæs:</t>
        </r>
        <r>
          <rPr>
            <sz val="9"/>
            <color indexed="81"/>
            <rFont val="Tahoma"/>
            <family val="2"/>
          </rPr>
          <t xml:space="preserve">
Data from Sweden: Broilers on litter: 
Loading solid manure 0.3 kWh/ tonne, 
spreading 3.2 kWh/ tonne
Total 3.5 kWh / ton
3.5 kWh * 3.6 MJ/kWh = 12.6 MJ
</t>
        </r>
      </text>
    </comment>
    <comment ref="Q175" authorId="0">
      <text>
        <r>
          <rPr>
            <b/>
            <sz val="9"/>
            <color indexed="81"/>
            <rFont val="Tahoma"/>
            <family val="2"/>
          </rPr>
          <t>Marianne Wesnæs:</t>
        </r>
        <r>
          <rPr>
            <sz val="9"/>
            <color indexed="81"/>
            <rFont val="Tahoma"/>
            <family val="2"/>
          </rPr>
          <t xml:space="preserve">
Based on Danish data:
Basis: 1000 broilers  
Ton broiler produced 2,47 t broiler (liwe weight gain)  
Ton manure produced 2,03 t manure (48% DM)  
Relation broiler:manure 1,216749  
The calculations are based on “Normtal for 2011” (Hanne Damgaard Poulsen (ed.)) and Adams excel sheet with the underlying trial results, showing the production period of averagely 39.8 days.    
NB: The DM does not correspond perfectly with the manure composition data.
We should find corresponding data.
</t>
        </r>
      </text>
    </comment>
    <comment ref="Q178" authorId="0">
      <text>
        <r>
          <rPr>
            <b/>
            <sz val="9"/>
            <color indexed="81"/>
            <rFont val="Tahoma"/>
            <family val="2"/>
          </rPr>
          <t>Marianne Wesnæs:</t>
        </r>
        <r>
          <rPr>
            <sz val="9"/>
            <color indexed="81"/>
            <rFont val="Tahoma"/>
            <family val="2"/>
          </rPr>
          <t xml:space="preserve">
Diet formulation based on UK trials
</t>
        </r>
      </text>
    </comment>
  </commentList>
</comments>
</file>

<file path=xl/comments2.xml><?xml version="1.0" encoding="utf-8"?>
<comments xmlns="http://schemas.openxmlformats.org/spreadsheetml/2006/main">
  <authors>
    <author>Marianne Wesnæs</author>
  </authors>
  <commentList>
    <comment ref="J28" authorId="0">
      <text>
        <r>
          <rPr>
            <b/>
            <sz val="9"/>
            <color indexed="81"/>
            <rFont val="Tahoma"/>
            <charset val="1"/>
          </rPr>
          <t>Marianne Wesnæs:</t>
        </r>
        <r>
          <rPr>
            <sz val="9"/>
            <color indexed="81"/>
            <rFont val="Tahoma"/>
            <charset val="1"/>
          </rPr>
          <t xml:space="preserve">
Extra energy consumption: 14 (kWh/animal place per year)
Manure production ex-animal: 1840 [kg per animal place per year]
= Energy per ton manure: 7.6 (kWh/ton manure)</t>
        </r>
      </text>
    </comment>
    <comment ref="K28" authorId="0">
      <text>
        <r>
          <rPr>
            <b/>
            <sz val="9"/>
            <color indexed="81"/>
            <rFont val="Tahoma"/>
            <charset val="1"/>
          </rPr>
          <t>Marianne Wesnæs:</t>
        </r>
        <r>
          <rPr>
            <sz val="9"/>
            <color indexed="81"/>
            <rFont val="Tahoma"/>
            <charset val="1"/>
          </rPr>
          <t xml:space="preserve">
Extra energy consumption: 14 (kWh/animal place per year)
Manure production ex-animal: 1840 [kg per animal place per year]
= Energy per ton manure: 7.6 (kWh/ton manure)</t>
        </r>
      </text>
    </comment>
    <comment ref="L28" authorId="0">
      <text>
        <r>
          <rPr>
            <b/>
            <sz val="9"/>
            <color indexed="81"/>
            <rFont val="Tahoma"/>
            <charset val="1"/>
          </rPr>
          <t>Marianne Wesnæs:</t>
        </r>
        <r>
          <rPr>
            <sz val="9"/>
            <color indexed="81"/>
            <rFont val="Tahoma"/>
            <charset val="1"/>
          </rPr>
          <t xml:space="preserve">
Extra energy consumption: 21(kWh/animal place per year)
Manure production ex-animal: 1840 [kg per animal place per year]
= Energy per ton manure: 11.4 (kWh/ton manure)</t>
        </r>
      </text>
    </comment>
    <comment ref="M28" authorId="0">
      <text>
        <r>
          <rPr>
            <b/>
            <sz val="9"/>
            <color indexed="81"/>
            <rFont val="Tahoma"/>
            <charset val="1"/>
          </rPr>
          <t>Marianne Wesnæs:</t>
        </r>
        <r>
          <rPr>
            <sz val="9"/>
            <color indexed="81"/>
            <rFont val="Tahoma"/>
            <charset val="1"/>
          </rPr>
          <t xml:space="preserve">
Extra energy consumption: 42 (kWh/animal place per year)
Manure production ex-animal: 1840 [kg per animal place per year]
= Energy per ton manure: 22.8 (kWh/ton manure)</t>
        </r>
      </text>
    </comment>
    <comment ref="N28" authorId="0">
      <text>
        <r>
          <rPr>
            <b/>
            <sz val="9"/>
            <color indexed="81"/>
            <rFont val="Tahoma"/>
            <charset val="1"/>
          </rPr>
          <t>Marianne Wesnæs:</t>
        </r>
        <r>
          <rPr>
            <sz val="9"/>
            <color indexed="81"/>
            <rFont val="Tahoma"/>
            <charset val="1"/>
          </rPr>
          <t xml:space="preserve">
Extra energy consumption: 63 (kWh/animal place per year)
Manure production ex-animal: 1840 [kg per animal place per year]
= Energy per ton manure: 34.2 (kWh/ton manure)</t>
        </r>
      </text>
    </comment>
    <comment ref="O28" authorId="0">
      <text>
        <r>
          <rPr>
            <b/>
            <sz val="9"/>
            <color indexed="81"/>
            <rFont val="Tahoma"/>
            <charset val="1"/>
          </rPr>
          <t>Marianne Wesnæs:</t>
        </r>
        <r>
          <rPr>
            <sz val="9"/>
            <color indexed="81"/>
            <rFont val="Tahoma"/>
            <charset val="1"/>
          </rPr>
          <t xml:space="preserve">
Extra energy consumption: 11 (kWh/animal place per year)
Manure production ex-animal: 1840 [kg per animal place per year]
= Energy per ton manure: 6.0 (kWh/ton manure)</t>
        </r>
      </text>
    </comment>
    <comment ref="P28" authorId="0">
      <text>
        <r>
          <rPr>
            <b/>
            <sz val="9"/>
            <color indexed="81"/>
            <rFont val="Tahoma"/>
            <charset val="1"/>
          </rPr>
          <t>Marianne Wesnæs:</t>
        </r>
        <r>
          <rPr>
            <sz val="9"/>
            <color indexed="81"/>
            <rFont val="Tahoma"/>
            <charset val="1"/>
          </rPr>
          <t xml:space="preserve">
Extra energy consumption: 21 (kWh/animal place per year)
Manure production ex-animal: 1840 [kg per animal place per year]
= Energy per ton manure: 11.4 (kWh/ton manure)</t>
        </r>
      </text>
    </comment>
    <comment ref="Q28" authorId="0">
      <text>
        <r>
          <rPr>
            <b/>
            <sz val="9"/>
            <color indexed="81"/>
            <rFont val="Tahoma"/>
            <charset val="1"/>
          </rPr>
          <t>Marianne Wesnæs:</t>
        </r>
        <r>
          <rPr>
            <sz val="9"/>
            <color indexed="81"/>
            <rFont val="Tahoma"/>
            <charset val="1"/>
          </rPr>
          <t xml:space="preserve">
Extra energy consumption: 32 (kWh/animal place per year)
Manure production ex-animal: 1840 [kg per animal place per year]
= Energy per ton manure: 17.4 (kWh/ton manure)</t>
        </r>
      </text>
    </comment>
    <comment ref="U28" authorId="0">
      <text>
        <r>
          <rPr>
            <b/>
            <sz val="9"/>
            <color indexed="81"/>
            <rFont val="Tahoma"/>
            <charset val="1"/>
          </rPr>
          <t>Marianne Wesnæs:</t>
        </r>
        <r>
          <rPr>
            <sz val="9"/>
            <color indexed="81"/>
            <rFont val="Tahoma"/>
            <charset val="1"/>
          </rPr>
          <t xml:space="preserve">
Extra energy consumption: 21.4 (kWh/animal place per year)
Manure production ex-animal: 1840 [kg per animal place per year]
= Energy per ton manure: 11.6 (kWh/ton manure)</t>
        </r>
      </text>
    </comment>
    <comment ref="V28" authorId="0">
      <text>
        <r>
          <rPr>
            <b/>
            <sz val="9"/>
            <color indexed="81"/>
            <rFont val="Tahoma"/>
            <charset val="1"/>
          </rPr>
          <t>Marianne Wesnæs:</t>
        </r>
        <r>
          <rPr>
            <sz val="9"/>
            <color indexed="81"/>
            <rFont val="Tahoma"/>
            <charset val="1"/>
          </rPr>
          <t xml:space="preserve">
Extra energy consumption: 44 (kWh/animal place per year)
Manure production ex-animal: 1840 [kg per animal place per year]
= Energy per ton manure: 23.9 (kWh/ton manure)</t>
        </r>
      </text>
    </comment>
    <comment ref="W28" authorId="0">
      <text>
        <r>
          <rPr>
            <b/>
            <sz val="9"/>
            <color indexed="81"/>
            <rFont val="Tahoma"/>
            <charset val="1"/>
          </rPr>
          <t>Marianne Wesnæs:</t>
        </r>
        <r>
          <rPr>
            <sz val="9"/>
            <color indexed="81"/>
            <rFont val="Tahoma"/>
            <charset val="1"/>
          </rPr>
          <t xml:space="preserve">
Extra energy consumption: 35 (kWh/animal place per year)
Manure production ex-animal: 1840 [kg per animal place per year]
= Energy per ton manure: 19.0 (kWh/ton manure)</t>
        </r>
      </text>
    </comment>
    <comment ref="AA28" authorId="0">
      <text>
        <r>
          <rPr>
            <b/>
            <sz val="9"/>
            <color indexed="81"/>
            <rFont val="Tahoma"/>
            <charset val="1"/>
          </rPr>
          <t>Marianne Wesnæs:</t>
        </r>
        <r>
          <rPr>
            <sz val="9"/>
            <color indexed="81"/>
            <rFont val="Tahoma"/>
            <charset val="1"/>
          </rPr>
          <t xml:space="preserve">
Extra energy consumption: 34.8 (kWh/animal place per year)
Manure production ex-animal: 1840 [kg per animal place per year]
= Energy per ton manure: 18.9 (kWh/ton manure)</t>
        </r>
      </text>
    </comment>
    <comment ref="AB28" authorId="0">
      <text>
        <r>
          <rPr>
            <b/>
            <sz val="9"/>
            <color indexed="81"/>
            <rFont val="Tahoma"/>
            <charset val="1"/>
          </rPr>
          <t>Marianne Wesnæs:</t>
        </r>
        <r>
          <rPr>
            <sz val="9"/>
            <color indexed="81"/>
            <rFont val="Tahoma"/>
            <charset val="1"/>
          </rPr>
          <t xml:space="preserve">
Extra energy consumption: 34.8 (kWh/animal place per year)
Manure production ex-animal: 1840 [kg per animal place per year]
= Energy per ton manure: 18.9 (kWh/ton manure)</t>
        </r>
      </text>
    </comment>
    <comment ref="AC28" authorId="0">
      <text>
        <r>
          <rPr>
            <b/>
            <sz val="9"/>
            <color indexed="81"/>
            <rFont val="Tahoma"/>
            <charset val="1"/>
          </rPr>
          <t>Marianne Wesnæs:</t>
        </r>
        <r>
          <rPr>
            <sz val="9"/>
            <color indexed="81"/>
            <rFont val="Tahoma"/>
            <charset val="1"/>
          </rPr>
          <t xml:space="preserve">
Extra energy consumption: 34.8 (kWh/animal place per year)
Manure production ex-animal: 1840 [kg per animal place per year]
= Energy per ton manure: 18.9 (kWh/ton manure)</t>
        </r>
      </text>
    </comment>
    <comment ref="AD28" authorId="0">
      <text>
        <r>
          <rPr>
            <b/>
            <sz val="9"/>
            <color indexed="81"/>
            <rFont val="Tahoma"/>
            <charset val="1"/>
          </rPr>
          <t>Marianne Wesnæs:</t>
        </r>
        <r>
          <rPr>
            <sz val="9"/>
            <color indexed="81"/>
            <rFont val="Tahoma"/>
            <charset val="1"/>
          </rPr>
          <t xml:space="preserve">
Extra energy consumption: 34.8 (kWh/animal place per year)
Manure production ex-animal: 1840 [kg per animal place per year]
= Energy per ton manure: 18.9 (kWh/ton manure)</t>
        </r>
      </text>
    </comment>
    <comment ref="AE28" authorId="0">
      <text>
        <r>
          <rPr>
            <b/>
            <sz val="9"/>
            <color indexed="81"/>
            <rFont val="Tahoma"/>
            <charset val="1"/>
          </rPr>
          <t>Marianne Wesnæs:</t>
        </r>
        <r>
          <rPr>
            <sz val="9"/>
            <color indexed="81"/>
            <rFont val="Tahoma"/>
            <charset val="1"/>
          </rPr>
          <t xml:space="preserve">
Extra energy consumption: 34.8 (kWh/animal place per year)
Manure production ex-animal: 1840 [kg per animal place per year]
= Energy per ton manure: 18.9 (kWh/ton manure)</t>
        </r>
      </text>
    </comment>
    <comment ref="AF28" authorId="0">
      <text>
        <r>
          <rPr>
            <b/>
            <sz val="9"/>
            <color indexed="81"/>
            <rFont val="Tahoma"/>
            <charset val="1"/>
          </rPr>
          <t>Marianne Wesnæs:</t>
        </r>
        <r>
          <rPr>
            <sz val="9"/>
            <color indexed="81"/>
            <rFont val="Tahoma"/>
            <charset val="1"/>
          </rPr>
          <t xml:space="preserve">
Extra energy consumption: 55 (kWh/animal place per year)
Manure production ex-animal: 1840 [kg per animal place per year]
= Energy per ton manure: 29.9 (kWh/ton manure)</t>
        </r>
      </text>
    </comment>
    <comment ref="AG28" authorId="0">
      <text>
        <r>
          <rPr>
            <b/>
            <sz val="9"/>
            <color indexed="81"/>
            <rFont val="Tahoma"/>
            <charset val="1"/>
          </rPr>
          <t>Marianne Wesnæs:</t>
        </r>
        <r>
          <rPr>
            <sz val="9"/>
            <color indexed="81"/>
            <rFont val="Tahoma"/>
            <charset val="1"/>
          </rPr>
          <t xml:space="preserve">
Extra energy consumption: 34 (kWh/animal place per year)
Manure production ex-animal: 1840 [kg per animal place per year]
= Energy per ton manure: 18.5 (kWh/ton manure)</t>
        </r>
      </text>
    </comment>
    <comment ref="AH28" authorId="0">
      <text>
        <r>
          <rPr>
            <b/>
            <sz val="9"/>
            <color indexed="81"/>
            <rFont val="Tahoma"/>
            <charset val="1"/>
          </rPr>
          <t>Marianne Wesnæs:</t>
        </r>
        <r>
          <rPr>
            <sz val="9"/>
            <color indexed="81"/>
            <rFont val="Tahoma"/>
            <charset val="1"/>
          </rPr>
          <t xml:space="preserve">
Extra energy consumption: 35.33 (kWh/animal place per year)
Manure production ex-animal: 1840 [kg per animal place per year]
= Energy per ton manure: 19.2 (kWh/ton manure)</t>
        </r>
      </text>
    </comment>
    <comment ref="AI28" authorId="0">
      <text>
        <r>
          <rPr>
            <b/>
            <sz val="9"/>
            <color indexed="81"/>
            <rFont val="Tahoma"/>
            <charset val="1"/>
          </rPr>
          <t>Marianne Wesnæs:</t>
        </r>
        <r>
          <rPr>
            <sz val="9"/>
            <color indexed="81"/>
            <rFont val="Tahoma"/>
            <charset val="1"/>
          </rPr>
          <t xml:space="preserve">
Extra energy consumption: 35.33 (kWh/animal place per year)
Manure production ex-animal: 1840 [kg per animal place per year]
= Energy per ton manure: 19.2 (kWh/ton manure)</t>
        </r>
      </text>
    </comment>
    <comment ref="AX28" authorId="0">
      <text>
        <r>
          <rPr>
            <b/>
            <sz val="9"/>
            <color indexed="81"/>
            <rFont val="Tahoma"/>
            <charset val="1"/>
          </rPr>
          <t>Marianne Wesnæs:</t>
        </r>
        <r>
          <rPr>
            <sz val="9"/>
            <color indexed="81"/>
            <rFont val="Tahoma"/>
            <charset val="1"/>
          </rPr>
          <t xml:space="preserve">
Extra energy consumption: 0.78 (kWh/animal place per year)
Manure production ex-animal: 36 [kg per animal place per year]
= Energy per ton manure: 0.0217 (kWh/ton manure)</t>
        </r>
      </text>
    </comment>
  </commentList>
</comments>
</file>

<file path=xl/comments3.xml><?xml version="1.0" encoding="utf-8"?>
<comments xmlns="http://schemas.openxmlformats.org/spreadsheetml/2006/main">
  <authors>
    <author>Marianne Wesnæs</author>
  </authors>
  <commentList>
    <comment ref="G28" authorId="0">
      <text>
        <r>
          <rPr>
            <b/>
            <sz val="9"/>
            <color indexed="81"/>
            <rFont val="Tahoma"/>
            <family val="2"/>
          </rPr>
          <t>Marianne Wesnæs:</t>
        </r>
        <r>
          <rPr>
            <sz val="9"/>
            <color indexed="81"/>
            <rFont val="Tahoma"/>
            <family val="2"/>
          </rPr>
          <t xml:space="preserve">
7.5 kWh extra energy per ton slurry compared to spreading with band laying system according to http://agro-technology-atlas.eu/techdescs.aspx?techgroup=1000</t>
        </r>
      </text>
    </comment>
    <comment ref="N28" authorId="0">
      <text>
        <r>
          <rPr>
            <b/>
            <sz val="9"/>
            <color indexed="81"/>
            <rFont val="Tahoma"/>
            <family val="2"/>
          </rPr>
          <t>Marianne Wesnæs:</t>
        </r>
        <r>
          <rPr>
            <sz val="9"/>
            <color indexed="81"/>
            <rFont val="Tahoma"/>
            <family val="2"/>
          </rPr>
          <t xml:space="preserve">
7.5 kWh extra energy per ton slurry compared to spreading with band laying system according to http://agro-technology-atlas.eu/techdescs.aspx?techgroup=1000</t>
        </r>
      </text>
    </comment>
    <comment ref="G30" authorId="0">
      <text>
        <r>
          <rPr>
            <b/>
            <sz val="9"/>
            <color indexed="81"/>
            <rFont val="Tahoma"/>
            <family val="2"/>
          </rPr>
          <t>Marianne Wesnæs:</t>
        </r>
        <r>
          <rPr>
            <sz val="9"/>
            <color indexed="81"/>
            <rFont val="Tahoma"/>
            <family val="2"/>
          </rPr>
          <t xml:space="preserve">
1.5 kg H2SO4 (96%) per ton slurry according to http://agro-technology-atlas.eu/techdescs.aspx?techgroup=1000</t>
        </r>
      </text>
    </comment>
    <comment ref="N30" authorId="0">
      <text>
        <r>
          <rPr>
            <b/>
            <sz val="9"/>
            <color indexed="81"/>
            <rFont val="Tahoma"/>
            <family val="2"/>
          </rPr>
          <t>Marianne Wesnæs:</t>
        </r>
        <r>
          <rPr>
            <sz val="9"/>
            <color indexed="81"/>
            <rFont val="Tahoma"/>
            <family val="2"/>
          </rPr>
          <t xml:space="preserve">
1.5 kg H2SO4 (96%) per ton slurry according to http://agro-technology-atlas.eu/techdescs.aspx?techgroup=1000</t>
        </r>
      </text>
    </comment>
    <comment ref="G31" authorId="0">
      <text>
        <r>
          <rPr>
            <b/>
            <sz val="9"/>
            <color indexed="81"/>
            <rFont val="Tahoma"/>
            <family val="2"/>
          </rPr>
          <t>Marianne Wesnæs:</t>
        </r>
        <r>
          <rPr>
            <sz val="9"/>
            <color indexed="81"/>
            <rFont val="Tahoma"/>
            <family val="2"/>
          </rPr>
          <t xml:space="preserve">
1.4 kg lime per kg H2SO4 according to http://agro-technology-atlas.eu/techdescs.aspx?techgroup=1000
</t>
        </r>
      </text>
    </comment>
    <comment ref="H31" authorId="0">
      <text>
        <r>
          <rPr>
            <b/>
            <sz val="9"/>
            <color indexed="81"/>
            <rFont val="Tahoma"/>
            <family val="2"/>
          </rPr>
          <t>Marianne Wesnæs:</t>
        </r>
        <r>
          <rPr>
            <sz val="9"/>
            <color indexed="81"/>
            <rFont val="Tahoma"/>
            <family val="2"/>
          </rPr>
          <t xml:space="preserve">
1.4 kg lime per kg H2SO4 according to http://agro-technology-atlas.eu/techdescs.aspx?techgroup=1000</t>
        </r>
      </text>
    </comment>
    <comment ref="N31" authorId="0">
      <text>
        <r>
          <rPr>
            <b/>
            <sz val="9"/>
            <color indexed="81"/>
            <rFont val="Tahoma"/>
            <family val="2"/>
          </rPr>
          <t>Marianne Wesnæs:</t>
        </r>
        <r>
          <rPr>
            <sz val="9"/>
            <color indexed="81"/>
            <rFont val="Tahoma"/>
            <family val="2"/>
          </rPr>
          <t xml:space="preserve">
1.4 kg lime per kg H2SO4 according to http://agro-technology-atlas.eu/techdescs.aspx?techgroup=1000
</t>
        </r>
      </text>
    </comment>
    <comment ref="O31" authorId="0">
      <text>
        <r>
          <rPr>
            <b/>
            <sz val="9"/>
            <color indexed="81"/>
            <rFont val="Tahoma"/>
            <family val="2"/>
          </rPr>
          <t>Marianne Wesnæs:</t>
        </r>
        <r>
          <rPr>
            <sz val="9"/>
            <color indexed="81"/>
            <rFont val="Tahoma"/>
            <family val="2"/>
          </rPr>
          <t xml:space="preserve">
1.4 kg lime per kg H2SO4 according to http://agro-technology-atlas.eu/techdescs.aspx?techgroup=1000</t>
        </r>
      </text>
    </comment>
  </commentList>
</comments>
</file>

<file path=xl/comments4.xml><?xml version="1.0" encoding="utf-8"?>
<comments xmlns="http://schemas.openxmlformats.org/spreadsheetml/2006/main">
  <authors>
    <author>Lorie Hamelin</author>
  </authors>
  <commentList>
    <comment ref="B13" authorId="0">
      <text>
        <r>
          <rPr>
            <b/>
            <sz val="8"/>
            <color indexed="81"/>
            <rFont val="Tahoma"/>
            <family val="2"/>
          </rPr>
          <t>Lorie Hamelin:</t>
        </r>
        <r>
          <rPr>
            <sz val="8"/>
            <color indexed="81"/>
            <rFont val="Tahoma"/>
            <family val="2"/>
          </rPr>
          <t xml:space="preserve">
all data from Møller et al. 2002. Based on wheat straw, as it represents ca. 45 of straw used for bedding</t>
        </r>
      </text>
    </comment>
  </commentList>
</comments>
</file>

<file path=xl/comments5.xml><?xml version="1.0" encoding="utf-8"?>
<comments xmlns="http://schemas.openxmlformats.org/spreadsheetml/2006/main">
  <authors>
    <author>Lorie Hamelin</author>
  </authors>
  <commentList>
    <comment ref="O5" authorId="0">
      <text>
        <r>
          <rPr>
            <b/>
            <sz val="9"/>
            <color indexed="81"/>
            <rFont val="Tahoma"/>
            <family val="2"/>
          </rPr>
          <t>Lorie Hamelin:</t>
        </r>
        <r>
          <rPr>
            <sz val="9"/>
            <color indexed="81"/>
            <rFont val="Tahoma"/>
            <family val="2"/>
          </rPr>
          <t xml:space="preserve">
Tonini et al. 2012</t>
        </r>
      </text>
    </comment>
    <comment ref="O7" authorId="0">
      <text>
        <r>
          <rPr>
            <b/>
            <sz val="9"/>
            <color indexed="81"/>
            <rFont val="Tahoma"/>
            <family val="2"/>
          </rPr>
          <t>Lorie Hamelin:</t>
        </r>
        <r>
          <rPr>
            <sz val="9"/>
            <color indexed="81"/>
            <rFont val="Tahoma"/>
            <family val="2"/>
          </rPr>
          <t xml:space="preserve">
De Vries et. Al. 2012</t>
        </r>
      </text>
    </comment>
    <comment ref="O22" authorId="0">
      <text>
        <r>
          <rPr>
            <b/>
            <sz val="9"/>
            <color indexed="81"/>
            <rFont val="Tahoma"/>
            <family val="2"/>
          </rPr>
          <t>Lorie Hamelin:</t>
        </r>
        <r>
          <rPr>
            <sz val="9"/>
            <color indexed="81"/>
            <rFont val="Tahoma"/>
            <family val="2"/>
          </rPr>
          <t xml:space="preserve">
Tonini et al. 2012</t>
        </r>
      </text>
    </comment>
    <comment ref="O24" authorId="0">
      <text>
        <r>
          <rPr>
            <b/>
            <sz val="9"/>
            <color indexed="81"/>
            <rFont val="Tahoma"/>
            <family val="2"/>
          </rPr>
          <t>Lorie Hamelin:</t>
        </r>
        <r>
          <rPr>
            <sz val="9"/>
            <color indexed="81"/>
            <rFont val="Tahoma"/>
            <family val="2"/>
          </rPr>
          <t xml:space="preserve">
De Vries et. Al. 2012</t>
        </r>
      </text>
    </comment>
    <comment ref="O39" authorId="0">
      <text>
        <r>
          <rPr>
            <b/>
            <sz val="9"/>
            <color indexed="81"/>
            <rFont val="Tahoma"/>
            <family val="2"/>
          </rPr>
          <t>Lorie Hamelin:</t>
        </r>
        <r>
          <rPr>
            <sz val="9"/>
            <color indexed="81"/>
            <rFont val="Tahoma"/>
            <family val="2"/>
          </rPr>
          <t xml:space="preserve">
Tonini et al. 2012</t>
        </r>
      </text>
    </comment>
    <comment ref="O41" authorId="0">
      <text>
        <r>
          <rPr>
            <b/>
            <sz val="9"/>
            <color indexed="81"/>
            <rFont val="Tahoma"/>
            <family val="2"/>
          </rPr>
          <t>Lorie Hamelin:</t>
        </r>
        <r>
          <rPr>
            <sz val="9"/>
            <color indexed="81"/>
            <rFont val="Tahoma"/>
            <family val="2"/>
          </rPr>
          <t xml:space="preserve">
De Vries et. Al. 2012</t>
        </r>
      </text>
    </comment>
  </commentList>
</comments>
</file>

<file path=xl/sharedStrings.xml><?xml version="1.0" encoding="utf-8"?>
<sst xmlns="http://schemas.openxmlformats.org/spreadsheetml/2006/main" count="3688" uniqueCount="1223">
  <si>
    <t>Total mass</t>
  </si>
  <si>
    <t>Dry Matter</t>
  </si>
  <si>
    <t>Unit</t>
  </si>
  <si>
    <t>kg</t>
  </si>
  <si>
    <t>Ash content</t>
  </si>
  <si>
    <t>DM</t>
  </si>
  <si>
    <t>VS</t>
  </si>
  <si>
    <t>Volatile Solids</t>
  </si>
  <si>
    <t>- easily degradable VS</t>
  </si>
  <si>
    <t>- heavily degradable VS</t>
  </si>
  <si>
    <t>Total-N</t>
  </si>
  <si>
    <t>T-N</t>
  </si>
  <si>
    <t>Ammonia + ammonium N</t>
  </si>
  <si>
    <t>TAN</t>
  </si>
  <si>
    <t>P</t>
  </si>
  <si>
    <t>Phosphorus</t>
  </si>
  <si>
    <t>Potassium</t>
  </si>
  <si>
    <t>K</t>
  </si>
  <si>
    <t>Copper</t>
  </si>
  <si>
    <t>Cu</t>
  </si>
  <si>
    <t>Zinc</t>
  </si>
  <si>
    <t>Zn</t>
  </si>
  <si>
    <t>Density</t>
  </si>
  <si>
    <t>pH</t>
  </si>
  <si>
    <t>Housing</t>
  </si>
  <si>
    <t>Emission factor</t>
  </si>
  <si>
    <t>Min</t>
  </si>
  <si>
    <t>Max</t>
  </si>
  <si>
    <t>Total carbon</t>
  </si>
  <si>
    <t>T-C</t>
  </si>
  <si>
    <t>Emission</t>
  </si>
  <si>
    <t>kg/ton manure</t>
  </si>
  <si>
    <t xml:space="preserve"> </t>
  </si>
  <si>
    <t>VS, as a % of TS</t>
  </si>
  <si>
    <t>Parameter</t>
  </si>
  <si>
    <t>Name</t>
  </si>
  <si>
    <t>Value</t>
  </si>
  <si>
    <t>C:DM ratio</t>
  </si>
  <si>
    <t>(Triolo et al., 2011; Møller et al, 2004)</t>
  </si>
  <si>
    <t>(Knudsen &amp; Birkmose, 2005)</t>
  </si>
  <si>
    <t>C_dm</t>
  </si>
  <si>
    <t>Source</t>
  </si>
  <si>
    <t>Zn:DM ratio</t>
  </si>
  <si>
    <t>Cu:DM ratio</t>
  </si>
  <si>
    <t>Zn_dm</t>
  </si>
  <si>
    <t>Cu_dm</t>
  </si>
  <si>
    <t>N in straw</t>
  </si>
  <si>
    <t>kg N/kgDM</t>
  </si>
  <si>
    <t>P in straw</t>
  </si>
  <si>
    <t>kg P/kgDM</t>
  </si>
  <si>
    <t>K in straw</t>
  </si>
  <si>
    <t>kg K/kgDM</t>
  </si>
  <si>
    <t>DM in straw</t>
  </si>
  <si>
    <t>kg DM/kg straw</t>
  </si>
  <si>
    <t>Parameters for straw</t>
  </si>
  <si>
    <t>added water in-house</t>
  </si>
  <si>
    <t>ton/ton manure ab-animal</t>
  </si>
  <si>
    <t>straw added in-house</t>
  </si>
  <si>
    <t>kg straw/ton manure ab-animal</t>
  </si>
  <si>
    <t>(goal seek, see detailed spreadsheet)</t>
  </si>
  <si>
    <t>(DJF data)</t>
  </si>
  <si>
    <t>added rain water at storage</t>
  </si>
  <si>
    <t>(adjusted DJF data)</t>
  </si>
  <si>
    <t>Ab-anim</t>
  </si>
  <si>
    <t>Ab-hous</t>
  </si>
  <si>
    <t>Ab-sto</t>
  </si>
  <si>
    <t>manure mass before water addition (ton/animal)</t>
  </si>
  <si>
    <t>water added (t/animal)</t>
  </si>
  <si>
    <t>(solved by goal seek for water in-house, and water at storage fixed to 0.015 m3 rain/ton manure ab-sto)</t>
  </si>
  <si>
    <t>straw added (t/animal)</t>
  </si>
  <si>
    <t>manure mass final (ton/animal)</t>
  </si>
  <si>
    <t>Manure mass (t/animal)</t>
  </si>
  <si>
    <t>ton manure ab-housing per ton manure ab-animal</t>
  </si>
  <si>
    <t xml:space="preserve">ton manure ab-storage per ton manure ab-housing </t>
  </si>
  <si>
    <t>ton manure ab-storage per ton manure ab-animal</t>
  </si>
  <si>
    <t>Used</t>
  </si>
  <si>
    <t>NO-N</t>
  </si>
  <si>
    <t>N2-N</t>
  </si>
  <si>
    <t>(no losses)</t>
  </si>
  <si>
    <t>Comment</t>
  </si>
  <si>
    <r>
      <t>kg/m</t>
    </r>
    <r>
      <rPr>
        <vertAlign val="superscript"/>
        <sz val="10"/>
        <color theme="1"/>
        <rFont val="Calibri"/>
        <family val="2"/>
        <scheme val="minor"/>
      </rPr>
      <t>3</t>
    </r>
  </si>
  <si>
    <r>
      <t>NH</t>
    </r>
    <r>
      <rPr>
        <vertAlign val="subscript"/>
        <sz val="10"/>
        <color theme="1"/>
        <rFont val="Calibri"/>
        <family val="2"/>
        <scheme val="minor"/>
      </rPr>
      <t>3</t>
    </r>
    <r>
      <rPr>
        <sz val="10"/>
        <color theme="1"/>
        <rFont val="Calibri"/>
        <family val="2"/>
        <scheme val="minor"/>
      </rPr>
      <t>-N</t>
    </r>
  </si>
  <si>
    <r>
      <t>CH</t>
    </r>
    <r>
      <rPr>
        <vertAlign val="subscript"/>
        <sz val="10"/>
        <color theme="1"/>
        <rFont val="Calibri"/>
        <family val="2"/>
        <scheme val="minor"/>
      </rPr>
      <t>4</t>
    </r>
  </si>
  <si>
    <r>
      <t>N</t>
    </r>
    <r>
      <rPr>
        <vertAlign val="subscript"/>
        <sz val="10"/>
        <color theme="1"/>
        <rFont val="Calibri"/>
        <family val="2"/>
        <scheme val="minor"/>
      </rPr>
      <t>2</t>
    </r>
    <r>
      <rPr>
        <sz val="10"/>
        <color theme="1"/>
        <rFont val="Calibri"/>
        <family val="2"/>
        <scheme val="minor"/>
      </rPr>
      <t>O-N</t>
    </r>
  </si>
  <si>
    <t>Overall C loss</t>
  </si>
  <si>
    <t>Same absolute loss as DM</t>
  </si>
  <si>
    <t>(no loss)</t>
  </si>
  <si>
    <t>Added straw in house</t>
  </si>
  <si>
    <t>N in added straw</t>
  </si>
  <si>
    <t>P in added straw</t>
  </si>
  <si>
    <t>K in added straw</t>
  </si>
  <si>
    <t>kg/ton manure ab-animal</t>
  </si>
  <si>
    <t>kg/kg N</t>
  </si>
  <si>
    <t>kg/kg N ab-animal</t>
  </si>
  <si>
    <t>N leaching (total N)</t>
  </si>
  <si>
    <t>P leaching (total P)</t>
  </si>
  <si>
    <t>kg/kg P</t>
  </si>
  <si>
    <t>Addition from straw</t>
  </si>
  <si>
    <t>Emission loss + straw addition</t>
  </si>
  <si>
    <t>N2O-N (indirect, from volatilization)</t>
  </si>
  <si>
    <t>N2O-N (indirect, from leaching)</t>
  </si>
  <si>
    <t>kg/(kg NH3-N + Nox-N)</t>
  </si>
  <si>
    <t>kg/kg N leaching</t>
  </si>
  <si>
    <t>Not relevant here</t>
  </si>
  <si>
    <t>Mass balance water and straw</t>
  </si>
  <si>
    <t xml:space="preserve">Calculation: </t>
  </si>
  <si>
    <t>Analyze</t>
  </si>
  <si>
    <t xml:space="preserve">Results: </t>
  </si>
  <si>
    <t>Inventory</t>
  </si>
  <si>
    <t xml:space="preserve">Product: </t>
  </si>
  <si>
    <t>1 kg Calcium ammonium nitrate, as N, at regional storehouse (with update for nitric acid) (of project dLUC_version2-with coal-07.12.2011_Coal (FD))</t>
  </si>
  <si>
    <t xml:space="preserve">Method: </t>
  </si>
  <si>
    <t>EDIP 2003 for Slurry Project V1.01 / Default</t>
  </si>
  <si>
    <t xml:space="preserve">Indicator: </t>
  </si>
  <si>
    <t>Characterization</t>
  </si>
  <si>
    <t xml:space="preserve">Unit: </t>
  </si>
  <si>
    <t>kg CO2 eq</t>
  </si>
  <si>
    <t xml:space="preserve">Skip unused: </t>
  </si>
  <si>
    <t>Yes</t>
  </si>
  <si>
    <t xml:space="preserve">Category: </t>
  </si>
  <si>
    <t>Global warming 100a</t>
  </si>
  <si>
    <t xml:space="preserve">Cut-off: </t>
  </si>
  <si>
    <t xml:space="preserve">Exclude infrastructure processes: </t>
  </si>
  <si>
    <t>No</t>
  </si>
  <si>
    <t xml:space="preserve">Exclude long-term emissions: </t>
  </si>
  <si>
    <t xml:space="preserve">Sorted on item: </t>
  </si>
  <si>
    <t>Total</t>
  </si>
  <si>
    <t xml:space="preserve">Sort order: </t>
  </si>
  <si>
    <t>Descending</t>
  </si>
  <si>
    <t>Substance</t>
  </si>
  <si>
    <t>Compartment</t>
  </si>
  <si>
    <t>Calcium ammonium nitrate, as N, at regional storehouse (with update for nitric acid)</t>
  </si>
  <si>
    <t>Transport, barge/RER U</t>
  </si>
  <si>
    <t>Transport, freight, rail/RER U</t>
  </si>
  <si>
    <t>Transport, lorry &gt;16t, fleet average/RER U</t>
  </si>
  <si>
    <t>Ammonia, steam reforming, liquid, at plant/RER U</t>
  </si>
  <si>
    <t>Nitric acid, 50% in H2O, at plant/RER U - corrected for N2O (update)</t>
  </si>
  <si>
    <t>Limestone, milled, loose, at plant/CH U</t>
  </si>
  <si>
    <t>Chemical plant, organics/RER/I U</t>
  </si>
  <si>
    <t>-</t>
  </si>
  <si>
    <t>Dinitrogen monoxide</t>
  </si>
  <si>
    <t>Air</t>
  </si>
  <si>
    <t>x</t>
  </si>
  <si>
    <t>Carbon dioxide, fossil</t>
  </si>
  <si>
    <t>Methane, fossil</t>
  </si>
  <si>
    <t>Carbon dioxide, biogenic</t>
  </si>
  <si>
    <t>Carbon monoxide, fossil</t>
  </si>
  <si>
    <t>Methane, tetrafluoro-, CFC-14</t>
  </si>
  <si>
    <t>NMVOC, non-methane volatile organic compounds, unspecified origin</t>
  </si>
  <si>
    <t>Ethane, hexafluoro-, HFC-116</t>
  </si>
  <si>
    <t>Sulfur hexafluoride</t>
  </si>
  <si>
    <t>Carbon monoxide, biogenic</t>
  </si>
  <si>
    <t>Ethane</t>
  </si>
  <si>
    <t>Methane, biogenic</t>
  </si>
  <si>
    <t>Methane, chlorodifluoro-, HCFC-22</t>
  </si>
  <si>
    <t>Propane</t>
  </si>
  <si>
    <t>Pentane</t>
  </si>
  <si>
    <t>Butane</t>
  </si>
  <si>
    <t>Hydrocarbons, aliphatic, alkanes, unspecified</t>
  </si>
  <si>
    <t>Methane, bromotrifluoro-, Halon 1301</t>
  </si>
  <si>
    <t>Methanol</t>
  </si>
  <si>
    <t>Methane, bromochlorodifluoro-, Halon 1211</t>
  </si>
  <si>
    <t>Benzene</t>
  </si>
  <si>
    <t>Carbon dioxide, land transformation</t>
  </si>
  <si>
    <t>Ethane, 1,2-dichloro-1,1,2,2-tetrafluoro-, CFC-114</t>
  </si>
  <si>
    <t>Hexane</t>
  </si>
  <si>
    <t>Formaldehyde</t>
  </si>
  <si>
    <t>Hydrocarbons, aromatic</t>
  </si>
  <si>
    <t>Toluene</t>
  </si>
  <si>
    <t>Acetic acid</t>
  </si>
  <si>
    <t>Heptane</t>
  </si>
  <si>
    <t>Xylene</t>
  </si>
  <si>
    <t>Methane, dichlorodifluoro-, CFC-12</t>
  </si>
  <si>
    <t>Ethene</t>
  </si>
  <si>
    <t>Acetone</t>
  </si>
  <si>
    <t>Ethanol</t>
  </si>
  <si>
    <t>Acetaldehyde</t>
  </si>
  <si>
    <t>Methane, trifluoro-, HFC-23</t>
  </si>
  <si>
    <t>Propene</t>
  </si>
  <si>
    <t>Hydrocarbons, aliphatic, unsaturated</t>
  </si>
  <si>
    <t>Methane, tetrachloro-, CFC-10</t>
  </si>
  <si>
    <t>PAH, polycyclic aromatic hydrocarbons</t>
  </si>
  <si>
    <t>Butene</t>
  </si>
  <si>
    <t>Benzene, ethyl-</t>
  </si>
  <si>
    <t>Ethane, 1,1,2-trichloro-1,2,2-trifluoro-, CFC-113</t>
  </si>
  <si>
    <t>Propionic acid</t>
  </si>
  <si>
    <t>Ethane, 1,1,1,2-tetrafluoro-, HFC-134a</t>
  </si>
  <si>
    <t>Ethyne</t>
  </si>
  <si>
    <t>Cumene</t>
  </si>
  <si>
    <t>Monoethanolamine</t>
  </si>
  <si>
    <t>Phenol</t>
  </si>
  <si>
    <t>Chloroform</t>
  </si>
  <si>
    <t>Ethane, 1,2-dichloro-</t>
  </si>
  <si>
    <t>Hydrocarbons, chlorinated</t>
  </si>
  <si>
    <t>Propylene oxide</t>
  </si>
  <si>
    <t>Ethene, chloro-</t>
  </si>
  <si>
    <t>Benzo(a)pyrene</t>
  </si>
  <si>
    <t>m-Xylene</t>
  </si>
  <si>
    <t>Ethane, 1,1-difluoro-, HFC-152a</t>
  </si>
  <si>
    <t>Styrene</t>
  </si>
  <si>
    <t>Aldehydes, unspecified</t>
  </si>
  <si>
    <t>Ethyl cellulose</t>
  </si>
  <si>
    <t>Isocyanic acid</t>
  </si>
  <si>
    <t>Formic acid</t>
  </si>
  <si>
    <t>Ethylene oxide</t>
  </si>
  <si>
    <t>Hydrocarbons, aliphatic, alkanes, cyclic</t>
  </si>
  <si>
    <t>Methane, trichlorofluoro-, CFC-11</t>
  </si>
  <si>
    <t>Methyl acrylate</t>
  </si>
  <si>
    <t>t-Butyl methyl ether</t>
  </si>
  <si>
    <t>Phenol, pentachloro-</t>
  </si>
  <si>
    <t>Furan</t>
  </si>
  <si>
    <t>Polychlorinated biphenyls</t>
  </si>
  <si>
    <t>Methane, dichloro-, HCC-30</t>
  </si>
  <si>
    <t>Benzene, hexachloro-</t>
  </si>
  <si>
    <t>Methane, monochloro-, R-40</t>
  </si>
  <si>
    <t>Ammonium carbonate</t>
  </si>
  <si>
    <t>Acrolein</t>
  </si>
  <si>
    <t>Sodium formate</t>
  </si>
  <si>
    <t>Ethane, 1,1,1-trichloro-, HCFC-140</t>
  </si>
  <si>
    <t>Methane, dichlorofluoro-, HCFC-21</t>
  </si>
  <si>
    <t>Propanal</t>
  </si>
  <si>
    <t>Benzaldehyde</t>
  </si>
  <si>
    <t>Butadiene</t>
  </si>
  <si>
    <t>Benzene, pentachloro-</t>
  </si>
  <si>
    <t>Methyl formate</t>
  </si>
  <si>
    <t>Paraffins</t>
  </si>
  <si>
    <t>Ethene, tetrachloro-</t>
  </si>
  <si>
    <t>Acenaphthene</t>
  </si>
  <si>
    <t>Ethylene diamine</t>
  </si>
  <si>
    <t>Dioxin, 2,3,7,8 Tetrachlorodibenzo-p-</t>
  </si>
  <si>
    <t>Methane, bromo-, Halon 1001</t>
  </si>
  <si>
    <t>Benzal chloride</t>
  </si>
  <si>
    <t>Carbon dioxide, in air</t>
  </si>
  <si>
    <t>Raw</t>
  </si>
  <si>
    <t>CH4</t>
  </si>
  <si>
    <t>kg CO2 eq/kg</t>
  </si>
  <si>
    <t>Characterization factors (for GWP100y)</t>
  </si>
  <si>
    <t>N2O</t>
  </si>
  <si>
    <t>CO2</t>
  </si>
  <si>
    <t>kg N2O/kg CAN-N</t>
  </si>
  <si>
    <t>kg CO2/kg CAN-N</t>
  </si>
  <si>
    <t>kg CH4/kg CAN-N</t>
  </si>
  <si>
    <t>Heat, natural gas, at boiler condensing modulating &gt;100kW/RER U</t>
  </si>
  <si>
    <t>1 MJ Heat, natural gas, at boiler condensing modulating &gt;100kW/RER U (of project Ecoinvent unit processes)</t>
  </si>
  <si>
    <t>kg CO2/MJ</t>
  </si>
  <si>
    <t>kg CH4/MJ</t>
  </si>
  <si>
    <t>kg N2O/MJ</t>
  </si>
  <si>
    <t>Ammonia</t>
  </si>
  <si>
    <t>NH3</t>
  </si>
  <si>
    <t>kg N/kg</t>
  </si>
  <si>
    <t>(eutrophication N category)</t>
  </si>
  <si>
    <t>kg N</t>
  </si>
  <si>
    <t>kg NH3/MJ</t>
  </si>
  <si>
    <t>kg NH3/kg CAN-N</t>
  </si>
  <si>
    <t>1 kWh Electricity, low voltage, Danish marginal, at consumer (of project dLUC_version2-with coal-07.12.2011_Coal (FD))</t>
  </si>
  <si>
    <t>Electricity, low voltage, Danish marginal, at consumer</t>
  </si>
  <si>
    <t>Electricity, medium voltage, Danish marginal, at transmission network</t>
  </si>
  <si>
    <t>Sulphur hexafluoride, liquid, at plant/RER U</t>
  </si>
  <si>
    <t>Distribution network, electricity, low voltage/CH/I U</t>
  </si>
  <si>
    <t>(The electricity frompower plant is from hard coal, at power plant, Nordel)</t>
  </si>
  <si>
    <t>kg CO2/kWh</t>
  </si>
  <si>
    <t>kg CH4/kWh</t>
  </si>
  <si>
    <t>kg N2O/kWh</t>
  </si>
  <si>
    <t>kg NH3/kWh</t>
  </si>
  <si>
    <t>ton manure ab-animal/ton manure ab-housing</t>
  </si>
  <si>
    <t>Manure composition (DK)</t>
  </si>
  <si>
    <t>N-Fertilizer (CAN)</t>
  </si>
  <si>
    <r>
      <t>CO</t>
    </r>
    <r>
      <rPr>
        <vertAlign val="subscript"/>
        <sz val="10"/>
        <color theme="1"/>
        <rFont val="Calibri"/>
        <family val="2"/>
        <scheme val="minor"/>
      </rPr>
      <t>2</t>
    </r>
    <r>
      <rPr>
        <sz val="10"/>
        <color theme="1"/>
        <rFont val="Calibri"/>
        <family val="2"/>
        <scheme val="minor"/>
      </rPr>
      <t xml:space="preserve"> fossil</t>
    </r>
  </si>
  <si>
    <r>
      <t>N</t>
    </r>
    <r>
      <rPr>
        <vertAlign val="subscript"/>
        <sz val="10"/>
        <color theme="1"/>
        <rFont val="Calibri"/>
        <family val="2"/>
        <scheme val="minor"/>
      </rPr>
      <t>2</t>
    </r>
    <r>
      <rPr>
        <sz val="10"/>
        <color theme="1"/>
        <rFont val="Calibri"/>
        <family val="2"/>
        <scheme val="minor"/>
      </rPr>
      <t>O</t>
    </r>
  </si>
  <si>
    <r>
      <t>kg CO</t>
    </r>
    <r>
      <rPr>
        <vertAlign val="subscript"/>
        <sz val="10"/>
        <color theme="1"/>
        <rFont val="Calibri"/>
        <family val="2"/>
        <scheme val="minor"/>
      </rPr>
      <t>2</t>
    </r>
    <r>
      <rPr>
        <sz val="10"/>
        <color theme="1"/>
        <rFont val="Calibri"/>
        <family val="2"/>
        <scheme val="minor"/>
      </rPr>
      <t>-eq/ton manure</t>
    </r>
  </si>
  <si>
    <r>
      <t>CO</t>
    </r>
    <r>
      <rPr>
        <vertAlign val="subscript"/>
        <sz val="10"/>
        <color theme="1"/>
        <rFont val="Calibri"/>
        <family val="2"/>
        <scheme val="minor"/>
      </rPr>
      <t>2</t>
    </r>
    <r>
      <rPr>
        <sz val="10"/>
        <color theme="1"/>
        <rFont val="Calibri"/>
        <family val="2"/>
        <scheme val="minor"/>
      </rPr>
      <t>-eq.</t>
    </r>
  </si>
  <si>
    <t>MJ/ton manure</t>
  </si>
  <si>
    <t>%</t>
  </si>
  <si>
    <r>
      <t>kg CO</t>
    </r>
    <r>
      <rPr>
        <vertAlign val="subscript"/>
        <sz val="10"/>
        <color theme="1"/>
        <rFont val="Calibri"/>
        <family val="2"/>
        <scheme val="minor"/>
      </rPr>
      <t>2</t>
    </r>
    <r>
      <rPr>
        <sz val="10"/>
        <color theme="1"/>
        <rFont val="Calibri"/>
        <family val="2"/>
        <scheme val="minor"/>
      </rPr>
      <t>/ton manure</t>
    </r>
  </si>
  <si>
    <r>
      <t>kg N</t>
    </r>
    <r>
      <rPr>
        <vertAlign val="subscript"/>
        <sz val="10"/>
        <color theme="1"/>
        <rFont val="Calibri"/>
        <family val="2"/>
        <scheme val="minor"/>
      </rPr>
      <t>2</t>
    </r>
    <r>
      <rPr>
        <sz val="10"/>
        <color theme="1"/>
        <rFont val="Calibri"/>
        <family val="2"/>
        <scheme val="minor"/>
      </rPr>
      <t>O/ton manure</t>
    </r>
  </si>
  <si>
    <r>
      <t>kg CH</t>
    </r>
    <r>
      <rPr>
        <vertAlign val="subscript"/>
        <sz val="10"/>
        <color theme="1"/>
        <rFont val="Calibri"/>
        <family val="2"/>
        <scheme val="minor"/>
      </rPr>
      <t>4</t>
    </r>
    <r>
      <rPr>
        <sz val="10"/>
        <color theme="1"/>
        <rFont val="Calibri"/>
        <family val="2"/>
        <scheme val="minor"/>
      </rPr>
      <t>/ton manure</t>
    </r>
  </si>
  <si>
    <t>kg CAN-N/ton manure</t>
  </si>
  <si>
    <t>Avoided</t>
  </si>
  <si>
    <r>
      <t>kg CO</t>
    </r>
    <r>
      <rPr>
        <vertAlign val="subscript"/>
        <sz val="11"/>
        <color theme="1"/>
        <rFont val="Calibri"/>
        <family val="2"/>
        <scheme val="minor"/>
      </rPr>
      <t>2</t>
    </r>
    <r>
      <rPr>
        <sz val="11"/>
        <color theme="1"/>
        <rFont val="Calibri"/>
        <family val="2"/>
        <scheme val="minor"/>
      </rPr>
      <t>-eq./ton manure</t>
    </r>
  </si>
  <si>
    <t>Avoided greenhouse gas emissions</t>
  </si>
  <si>
    <t>System emissions (DK)</t>
  </si>
  <si>
    <t>Field</t>
  </si>
  <si>
    <t>Storage</t>
  </si>
  <si>
    <t>Total system</t>
  </si>
  <si>
    <t>Tot-N leach</t>
  </si>
  <si>
    <t>Electricity</t>
  </si>
  <si>
    <t>kWh/ton manure</t>
  </si>
  <si>
    <t>Heat</t>
  </si>
  <si>
    <t>Electricity (DK marginal)</t>
  </si>
  <si>
    <t>Outdoor storage (= manure ex housing)</t>
  </si>
  <si>
    <t>Field application (= manure ex outdoor storage)</t>
  </si>
  <si>
    <t>Housing (= manure ex animal)</t>
  </si>
  <si>
    <t>System inputs</t>
  </si>
  <si>
    <t>Feed</t>
  </si>
  <si>
    <t>MJ/ton Manure</t>
  </si>
  <si>
    <r>
      <t>CO</t>
    </r>
    <r>
      <rPr>
        <vertAlign val="subscript"/>
        <sz val="10"/>
        <color theme="1"/>
        <rFont val="Calibri"/>
        <family val="2"/>
        <scheme val="minor"/>
      </rPr>
      <t>2</t>
    </r>
    <r>
      <rPr>
        <sz val="10"/>
        <color theme="1"/>
        <rFont val="Calibri"/>
        <family val="2"/>
        <scheme val="minor"/>
      </rPr>
      <t>-fossil</t>
    </r>
  </si>
  <si>
    <t>Heat (natural gas)</t>
  </si>
  <si>
    <t>Diesel fuel</t>
  </si>
  <si>
    <t>Feed (DK single phase)</t>
  </si>
  <si>
    <t>Soybean meal</t>
  </si>
  <si>
    <t>MJ/kg</t>
  </si>
  <si>
    <t>Heat value</t>
  </si>
  <si>
    <t>kg CO2/kg diesel</t>
  </si>
  <si>
    <t>kg CO2/MJ diesel</t>
  </si>
  <si>
    <t>Avoided systems</t>
  </si>
  <si>
    <r>
      <t>NH</t>
    </r>
    <r>
      <rPr>
        <b/>
        <vertAlign val="subscript"/>
        <sz val="14"/>
        <color theme="1"/>
        <rFont val="Calibri"/>
        <family val="2"/>
        <scheme val="minor"/>
      </rPr>
      <t>3</t>
    </r>
    <r>
      <rPr>
        <b/>
        <sz val="14"/>
        <color theme="1"/>
        <rFont val="Calibri"/>
        <family val="2"/>
        <scheme val="minor"/>
      </rPr>
      <t>-N</t>
    </r>
  </si>
  <si>
    <t>System emissions</t>
  </si>
  <si>
    <r>
      <t>CO</t>
    </r>
    <r>
      <rPr>
        <b/>
        <vertAlign val="subscript"/>
        <sz val="14"/>
        <color theme="1"/>
        <rFont val="Calibri"/>
        <family val="2"/>
        <scheme val="minor"/>
      </rPr>
      <t>2</t>
    </r>
    <r>
      <rPr>
        <b/>
        <sz val="14"/>
        <color theme="1"/>
        <rFont val="Calibri"/>
        <family val="2"/>
        <scheme val="minor"/>
      </rPr>
      <t>-eq.</t>
    </r>
  </si>
  <si>
    <t>CO2-eq. total</t>
  </si>
  <si>
    <t>Fertilizer</t>
  </si>
  <si>
    <r>
      <t>kg NH</t>
    </r>
    <r>
      <rPr>
        <vertAlign val="subscript"/>
        <sz val="10"/>
        <color theme="1"/>
        <rFont val="Calibri"/>
        <family val="2"/>
        <scheme val="minor"/>
      </rPr>
      <t>3</t>
    </r>
    <r>
      <rPr>
        <sz val="10"/>
        <color theme="1"/>
        <rFont val="Calibri"/>
        <family val="2"/>
        <scheme val="minor"/>
      </rPr>
      <t>-N/ton manure</t>
    </r>
  </si>
  <si>
    <r>
      <t>NH</t>
    </r>
    <r>
      <rPr>
        <vertAlign val="subscript"/>
        <sz val="11"/>
        <color theme="1"/>
        <rFont val="Calibri"/>
        <family val="2"/>
        <scheme val="minor"/>
      </rPr>
      <t>3</t>
    </r>
    <r>
      <rPr>
        <sz val="11"/>
        <color theme="1"/>
        <rFont val="Calibri"/>
        <family val="2"/>
        <scheme val="minor"/>
      </rPr>
      <t>-N total</t>
    </r>
  </si>
  <si>
    <t>Tot-P discharge</t>
  </si>
  <si>
    <t>Feed*</t>
  </si>
  <si>
    <r>
      <t>* Note: enteric CH</t>
    </r>
    <r>
      <rPr>
        <vertAlign val="subscript"/>
        <sz val="10"/>
        <color theme="1"/>
        <rFont val="Calibri"/>
        <family val="2"/>
        <scheme val="minor"/>
      </rPr>
      <t>4</t>
    </r>
    <r>
      <rPr>
        <sz val="10"/>
        <color theme="1"/>
        <rFont val="Calibri"/>
        <family val="2"/>
        <scheme val="minor"/>
      </rPr>
      <t xml:space="preserve"> emissions are not included. For DK, they are found to be around 25% of manure emissions (Dalgaard et al. 2007)</t>
    </r>
  </si>
  <si>
    <t>System emissions*</t>
  </si>
  <si>
    <r>
      <t>Environmental assessment (NH</t>
    </r>
    <r>
      <rPr>
        <b/>
        <vertAlign val="subscript"/>
        <sz val="12"/>
        <color theme="1"/>
        <rFont val="Calibri"/>
        <family val="2"/>
        <scheme val="minor"/>
      </rPr>
      <t>3</t>
    </r>
    <r>
      <rPr>
        <b/>
        <sz val="12"/>
        <color theme="1"/>
        <rFont val="Calibri"/>
        <family val="2"/>
        <scheme val="minor"/>
      </rPr>
      <t xml:space="preserve"> and greenhouse gases) - including feed</t>
    </r>
  </si>
  <si>
    <r>
      <t>Environmental assessment (NH</t>
    </r>
    <r>
      <rPr>
        <b/>
        <vertAlign val="subscript"/>
        <sz val="12"/>
        <color theme="1"/>
        <rFont val="Calibri"/>
        <family val="2"/>
        <scheme val="minor"/>
      </rPr>
      <t>3</t>
    </r>
    <r>
      <rPr>
        <b/>
        <sz val="12"/>
        <color theme="1"/>
        <rFont val="Calibri"/>
        <family val="2"/>
        <scheme val="minor"/>
      </rPr>
      <t xml:space="preserve"> and greenhouse gases) - excluding feed</t>
    </r>
  </si>
  <si>
    <t>Technology specification</t>
  </si>
  <si>
    <t>CHANGE</t>
  </si>
  <si>
    <t>Housing ref</t>
  </si>
  <si>
    <t>Housing tech</t>
  </si>
  <si>
    <t>Storage ref</t>
  </si>
  <si>
    <t>Storage tech</t>
  </si>
  <si>
    <t>Field ref</t>
  </si>
  <si>
    <t>Field tech</t>
  </si>
  <si>
    <t>Data for diagrams</t>
  </si>
  <si>
    <t>Fuel</t>
  </si>
  <si>
    <t>Tot-N ref</t>
  </si>
  <si>
    <t>Tot-N tech</t>
  </si>
  <si>
    <t>Tot-P ref</t>
  </si>
  <si>
    <t>Tot-P tech</t>
  </si>
  <si>
    <t>Eutrophication</t>
  </si>
  <si>
    <t>N-fertilizer (CAN)</t>
  </si>
  <si>
    <t>Sulphuric acid</t>
  </si>
  <si>
    <r>
      <t>kg/ton manure (feed) kWh/ton manure (el) MJ/ton manure (heat) kg/ton manure (H</t>
    </r>
    <r>
      <rPr>
        <vertAlign val="subscript"/>
        <sz val="10"/>
        <color theme="1"/>
        <rFont val="Calibri"/>
        <family val="2"/>
        <scheme val="minor"/>
      </rPr>
      <t>2</t>
    </r>
    <r>
      <rPr>
        <sz val="10"/>
        <color theme="1"/>
        <rFont val="Calibri"/>
        <family val="2"/>
        <scheme val="minor"/>
      </rPr>
      <t>SO</t>
    </r>
    <r>
      <rPr>
        <vertAlign val="subscript"/>
        <sz val="10"/>
        <color theme="1"/>
        <rFont val="Calibri"/>
        <family val="2"/>
        <scheme val="minor"/>
      </rPr>
      <t>4</t>
    </r>
    <r>
      <rPr>
        <sz val="10"/>
        <color theme="1"/>
        <rFont val="Calibri"/>
        <family val="2"/>
        <scheme val="minor"/>
      </rPr>
      <t>)</t>
    </r>
  </si>
  <si>
    <t>NH3-N</t>
  </si>
  <si>
    <t>kg/kg H2SO4</t>
  </si>
  <si>
    <t>CO2-fossil</t>
  </si>
  <si>
    <t>Tot-N</t>
  </si>
  <si>
    <t>Tot-P</t>
  </si>
  <si>
    <t>NO3-N</t>
  </si>
  <si>
    <t>PO4-P</t>
  </si>
  <si>
    <t>kg/kg CaCO3</t>
  </si>
  <si>
    <t>kg/kg S</t>
  </si>
  <si>
    <t>kg/kg wheat</t>
  </si>
  <si>
    <t>Lime</t>
  </si>
  <si>
    <t>Lime (extra)</t>
  </si>
  <si>
    <t>Sulphuric acid use</t>
  </si>
  <si>
    <t>kg H2SO4/ton manure</t>
  </si>
  <si>
    <t>Extra lime use in field</t>
  </si>
  <si>
    <t>kg CaCO3/ton manure</t>
  </si>
  <si>
    <t>Extra yield (wheat)</t>
  </si>
  <si>
    <t>kg wheat/ton manure</t>
  </si>
  <si>
    <t>S-fertiliser avoided</t>
  </si>
  <si>
    <t>kg S/ton manure</t>
  </si>
  <si>
    <t>S-fertilizer</t>
  </si>
  <si>
    <t>Crop (wheat)</t>
  </si>
  <si>
    <t>kg CAN-N/ton manure kg S/ton manure        kg wheat/ton manure</t>
  </si>
  <si>
    <t>kg N/ton manure</t>
  </si>
  <si>
    <t>kg P/ton manure</t>
  </si>
  <si>
    <t>kg soy meal/kg soy bean</t>
  </si>
  <si>
    <r>
      <t>* Note: enteric CH</t>
    </r>
    <r>
      <rPr>
        <vertAlign val="subscript"/>
        <sz val="8"/>
        <color theme="1"/>
        <rFont val="Calibri"/>
        <family val="2"/>
        <scheme val="minor"/>
      </rPr>
      <t>4</t>
    </r>
    <r>
      <rPr>
        <sz val="8"/>
        <color theme="1"/>
        <rFont val="Calibri"/>
        <family val="2"/>
        <scheme val="minor"/>
      </rPr>
      <t xml:space="preserve"> emissions are not included. For DK, they are found to be around 25% of manure emissions (Dalgaard et al. 2007)</t>
    </r>
  </si>
  <si>
    <r>
      <t>CO</t>
    </r>
    <r>
      <rPr>
        <b/>
        <vertAlign val="subscript"/>
        <sz val="9"/>
        <color theme="1"/>
        <rFont val="Calibri"/>
        <family val="2"/>
        <scheme val="minor"/>
      </rPr>
      <t>2</t>
    </r>
    <r>
      <rPr>
        <b/>
        <sz val="9"/>
        <color theme="1"/>
        <rFont val="Calibri"/>
        <family val="2"/>
        <scheme val="minor"/>
      </rPr>
      <t>-eq.</t>
    </r>
  </si>
  <si>
    <r>
      <t>NH</t>
    </r>
    <r>
      <rPr>
        <vertAlign val="subscript"/>
        <sz val="9"/>
        <color theme="1"/>
        <rFont val="Calibri"/>
        <family val="2"/>
        <scheme val="minor"/>
      </rPr>
      <t>3</t>
    </r>
    <r>
      <rPr>
        <sz val="9"/>
        <color theme="1"/>
        <rFont val="Calibri"/>
        <family val="2"/>
        <scheme val="minor"/>
      </rPr>
      <t>-N total</t>
    </r>
  </si>
  <si>
    <r>
      <t>NH</t>
    </r>
    <r>
      <rPr>
        <b/>
        <vertAlign val="subscript"/>
        <sz val="9"/>
        <color theme="1"/>
        <rFont val="Calibri"/>
        <family val="2"/>
        <scheme val="minor"/>
      </rPr>
      <t>3</t>
    </r>
    <r>
      <rPr>
        <b/>
        <sz val="9"/>
        <color theme="1"/>
        <rFont val="Calibri"/>
        <family val="2"/>
        <scheme val="minor"/>
      </rPr>
      <t>-N</t>
    </r>
  </si>
  <si>
    <t>Results</t>
  </si>
  <si>
    <t>System stage</t>
  </si>
  <si>
    <t>Description</t>
  </si>
  <si>
    <t>Technique name</t>
  </si>
  <si>
    <t>Reference system - consumption of energy and materials</t>
  </si>
  <si>
    <t>Emission factors for reference system</t>
  </si>
  <si>
    <t>Zinc (Zn) (kg)</t>
  </si>
  <si>
    <t>Copper (Cu) (kg)</t>
  </si>
  <si>
    <t>Potassium (K) (kg)</t>
  </si>
  <si>
    <t>Phosphorus (P) (kg)</t>
  </si>
  <si>
    <r>
      <t>NH4</t>
    </r>
    <r>
      <rPr>
        <vertAlign val="superscript"/>
        <sz val="9"/>
        <color rgb="FF000000"/>
        <rFont val="Calibri"/>
        <family val="2"/>
        <scheme val="minor"/>
      </rPr>
      <t>+</t>
    </r>
    <r>
      <rPr>
        <sz val="9"/>
        <color rgb="FF000000"/>
        <rFont val="Calibri"/>
        <family val="2"/>
        <scheme val="minor"/>
      </rPr>
      <t>-N (kg)</t>
    </r>
  </si>
  <si>
    <t>Total N (kg)</t>
  </si>
  <si>
    <t>Volatile solids (VS) (kg)</t>
  </si>
  <si>
    <t>Ash content (kg)</t>
  </si>
  <si>
    <t>Dry matter (DM) (kg)</t>
  </si>
  <si>
    <t>Total mass (ton)</t>
  </si>
  <si>
    <t>ex-
storage</t>
  </si>
  <si>
    <t>ex-
housing</t>
  </si>
  <si>
    <t>ex-
animal</t>
  </si>
  <si>
    <t>Manure stage</t>
  </si>
  <si>
    <t>Reference Manure Composition</t>
  </si>
  <si>
    <t>Feeding</t>
  </si>
  <si>
    <t>Other conditions</t>
  </si>
  <si>
    <t>Application</t>
  </si>
  <si>
    <t>Type</t>
  </si>
  <si>
    <t>Storage of manure/slurry</t>
  </si>
  <si>
    <t>Building characteristics</t>
  </si>
  <si>
    <t>In-house storage and removal of manure/slurry</t>
  </si>
  <si>
    <t>System / floor</t>
  </si>
  <si>
    <t>Description of Reference System</t>
  </si>
  <si>
    <t>Animal Category</t>
  </si>
  <si>
    <t>Reference</t>
  </si>
  <si>
    <t>No change</t>
  </si>
  <si>
    <t>No data</t>
  </si>
  <si>
    <t>Increase of N content due to lower losses; in areas with significant rainfall the DM content will be higher as the tent shelters rainfall from the slurry store</t>
  </si>
  <si>
    <t>Diesel fuel (MJ/ton manrure)</t>
  </si>
  <si>
    <t>Electricity (kWh/ton manure)</t>
  </si>
  <si>
    <t>Heat (MJ/ton manure)</t>
  </si>
  <si>
    <t>PSF = Partly Slatted floor</t>
  </si>
  <si>
    <t>FSF = Fully Slatted floor</t>
  </si>
  <si>
    <t>Animal Category:</t>
  </si>
  <si>
    <t>Has been changed. Was before:</t>
  </si>
  <si>
    <t>Reference system:</t>
  </si>
  <si>
    <t>Avoided N-fertilizer</t>
  </si>
  <si>
    <t>* addition of water in housing units and during storage not included (in order to keep simplicity and make mass balances transparent</t>
  </si>
  <si>
    <t>Broilers</t>
  </si>
  <si>
    <t>Reference:</t>
  </si>
  <si>
    <t>Sulphuric acid use (kg H2SO4/ton manure)</t>
  </si>
  <si>
    <t>Field: Emission reductions</t>
  </si>
  <si>
    <t>Remarks</t>
  </si>
  <si>
    <t>NH3 emissions ( %)</t>
  </si>
  <si>
    <t>CH4 emissions ( %)</t>
  </si>
  <si>
    <t>N2O emissions (%)</t>
  </si>
  <si>
    <t>Odour emissions (%)</t>
  </si>
  <si>
    <t>Extra lime use in field (kg CaCO3/ton manure)</t>
  </si>
  <si>
    <t>Extra yield (wheat) (kg wheat/ton manure)</t>
  </si>
  <si>
    <t>S-fertiliser avoided (kg S/ton manure)</t>
  </si>
  <si>
    <t>Numbers for Lookup function</t>
  </si>
  <si>
    <t>Housing, impacts: Emission reductions and impact on manure compostion ex-housing</t>
  </si>
  <si>
    <t>Storage, impacts: Emission reductions and impact on manure compostion ex-storage</t>
  </si>
  <si>
    <t>Housing, impacts: Emission reductions and impact on manure compostion (ex-stage)</t>
  </si>
  <si>
    <t>Technique: Extra energy, products or avoided systems (compared to reference system)</t>
  </si>
  <si>
    <t>Changes in slurry/manure ex-animal (relevant for Nutritional Management) only</t>
  </si>
  <si>
    <t>Inserted from the "Insert data HERE only" datasheet</t>
  </si>
  <si>
    <t>CO2_emissions = 1.94 kg CO2/kg CH4</t>
  </si>
  <si>
    <t>N-fertiliser avoided (extra amount compared to reference) (kg N/ton manure)</t>
  </si>
  <si>
    <t>Avoided N-fertilizer (kg)</t>
  </si>
  <si>
    <r>
      <t>CO</t>
    </r>
    <r>
      <rPr>
        <vertAlign val="subscript"/>
        <sz val="10"/>
        <color theme="1"/>
        <rFont val="Calibri"/>
        <family val="2"/>
        <scheme val="minor"/>
      </rPr>
      <t>2</t>
    </r>
    <r>
      <rPr>
        <sz val="10"/>
        <color theme="1"/>
        <rFont val="Calibri"/>
        <family val="2"/>
        <scheme val="minor"/>
      </rPr>
      <t>-eq. from feed excl. LUC</t>
    </r>
  </si>
  <si>
    <r>
      <t>CO</t>
    </r>
    <r>
      <rPr>
        <vertAlign val="subscript"/>
        <sz val="10"/>
        <color theme="1"/>
        <rFont val="Calibri"/>
        <family val="2"/>
        <scheme val="minor"/>
      </rPr>
      <t>2</t>
    </r>
    <r>
      <rPr>
        <sz val="10"/>
        <color theme="1"/>
        <rFont val="Calibri"/>
        <family val="2"/>
        <scheme val="minor"/>
      </rPr>
      <t>-eq. from LUC (from feed)</t>
    </r>
  </si>
  <si>
    <r>
      <t>CO</t>
    </r>
    <r>
      <rPr>
        <vertAlign val="subscript"/>
        <sz val="10"/>
        <color theme="1"/>
        <rFont val="Calibri"/>
        <family val="2"/>
        <scheme val="minor"/>
      </rPr>
      <t>2</t>
    </r>
    <r>
      <rPr>
        <sz val="10"/>
        <color theme="1"/>
        <rFont val="Calibri"/>
        <family val="2"/>
        <scheme val="minor"/>
      </rPr>
      <t>-eq. Feed incl. LUC</t>
    </r>
  </si>
  <si>
    <t>Feed excl LUC</t>
  </si>
  <si>
    <t>LUC from feed</t>
  </si>
  <si>
    <t>kg/ton</t>
  </si>
  <si>
    <r>
      <t>NH</t>
    </r>
    <r>
      <rPr>
        <vertAlign val="subscript"/>
        <sz val="9"/>
        <color theme="1"/>
        <rFont val="Calibri"/>
        <family val="2"/>
        <scheme val="minor"/>
      </rPr>
      <t>3</t>
    </r>
    <r>
      <rPr>
        <sz val="9"/>
        <color theme="1"/>
        <rFont val="Calibri"/>
        <family val="2"/>
        <scheme val="minor"/>
      </rPr>
      <t>-N total ref</t>
    </r>
  </si>
  <si>
    <t>CO2-eq. total ref</t>
  </si>
  <si>
    <t>System emissions ref</t>
  </si>
  <si>
    <t>CO2-eq. Total**</t>
  </si>
  <si>
    <t>It is anticipated similar ammonia reduction effect can be obtained for other types of liquid manure and for spreading on growing crops, and that higher effects could be obtained in case of broad spreading, and under weather conditions with high temperatures and high wind speeds.</t>
  </si>
  <si>
    <t>No significant difference.</t>
  </si>
  <si>
    <t xml:space="preserve">Feed  </t>
  </si>
  <si>
    <t>Barley (grain) (kg per 100 kg feed)</t>
  </si>
  <si>
    <t>Soybean meal (kg per 100 kg feed)</t>
  </si>
  <si>
    <t>Full fat soya (kg per 100 kg feed)</t>
  </si>
  <si>
    <t>No data on N2O or odour</t>
  </si>
  <si>
    <t>The reduced NH3 emissions in the housing units will lead to higher N in slurry during storage and application, leading to slightly higher emissions during these stages.</t>
  </si>
  <si>
    <t>If NH3 emission factors are reduced, the N leaching increases</t>
  </si>
  <si>
    <t>kg/(kg N available after amminia losses)</t>
  </si>
  <si>
    <t>Wheat (kg per 100 kg feed)</t>
  </si>
  <si>
    <t>Corn / maize (kg per 100 kg feed)</t>
  </si>
  <si>
    <t>Rapeseed meal (kg per 100 kg feed)</t>
  </si>
  <si>
    <t>Sunflower meal (kg per 100 kg feed)</t>
  </si>
  <si>
    <t>Cassava (kg per 100 kg feed)</t>
  </si>
  <si>
    <t>Peas (kg per 100 kg feed)</t>
  </si>
  <si>
    <t>Feed additives (kg per 100 kg feed)</t>
  </si>
  <si>
    <t>Barley (kg per 100 kg feed)</t>
  </si>
  <si>
    <t>Other feeding ingredients, not mentioned above</t>
  </si>
  <si>
    <t>Feed composition - control without additive</t>
  </si>
  <si>
    <t>Total amount of feeding ingredients (kg/100 kg feed)</t>
  </si>
  <si>
    <t>Soya oil (kg per 100 kg feed)</t>
  </si>
  <si>
    <t>Diet formulations in reference %</t>
  </si>
  <si>
    <t>Wheat</t>
  </si>
  <si>
    <t>Barley</t>
  </si>
  <si>
    <t>Corn / maize</t>
  </si>
  <si>
    <t>Soya oil</t>
  </si>
  <si>
    <t>Rapeseed meal</t>
  </si>
  <si>
    <t>Sunflower meal</t>
  </si>
  <si>
    <t>Cassava</t>
  </si>
  <si>
    <t>Peas</t>
  </si>
  <si>
    <t>Feed additives</t>
  </si>
  <si>
    <r>
      <t xml:space="preserve">Feed composition 
(diet formulations)
</t>
    </r>
    <r>
      <rPr>
        <sz val="9"/>
        <color theme="1"/>
        <rFont val="Calibri"/>
        <family val="2"/>
        <scheme val="minor"/>
      </rPr>
      <t>(kg per 100 kg feed)</t>
    </r>
  </si>
  <si>
    <r>
      <rPr>
        <b/>
        <sz val="9"/>
        <color theme="1"/>
        <rFont val="Calibri"/>
        <family val="2"/>
        <scheme val="minor"/>
      </rPr>
      <t xml:space="preserve">Feed conversion rate </t>
    </r>
    <r>
      <rPr>
        <sz val="9"/>
        <color theme="1"/>
        <rFont val="Calibri"/>
        <family val="2"/>
        <scheme val="minor"/>
      </rPr>
      <t xml:space="preserve">
(kg feed in total/kg liveweight)</t>
    </r>
  </si>
  <si>
    <r>
      <rPr>
        <b/>
        <sz val="9"/>
        <color theme="1"/>
        <rFont val="Calibri"/>
        <family val="2"/>
        <scheme val="minor"/>
      </rPr>
      <t>Amount of ingredient 
per kg liveweight</t>
    </r>
    <r>
      <rPr>
        <sz val="9"/>
        <color theme="1"/>
        <rFont val="Calibri"/>
        <family val="2"/>
        <scheme val="minor"/>
      </rPr>
      <t xml:space="preserve">
(kg ingredient / 100 kg liveweight)</t>
    </r>
  </si>
  <si>
    <t>SUM</t>
  </si>
  <si>
    <r>
      <rPr>
        <b/>
        <sz val="9"/>
        <color theme="1"/>
        <rFont val="Calibri"/>
        <family val="2"/>
        <scheme val="minor"/>
      </rPr>
      <t xml:space="preserve">Manure ratio </t>
    </r>
    <r>
      <rPr>
        <sz val="9"/>
        <color theme="1"/>
        <rFont val="Calibri"/>
        <family val="2"/>
        <scheme val="minor"/>
      </rPr>
      <t xml:space="preserve">
(kg manure/kg liveweight)</t>
    </r>
  </si>
  <si>
    <t>We need new data for these</t>
  </si>
  <si>
    <t>CONTROL trial without additive</t>
  </si>
  <si>
    <t>Info on feed data for CONTROL trial without additive</t>
  </si>
  <si>
    <t>Info on feed data for -TRIAL WITH additive and feed change</t>
  </si>
  <si>
    <t>Feed composition -TRIAL WITH additive and feed change</t>
  </si>
  <si>
    <r>
      <rPr>
        <b/>
        <sz val="9"/>
        <color theme="1"/>
        <rFont val="Calibri"/>
        <family val="2"/>
        <scheme val="minor"/>
      </rPr>
      <t>GHG emission factor</t>
    </r>
    <r>
      <rPr>
        <sz val="9"/>
        <color theme="1"/>
        <rFont val="Calibri"/>
        <family val="2"/>
        <scheme val="minor"/>
      </rPr>
      <t xml:space="preserve">
(kg CO2-eq./kg ingredient)</t>
    </r>
  </si>
  <si>
    <r>
      <rPr>
        <b/>
        <sz val="9"/>
        <color theme="1"/>
        <rFont val="Calibri"/>
        <family val="2"/>
        <scheme val="minor"/>
      </rPr>
      <t>GHG emission</t>
    </r>
    <r>
      <rPr>
        <sz val="9"/>
        <color theme="1"/>
        <rFont val="Calibri"/>
        <family val="2"/>
        <scheme val="minor"/>
      </rPr>
      <t xml:space="preserve">
(kg CO2-eq./ ton manure)</t>
    </r>
  </si>
  <si>
    <r>
      <rPr>
        <b/>
        <sz val="9"/>
        <color theme="1"/>
        <rFont val="Calibri"/>
        <family val="2"/>
        <scheme val="minor"/>
      </rPr>
      <t xml:space="preserve">Yield </t>
    </r>
    <r>
      <rPr>
        <sz val="9"/>
        <color theme="1"/>
        <rFont val="Calibri"/>
        <family val="2"/>
        <scheme val="minor"/>
      </rPr>
      <t xml:space="preserve">
(Annual ton Fresh Matter production per ha) 
(ton fm/ha)</t>
    </r>
  </si>
  <si>
    <r>
      <rPr>
        <b/>
        <sz val="9"/>
        <color theme="1"/>
        <rFont val="Calibri"/>
        <family val="2"/>
        <scheme val="minor"/>
      </rPr>
      <t xml:space="preserve">Land expansion per ton manure </t>
    </r>
    <r>
      <rPr>
        <sz val="9"/>
        <color theme="1"/>
        <rFont val="Calibri"/>
        <family val="2"/>
        <scheme val="minor"/>
      </rPr>
      <t xml:space="preserve">
(ha expanded / ton manure)</t>
    </r>
  </si>
  <si>
    <r>
      <rPr>
        <b/>
        <sz val="9"/>
        <color theme="1"/>
        <rFont val="Calibri"/>
        <family val="2"/>
        <scheme val="minor"/>
      </rPr>
      <t>Land expansion</t>
    </r>
    <r>
      <rPr>
        <sz val="9"/>
        <color theme="1"/>
        <rFont val="Calibri"/>
        <family val="2"/>
        <scheme val="minor"/>
      </rPr>
      <t xml:space="preserve">
ha expanded / ha displaced</t>
    </r>
  </si>
  <si>
    <t>Feed per 1 ton manure (kg feed/ton manure)</t>
  </si>
  <si>
    <t>Feed per 1 ton manure
(kg feed/ton manure)</t>
  </si>
  <si>
    <r>
      <rPr>
        <b/>
        <sz val="9"/>
        <color theme="1"/>
        <rFont val="Calibri"/>
        <family val="2"/>
        <scheme val="minor"/>
      </rPr>
      <t xml:space="preserve">Amount of feed (total) per 1 ton manure </t>
    </r>
    <r>
      <rPr>
        <sz val="9"/>
        <color theme="1"/>
        <rFont val="Calibri"/>
        <family val="2"/>
        <scheme val="minor"/>
      </rPr>
      <t xml:space="preserve">
(kg feed/ton manure)</t>
    </r>
  </si>
  <si>
    <r>
      <rPr>
        <b/>
        <sz val="9"/>
        <color theme="1"/>
        <rFont val="Calibri"/>
        <family val="2"/>
        <scheme val="minor"/>
      </rPr>
      <t>Amount of ingredient 
per ton manure</t>
    </r>
    <r>
      <rPr>
        <sz val="9"/>
        <color theme="1"/>
        <rFont val="Calibri"/>
        <family val="2"/>
        <scheme val="minor"/>
      </rPr>
      <t xml:space="preserve">
(kg ingredient / ton manure)</t>
    </r>
  </si>
  <si>
    <t>Full fat soya meal</t>
  </si>
  <si>
    <t>Conversion 
unit</t>
  </si>
  <si>
    <t>Conversion
- factor</t>
  </si>
  <si>
    <r>
      <rPr>
        <b/>
        <sz val="9"/>
        <color theme="1"/>
        <rFont val="Calibri"/>
        <family val="2"/>
        <scheme val="minor"/>
      </rPr>
      <t>LUC factor</t>
    </r>
    <r>
      <rPr>
        <sz val="9"/>
        <color theme="1"/>
        <rFont val="Calibri"/>
        <family val="2"/>
        <scheme val="minor"/>
      </rPr>
      <t xml:space="preserve">
Baseline
[kg CO2 / (ha*y)]</t>
    </r>
  </si>
  <si>
    <r>
      <rPr>
        <b/>
        <sz val="9"/>
        <color theme="1"/>
        <rFont val="Calibri"/>
        <family val="2"/>
        <scheme val="minor"/>
      </rPr>
      <t>LUC factor</t>
    </r>
    <r>
      <rPr>
        <sz val="9"/>
        <color theme="1"/>
        <rFont val="Calibri"/>
        <family val="2"/>
        <scheme val="minor"/>
      </rPr>
      <t xml:space="preserve">
Max
[kg CO2 / (ha*y)]</t>
    </r>
  </si>
  <si>
    <r>
      <rPr>
        <b/>
        <sz val="9"/>
        <color theme="1"/>
        <rFont val="Calibri"/>
        <family val="2"/>
        <scheme val="minor"/>
      </rPr>
      <t>GHG from Land use</t>
    </r>
    <r>
      <rPr>
        <sz val="9"/>
        <color theme="1"/>
        <rFont val="Calibri"/>
        <family val="2"/>
        <scheme val="minor"/>
      </rPr>
      <t xml:space="preserve">
[kg CO2 eq/ton manure*y]</t>
    </r>
  </si>
  <si>
    <r>
      <rPr>
        <b/>
        <sz val="9"/>
        <color theme="1"/>
        <rFont val="Calibri"/>
        <family val="2"/>
        <scheme val="minor"/>
      </rPr>
      <t xml:space="preserve">NH3-N emission factor </t>
    </r>
    <r>
      <rPr>
        <sz val="9"/>
        <color theme="1"/>
        <rFont val="Calibri"/>
        <family val="2"/>
        <scheme val="minor"/>
      </rPr>
      <t xml:space="preserve">
[kg/kg ingredient]</t>
    </r>
  </si>
  <si>
    <r>
      <rPr>
        <b/>
        <sz val="9"/>
        <color theme="1"/>
        <rFont val="Calibri"/>
        <family val="2"/>
        <scheme val="minor"/>
      </rPr>
      <t>NH3-N emission per ton manure</t>
    </r>
    <r>
      <rPr>
        <sz val="9"/>
        <color theme="1"/>
        <rFont val="Calibri"/>
        <family val="2"/>
        <scheme val="minor"/>
      </rPr>
      <t xml:space="preserve">
[kg/ton manure]</t>
    </r>
  </si>
  <si>
    <r>
      <rPr>
        <b/>
        <sz val="9"/>
        <color theme="1"/>
        <rFont val="Calibri"/>
        <family val="2"/>
        <scheme val="minor"/>
      </rPr>
      <t xml:space="preserve">CH4 emission factor </t>
    </r>
    <r>
      <rPr>
        <sz val="9"/>
        <color theme="1"/>
        <rFont val="Calibri"/>
        <family val="2"/>
        <scheme val="minor"/>
      </rPr>
      <t xml:space="preserve">
[kg/kg ingredient]</t>
    </r>
  </si>
  <si>
    <r>
      <rPr>
        <b/>
        <sz val="9"/>
        <color theme="1"/>
        <rFont val="Calibri"/>
        <family val="2"/>
        <scheme val="minor"/>
      </rPr>
      <t>CH4 emission per ton manure</t>
    </r>
    <r>
      <rPr>
        <sz val="9"/>
        <color theme="1"/>
        <rFont val="Calibri"/>
        <family val="2"/>
        <scheme val="minor"/>
      </rPr>
      <t xml:space="preserve">
[kg/ton manure]</t>
    </r>
  </si>
  <si>
    <r>
      <rPr>
        <b/>
        <sz val="9"/>
        <color theme="1"/>
        <rFont val="Calibri"/>
        <family val="2"/>
        <scheme val="minor"/>
      </rPr>
      <t xml:space="preserve">N2O-N emission factor </t>
    </r>
    <r>
      <rPr>
        <sz val="9"/>
        <color theme="1"/>
        <rFont val="Calibri"/>
        <family val="2"/>
        <scheme val="minor"/>
      </rPr>
      <t xml:space="preserve">
[kg/kg ingredient]</t>
    </r>
  </si>
  <si>
    <r>
      <rPr>
        <b/>
        <sz val="9"/>
        <color theme="1"/>
        <rFont val="Calibri"/>
        <family val="2"/>
        <scheme val="minor"/>
      </rPr>
      <t>N2O-N emission per ton manure</t>
    </r>
    <r>
      <rPr>
        <sz val="9"/>
        <color theme="1"/>
        <rFont val="Calibri"/>
        <family val="2"/>
        <scheme val="minor"/>
      </rPr>
      <t xml:space="preserve">
[kg/ton manure]</t>
    </r>
  </si>
  <si>
    <r>
      <rPr>
        <b/>
        <sz val="9"/>
        <color theme="1"/>
        <rFont val="Calibri"/>
        <family val="2"/>
        <scheme val="minor"/>
      </rPr>
      <t xml:space="preserve">C2O-fossil emission factor </t>
    </r>
    <r>
      <rPr>
        <sz val="9"/>
        <color theme="1"/>
        <rFont val="Calibri"/>
        <family val="2"/>
        <scheme val="minor"/>
      </rPr>
      <t xml:space="preserve">
[kg/kg ingredient]</t>
    </r>
  </si>
  <si>
    <r>
      <rPr>
        <b/>
        <sz val="9"/>
        <color theme="1"/>
        <rFont val="Calibri"/>
        <family val="2"/>
        <scheme val="minor"/>
      </rPr>
      <t>C2O-fossil emission per ton manure</t>
    </r>
    <r>
      <rPr>
        <sz val="9"/>
        <color theme="1"/>
        <rFont val="Calibri"/>
        <family val="2"/>
        <scheme val="minor"/>
      </rPr>
      <t xml:space="preserve">
[kg/ton manure]</t>
    </r>
  </si>
  <si>
    <r>
      <rPr>
        <b/>
        <sz val="9"/>
        <color theme="1"/>
        <rFont val="Calibri"/>
        <family val="2"/>
        <scheme val="minor"/>
      </rPr>
      <t xml:space="preserve">NO3-N emission factor </t>
    </r>
    <r>
      <rPr>
        <sz val="9"/>
        <color theme="1"/>
        <rFont val="Calibri"/>
        <family val="2"/>
        <scheme val="minor"/>
      </rPr>
      <t xml:space="preserve">
[kg/kg ingredient]</t>
    </r>
  </si>
  <si>
    <r>
      <rPr>
        <b/>
        <sz val="9"/>
        <color theme="1"/>
        <rFont val="Calibri"/>
        <family val="2"/>
        <scheme val="minor"/>
      </rPr>
      <t>NO3-N emission per ton manure</t>
    </r>
    <r>
      <rPr>
        <sz val="9"/>
        <color theme="1"/>
        <rFont val="Calibri"/>
        <family val="2"/>
        <scheme val="minor"/>
      </rPr>
      <t xml:space="preserve">
[kg/ton manure]</t>
    </r>
  </si>
  <si>
    <r>
      <t>PO4-P</t>
    </r>
    <r>
      <rPr>
        <b/>
        <sz val="9"/>
        <color theme="1"/>
        <rFont val="Calibri"/>
        <family val="2"/>
        <scheme val="minor"/>
      </rPr>
      <t xml:space="preserve"> emission factor </t>
    </r>
    <r>
      <rPr>
        <sz val="9"/>
        <color theme="1"/>
        <rFont val="Calibri"/>
        <family val="2"/>
        <scheme val="minor"/>
      </rPr>
      <t xml:space="preserve">
[kg/kg ingredient]</t>
    </r>
  </si>
  <si>
    <r>
      <rPr>
        <b/>
        <sz val="9"/>
        <color theme="1"/>
        <rFont val="Calibri"/>
        <family val="2"/>
        <scheme val="minor"/>
      </rPr>
      <t>PO4-P emission per ton manure</t>
    </r>
    <r>
      <rPr>
        <sz val="9"/>
        <color theme="1"/>
        <rFont val="Calibri"/>
        <family val="2"/>
        <scheme val="minor"/>
      </rPr>
      <t xml:space="preserve">
[kg/ton manure]</t>
    </r>
  </si>
  <si>
    <t>Trial - WITH ADDITIVE and feed change</t>
  </si>
  <si>
    <t>Feeding calculations will be elaborated in the upcoming version of the tool</t>
  </si>
  <si>
    <t>Reference system - data for feeding</t>
  </si>
  <si>
    <t>For fattening pigs and broilers: Feed conversion rate (FCR) (kg feed/kg liveweight)</t>
  </si>
  <si>
    <t>For fattening pigs and broilers: Manure-liveweight ratio (kg manure/kg liveweight)</t>
  </si>
  <si>
    <t>fatt. Pigs &amp; Broilers: Feed conversion rate (FCR) 
(kg feed/kg liveweight)</t>
  </si>
  <si>
    <t>Fatt. Pigs &amp; Broilers: Manure-liveweight ratio 
(kg manure/kg liveweight)</t>
  </si>
  <si>
    <t>Consumer egg production only. closed, well insulated housing; forced ventilated, solid floor with bedding; aviaries with perches (multi-level), automatic feeding and drinking systems and perforated dropping area with manure belt respectively ventilated manure belt; mobile manure removal from the scratching area; automatic manure removal from the manure belts; functional areas</t>
  </si>
  <si>
    <t>Working principles: Manure belts under the aviaries to collect the manure with frequent removal (twice a week) in order to reduce ammonia and odour emission from the housing alternative: ventilated manure belts: pre-drying of the droppings and frequent (weekly) removal.
The reduced NH3 emissions in the housing units will lead to higher N in slurry during storage and application, leading to slightly higher emissions during these stages.</t>
  </si>
  <si>
    <r>
      <t>Acidification reduces pH, which affects the equilibrium between ammonium (NH4+) and ammonia (NH3), leading to a reduction in NH3 emissions.</t>
    </r>
    <r>
      <rPr>
        <sz val="10"/>
        <color rgb="FFFF0000"/>
        <rFont val="Calibri"/>
        <family val="2"/>
        <scheme val="minor"/>
      </rPr>
      <t xml:space="preserve"> </t>
    </r>
    <r>
      <rPr>
        <sz val="10"/>
        <color theme="1"/>
        <rFont val="Calibri"/>
        <family val="2"/>
        <scheme val="minor"/>
      </rPr>
      <t>The lowered pH also inhibits microbial activity in the slurry, preventing bacteria from producing gases like methane (CH4) and nitrous oxide (Nox). Application of acidified slurry to field leads to need for application of lime, which is included.
Cross media: The reductions of NH3 emissions in the housing units and during storage leads to a higher N content in the slurry ex-storage, leading to a higher nitrate leaching.</t>
    </r>
  </si>
  <si>
    <t>Data on NH3 and N2O reductions obtained by calculating relative to "reference system" from Germany, see DE_housing_layers_litter.pdf.</t>
  </si>
  <si>
    <t xml:space="preserve">closed, well insulated housing; forced ventilated, solid floor with bedding; aviaries with perches (multi-level), automatic feeding and drinking systems and perforated dropping area with manure belt; mobile manure removal from the scratching area; automatic manure removal from the manure belts; functional areas </t>
  </si>
  <si>
    <t>Working principles: manure belts under the aviaries to collect the manure with frequent removal (twice a week) in order to reduce ammonia and odour emission from the housing</t>
  </si>
  <si>
    <t>Data on NH3 reductions obtained by calculating relative to "reference system" from Germany, see DE_housing_pullets_litter</t>
  </si>
  <si>
    <t>The exhaust air of animal housings is led through a filter bed usually consisting of organic material, such as root wood or wood chips. The filter material has to be kept moisture so that gaseous contaminants are absorbed by the moisture film of the biofilter material and generally oxidized or degraded by microorganisms living on the filter material.</t>
  </si>
  <si>
    <t xml:space="preserve">Application in pig farming only. Biofilters are mainly used to eliminate odours in housings with slurry systems (no bedding material used). They can also be used for dust separation if coarsely structured filter material, which does not tend to clog, is used at least on the crude gas side. Biofilters are not suitable for the reduction of ammonia due to the formation of secondary trace gases, such as nitrous oxides and dinitrogen monoxide (laughing gas).
</t>
  </si>
  <si>
    <t>No data on increased N2O emissions.</t>
  </si>
  <si>
    <t>Application in pig farming only. Multi-stage exhaust air cleaning system (cross-flow principle) that consists of three stages / filterwalls, for simultaneous reduction of odour, ammonia and dust by combining different chemical and biological cleaning principles and their advantages (water scrubber + chemical scrubber + biofilter).</t>
  </si>
  <si>
    <t>Installation in which the polluted air is passed upwards (counter-current) over filter elements that are continuously sprinkled with water. Due to an intensive contact between air and water the components contained in the contaminated air change from the gas to the liquid phase. Dust, ammonia, and odour are absorped in the liquid phase and degraded by microorganisms settling on the filter elements as a biofilm. Ammonia is degraded by a bacterial conversion to nitrite and nitrate; this process is called nitrification. The accumulated nitrite and nitrate, which are toxic for the bacteria has to be removed with the discharge water. (Continues, see reference)</t>
  </si>
  <si>
    <t>Application in pig farming only.</t>
  </si>
  <si>
    <t>Conversion factors</t>
  </si>
  <si>
    <t>Additional energy consumption for control and data recording of the air treatment system +  for ventilation (additional consumption). Info in BAT document related to fattening pigs. Energy consumption calculated per ton manure for these.</t>
  </si>
  <si>
    <t>Application in pig farming only. Multi-stage exhaust air cleaning system (cross-flow principle) that consists of two stages / filterwalls (chemical scrubbing + water/biological scrubbing) for simultaneous reduction of odour, ammonia and dust. The first stage is a chemical washer to separate ammonia and dust (using sulphuric acid). The second stage is a biologically active water scrubber, which is completely separated from the acid stage.</t>
  </si>
  <si>
    <t>The contact beds are intermittently sprinkled with acidified water The scrubbing water in the chemical stage, which contains ammonium sulphate, must be stored in a separate storage tank, whereas the scrubbing water of the separate water stage can be pumped into the external slurry store. Discharged waters are applied to land together with the liquid manure.</t>
  </si>
  <si>
    <t>Fatt. pigs. Housing. Slurry acidification in housing units. Band spreading / trailing hose. (Ref: Denmark)</t>
  </si>
  <si>
    <t>Sulphuric acid is added to the scrubbing water in the chemical stage  it conatins contains ammonium sulphate - this is applied to land together with the liquid manure. Accordingly, the impact of adding sulphuric acid to the slurry before application has been included; however, not during storage (as the sulphuric acid containg scrubbing water is stored separately). NH3 emissions during application asssumed to be in same order as for acidified slurry, see DK_treatment_manureacid_1.pdf  from Denmark. Reductions will be higher if field application by band spreading / trailing hose.</t>
  </si>
  <si>
    <t xml:space="preserve">Theoretically, 1.4 kg lime should be spread to neutralise each kg sulfuric acid used for the slurry acidification. Application of acidified slurry leads to increased yield. Data from technique from Denmark "Slurry acidification during field spreading (SyreN)"    </t>
  </si>
  <si>
    <t xml:space="preserve">Additional energy consumption for control and data recording of the air treatment system +  for ventilation (additional consumption). Info in BAT document related to fattening pigs. Energy consumption calculated per ton manure for these. Theoretically, 1.4 kg lime should be spread to neutralise each kg sulfuric acid used for the slurry acidification. Application of acidified slurry leads to increased yield. Data from technique from Denmark "Slurry acidification during field spreading (SyreN)"    </t>
  </si>
  <si>
    <t>Sulphuric acid is added to the scrubbing water in the chemical stage  it conatins contains ammonium sulphate - this is applied to land together with the liquid manure. Accordingly, the impact of adding sulphuric acid to the slurry before application has been included. The BAT states "Wastewater is discharged into the slurry." Accordingly, it is assumed that NH3 emissions are reduced slightly during storage as well - as well as N2O and CH4 (however, not as much as for the technique "Acidification of slurry in housing units" as the amounts of H2SO4 are much higher for that technique). The emission reductions are calculated relative to the H2SO4 amount. NH3 emissions during application asssumed to be in same order as for acidified slurry, see DK_treatment_manureacid_1.pdf  from Denmark. Reductions will be higher if field application by band spreading / trailing hose.</t>
  </si>
  <si>
    <t>NH3 reduction of 10 % for every 10 W/m2 in cooling effect</t>
  </si>
  <si>
    <t>Manure cooling system can be installed under manure chanals with vacuum cleaning or with scrabers (typically wire type). PEL -pipes are cast down in the concrete under chanals in new buildings with a distance of 35-40 cm between each loop. (see pictures below). Alternatively cooling pipes can be installed above concrete. The pipes are connected to af heat exchange pump and the heat recovered from this proces might be used for heating in other parts of the farm (house for weaning pig, farrowing pen, private farmhouse etc.</t>
  </si>
  <si>
    <t>Reason for design: Ammonia emission reduction. Tests has shown that emission can be reduced with 10 % for every 10 W/m2 cooling effect applied. Reduction of temperature in manure and wet surface of the chanal floor results in a reduction of evaporation/emission. Necessary management handlings: Frequent scraping of manurechanal or frequent emtying in manure chanals with vacuum systems.</t>
  </si>
  <si>
    <t>Energy data from Appendix_DK_housing_manurecooling.pdf</t>
  </si>
  <si>
    <t>Manure band technology means that a conveyer belt is installed below the cages. The conveyer belt removes manure at intervals</t>
  </si>
  <si>
    <t>No information on energy consumption for manure belts.</t>
  </si>
  <si>
    <t>Electricity (kWh per animal place per year)</t>
  </si>
  <si>
    <t>Manure drying is used in laying hen stables with manure pits to store manure during the 13-15 month laying period. The system differs from traditional stables by having a manure pit at least 70 cm deeper than traditional laying hen stables. The purpose is to make room for the ventilation unit and ventilation of the manure surface in the manure pit. Drying of the manure is achieved by ventilation with heated air. The heatblowers circulate the air in the manure pit. Stable temperature above the freshly deposited manure must be 15-20 C.</t>
  </si>
  <si>
    <t>A tight covered surface can be achieved by adding light tile stones to the surface of the slurry. Light tile consists of thousands of small, closed, air-filled cells made of burned tile which float on the surface. Stones which are pumped out are not a problem as they have similar properties to soil. Approximately a 10 cm deep layer of light tile should be used per m2 of slurry surface, which is roughly equal to 0,1 m3 / m2 slurry surface. Approximately 10 % of the surface material should be replaced after emptying the tank of slurry, to replace tiles lost in the process. Light tile stones should be placed in calm weather and when the container is empty. After around 14 days, the stones will become gelled together.</t>
  </si>
  <si>
    <t>No increase of CH4 and N2O  emissions will likely occur during storage.</t>
  </si>
  <si>
    <t>Covering slurry with light tile stones increases energy consumption compared with use of natural coverings. See more info in reference. The extra energy consumption for producing tiles and additional energy for pumping corresponds to 11 kWh per m3 slurry.</t>
  </si>
  <si>
    <t>The Smellfighter technology (from Danish company: Infarm A/S) works by separating the liquid fraction from the solid fraction of the manure and treating with ozone. Treated liquid is pumped back into the manure pits of the houses where it mixes with the fresh manure resulting in reduction of odour in the exhaust air from the houses. Odour reduction around 40 % is reported in tests on farm.
The technology can be used in combination with an acidification unit.</t>
  </si>
  <si>
    <t xml:space="preserve">The reduction of ammonia depends on the capacity of the aircleaner and as a result of that - the proportion of the total air that is sent through the filter. More than 90 % of ammonia can be removed (when all air is treated)
</t>
  </si>
  <si>
    <t xml:space="preserve">This type of air cleaning is based on a chemical cleaning proces in which the exhaust air from pighouse is sent through a filtermatrice made of plastic pads with a large surface and low counterpressure. Tests and data in this document from airclenaing at fattening pigs. The filtermaterial is constantly sprinkled with deluted sulfuric acid. In the cleaning proces morre than 90 % of the ammonia reacts wiht acid and dust is also removed from air. (In an other type of chemical aircleaner the air is treated usig a spray system to create microscopic drops of acid in the airflow. The after rection with ammonia and adsorption of dust the drops are separated from the air stream i a specieal cyclone champer)
</t>
  </si>
  <si>
    <t>No data on CH4 and N2O</t>
  </si>
  <si>
    <t>The System is applicable for all pig categories, but described here for fattening pig houses. Farm AirClean is a two stage biotricling filter with walls made of carton/paper as filtermaterial . The system is based solely on biological air-cleaning principles and only water used to spinkle. Reduction of odour, ammonia and dust. It can be built as a modular system where the quantity of cleaning units can be calculated based on the number of cubic metres of house air to be cleaned. The cleaning units are available in capacities ranging from 10,000 to 40,000 cubic metres per hour. All filteres should be fitted with an automatic filter washer to avoid clotting.</t>
  </si>
  <si>
    <t>The water from the filter is discharged to the slurry tank (mixed with the manure) - which means, that the NH3 is returned to the system.</t>
  </si>
  <si>
    <t>NH3 reductions in housing units: from 50 to 85%. However, as the water from the filter is discharged to the slurry tank (mixed with the manure) - which means, that the NH3 is returned to the system - and adding to the emissions from storage (in order to "return" the NH3 emissions and bring the slurry back to the "reference system", these are added as +50% during storage - which is a rough estimate).</t>
  </si>
  <si>
    <t>-84% to -97%</t>
  </si>
  <si>
    <t>-28% to -54%</t>
  </si>
  <si>
    <t>By injection in bare soil slurry is placed in grooves in the soil. Since there are no crops to damage, the injection happens with a relatively strong soil treatment, which covers the slurry almost complete by the soil. In practice a sharp S-shaped spring tine, as it is known from stub cultivators. The tines cultivate the soil in 10-15 cm depth. The slurry is placed in the harrow tines groove before the soil again closes behind the tine. On the surface, only a very limited quantity of slurry is visible since the slurry in practice only ends at the soil surface on the headland, or if a injection tine hits a big rock.</t>
  </si>
  <si>
    <t>reduction: 0-50%</t>
  </si>
  <si>
    <t>For injection in grass crops the slurry is located in grooves in the ground, cut or pressed by a harrow tine or disks. The incorporator aggregates are typically placed on an injection bar at 9 to 12 meters with a spacing of between 20 and 30 cm. Injection leads to applied slurry which is fully or partially located below the soil surface. Grooves will normally be open after slurry application, which means that the odor and ammonia can evaporate from the slurry surface. The effect of incorporation depends greatly on how large a proportion of the applied slurry can be accommodated in the grooves formed. The effect of slurry injection depends therefore both of soil type, soil dryness and the technique used.</t>
  </si>
  <si>
    <t xml:space="preserve">For slurry from fattening pigs and sows. During land application the slurry is continuously acidified by mixing the slurry with concentrated sulphuric acid. By mixing slurry with acid during the field spreading operation, the pH is lowered whereby the equilibrium between ammonia (NH3, gaseous form) and ammonium (NH4 - aquatic suspension) is changed towards ammonium. Ammonia evaporation is limited at pH under 6.5. Sulphuric acid is stored in an approved container mounted in front of the tractor that pulls the liquid manure spreader / slurry tanker. The sulphuric acid is pumped through pipes from the acid container  to the outlet of the manure spreader where the liquid manure is mixed with the acid.
</t>
  </si>
  <si>
    <t xml:space="preserve">Acidification of slurry in storage tank happen by adding sulfuric acid to the slurry in the tank while the slurry is agitated. The acidification is normally taking place immediately before the slurry is brought to the fields for application (because the slurry anyway needs agitation to be homogenised before spreading). By mixing slurry with acid, such as sulfuric acid, the pH is lowered whereby the equilibrium between ammonia (NH3-N, gaseous form) and ammonium (NH4-N - aquatic suspension) is changed towards ammonium. Only limited ammonia evaporation happen at pH under 6.5. </t>
  </si>
  <si>
    <t xml:space="preserve">The use of sulphuric acid increases the yield. The yield increase used in the calculations is a "conservitve etimate" based on theoretical calculations. A range of field trials has shown yield increases significantly higher than this. Furthermore, the use of acid leads to a higher demand for lime applied to the field. This is included. </t>
  </si>
  <si>
    <t>Extra energy consumption</t>
  </si>
  <si>
    <t>Electricity consumption (kWh/ton manure)</t>
  </si>
  <si>
    <t>Extra energy consumption (kWh/animal place per year)</t>
  </si>
  <si>
    <t>Extra heat / diesel (MJ/ton manure)</t>
  </si>
  <si>
    <t>No data on CH4 and N2O reductions. Data for these emissions taken from Spain - Spain. ES_poultry_laying_hen_1-2.pdf</t>
  </si>
  <si>
    <t>Other: Appr. 90% of energy used for heating obtained by heat recovery from slurry.</t>
  </si>
  <si>
    <t>Energy saving fans: electricity saving compared to the conventional fans. Heat pump: 70-80% reduction due to the heat pump</t>
  </si>
  <si>
    <t>Rearing of fattening pigs in compartments with liquid manure system. Slatted floor system with drained area, slurry cooling and additive. 31% slatted.  Additvie not described. Energy consumption stated: "70-80% reduction due to the heat pump" and "compared to conventional fans". This reduction is not related to the reference system used for the Tool and has not been included. When the slurry is cooled, the energy consumption is probably increased. Approx. 25% decrease in ammonia emissions due to the slurry cooling system and slurry additive compared to the conmentional system without these techniques) - i.e. for PSF floor (not fully slatted floor).</t>
  </si>
  <si>
    <t>Approx. 25% decrease in ammonia emissions due to the slurry cooling system and slurry additive compared to the conmentional system without these techniques) - i.e. for PSF floor (not fully slatted floor).</t>
  </si>
  <si>
    <t>Floating fins on the manure will cool the surface of the manure. Groundwater is used as a coolant. A number of fins is installed in the manure pit. These fins are filled with water and are floating on the manure. The total surface of the fins has to be a minimum of 200% compared to the manure surface. Groundwater is used as a coolant, which afterwards is pumped back into the underground. The temperature of the groundwater is normally no higher than 120 C. The temperature of the top layer of the manure should be not higher than 150 C. Application is also possible in pens with a convex floor. The convex floor separates both channels. Slats are made of concrete .</t>
  </si>
  <si>
    <t>This system has higher energy consumption (extra 14 kWh/pig place). In some areas it is not desirable to pump up groundwater or to pump it back into the ground (a potential risk of groundwater pollution).</t>
  </si>
  <si>
    <t>Floating fins on the manure will cool the surface of the manure. Groundwater is used as a coolant. A number of fins is installed in the manure pit. These fins are filled with water and are floating on the manure. The total surface of the fins has to be a minimum of 200% compared to the manure surface. Groundwater is used as a coolant, which afterwards has to be pumped back into the underground. The temperature of the groundwater is normally no higher than 120 C. The temperature of the top layer of the manure should be not higher than 150 C. Application is also possible in pens with a convex floor. The convex floor separates both channels. The slats are made of triangle iron slats.</t>
  </si>
  <si>
    <t>Compared to a fully slatted floor the ammonia reduction is 60%. In other words the remaining emission is 1.5 kg NH3/ pig place/ year. THERE MUST BE AN ERROR IN THIS COMPARED TO THE OTHER TECHNIQUES FROM THE NETHERLANDS</t>
  </si>
  <si>
    <t>This system has higher energy consumption (extra 14 kWh/pig place).</t>
  </si>
  <si>
    <t>Free Floating balls in the manure pit decreases the ammonia emitting surface, less contact of air with sludge, so less ammonia emission. The hole emission surface contains floating HDPE-balls (18 balls per m^2).</t>
  </si>
  <si>
    <t>This system with the floating balls is very perspective and payable. It is a very good alternative to reduce the ammonia emission in an existing housing system. A ball (diameter 225 mm) contains 50% water and 50% air. On this way the balls floats optimal in the manure (balls are exactly half under and half above the manure-surface). The axis of a ball changes when faeces are dropped on it and the ball tilts. The faeces comes under the ball.</t>
  </si>
  <si>
    <t>Average ammonia reduction is 28 %</t>
  </si>
  <si>
    <t>Compared to a fully slatted floor the ammonia reduction is 70% on average (50-90%).</t>
  </si>
  <si>
    <t>The water consumption is increased with about 1 m3 per pig place and in accordance with this an extra effluent is produced. This system has a higher energy consumption (extra 35 kWh/ pig place).</t>
  </si>
  <si>
    <t>This system has a higher energy consumption (extra 35 kWh/ pig place).</t>
  </si>
  <si>
    <t>Denmark: No data on energy consumption. Energy consumption from NL data. Assumption: Consumption of sulphuric acid at the same level as air-cleaning techniques from Germany.</t>
  </si>
  <si>
    <t>Compared to a fully slatted floor the ammonia reduction is 60%. In other words the remaining emission is 1.2 kg NH3/ pig place/ year. This system is applicable in every design of a pen. For weaned piglets, the NH3 reduction is 75%</t>
  </si>
  <si>
    <t>All the ventilation air of the pen will be lead through a biofilter unit. A biolayer formed on the surfaces of the packed material absorbs ammonia so that it can broken down by microbes. Water circulation keeps the biolayer moist and nutrients available for the microorganisms.</t>
  </si>
  <si>
    <t>Only for land that can be easily ploughed</t>
  </si>
  <si>
    <t>Incorporation. Incorporating manure spread on the surface by ploughing is an efficient means of decreasing ammonia emissions. The manure must be completely buried under the soil to achieve the efficiencies given. Lower efficiencies are obtained with other types of cultivation machinery. Ploughing is mainly applicable to solid manures on arable soils. See further description in reference.</t>
  </si>
  <si>
    <t>Reduction: 50%-90% for manure depending on type</t>
  </si>
  <si>
    <t>In this system the emissions of ammonia, odour and fine dust are reduced by feeding all of the waste air of the pig housing system (or compartment) through a biological scrubber. The cleaned airstream leaves the scubber unit by way of a drip catcher.</t>
  </si>
  <si>
    <t>Waste air is brought into contact with the washing medium on the packed filter column. The waste air is flowing in an upward direction. The washing medium, which is continuously sprayed on the column, is moving in the opposite direction. In the section under the filter wall, waste air is already moistened and equally distributed over the filter wall. Ammonia is taken up in the washing medium and is converted to nitrate and nitrite by the microbes, present in a film on the synthetic filter material and in the washing medium (microbe flakes). Also (fine) dust and odour compounds are taken up in the washing medium.</t>
  </si>
  <si>
    <t>Energy for circulation pump - no data</t>
  </si>
  <si>
    <t>In this system the emissions of ammonia, odour and (fine) dust into the air are reduced by cleaning all of the waste air of the pig housing system (or compartment) in a combined scrubber. This particular installation consists of a water curtain (water and air flowing in the same direction) and a biological scrubber (counter flow). The biological scrubber (second step) has a packed column filter wall. This column is continuously sprayed with washing medium. The cleaned air leaves the unit via a drip catcher.</t>
  </si>
  <si>
    <t>Step 1: water curtain;
Step 2: biological scrubber</t>
  </si>
  <si>
    <t>Data from measurements: 89% - 100 % reduction 
(mean value 98% (summer period); 
87% reduction (winter period).</t>
  </si>
  <si>
    <t>Not possible to convert data on energy consumption to "per ton slurry" or "per animal place"</t>
  </si>
  <si>
    <t>In this system the emissions of ammonia, odour and fine dust into the air are reduced by cleaning all of the waste air of the pig housing system (or compartment) in a combined scrubber. This particular installation consists of a water curtain (water and air flowing in the same direction) and a biological scrubber (counter flow). The biological scrubber (second step) has a packed column filter wall. This column is continuously sprayed with washing medium. The cleaned air leaves the unit via a drip catcher.</t>
  </si>
  <si>
    <t>Fatt. pigs. Housing. Floor system: Floating balls in the manure pit. (Ref: NL)</t>
  </si>
  <si>
    <t>Fatt. pigs. Housing. Floor system: Cooling of manure chanal. Partly slatted floor, 25-49% solid floor. Cooling effect applied: 10 W/m2. (Ref. Denmark)</t>
  </si>
  <si>
    <t>Fatt. pigs. Housing. Floor system: Cooling of manure chanal. Partly slatted floor, 25-49% solid floor. Cooling effect applied: 20 W/m2. (Ref. Denmark)</t>
  </si>
  <si>
    <t>Fatt. pigs. Housing. Floor system: Cooling of manure chanal. Partly slatted floor, 25-49% solid floor. Cooling effect applied: 30 W/m2. (Ref. Denmark)</t>
  </si>
  <si>
    <t>Fatt. pigs. Housing. Floor system: Cooling of manure chanal. Partly slatted floor, 50-75% solid floor. Cooling effect applied: 10 W/m2. (Ref. Denmark)</t>
  </si>
  <si>
    <t>Fatt. pigs. Housing. Floor system: Cooling of manure chanal. Partly slatted floor, 50-75% solid floor. Cooling effect applied: 20 W/m2. (Ref. Denmark)</t>
  </si>
  <si>
    <t>Fatt. pigs. Housing. Floor system: Cooling of manure chanal. Partly slatted floor, 50-75% solid floor. Cooling effect applied: 30 W/m2. (Ref. Denmark)</t>
  </si>
  <si>
    <t>Fatt. pigs. Floor system: Slatted floor system with drained area, slurry cooling and additive. (not related to ref system) (Ref: Finland)</t>
  </si>
  <si>
    <t>Fatt. pigs. Housing. Air cleaning system: Smellfighter (reduction of odour). (Ref: Denmark)</t>
  </si>
  <si>
    <t>Fatt. pigs. Housing. Air cleaning system: Biofilter (reduction of odour and dust emission). (Ref: Germany)</t>
  </si>
  <si>
    <t>Fatt. pigs. Housing. Air cleaning system: Two stage biotricling filter. No chemicals needed. NH3 reduction: 50-85% (Ref: Denmark)</t>
  </si>
  <si>
    <t>Fatt. pigs. Housing. Air cleaning system: Bioscrubber. 70%. Dorset. (Ref: NL)</t>
  </si>
  <si>
    <t>Fatt. pigs. Housing. Air cleaning system: Combined Scrubber with water curtain and biological scrubber. 85%. Dorset. (Ref: NL)</t>
  </si>
  <si>
    <t>Fatt. pigs. Housing. Air cleaning system: Combined Scrubber with water curtain and biological scrubber. 85%. Devrie. (Ref: NL)</t>
  </si>
  <si>
    <t>Fatt. pigs. Housing. Air cleaning system: 2-stage-air-cleaner. (Ref: Germany)</t>
  </si>
  <si>
    <t>Fatt. pigs. Housing. Air cleaning system: 3-stage air cleaner. (Ref: Germany)</t>
  </si>
  <si>
    <t>Fatt. pigs. Housing. Air cleaning system: Biotrickling-filter. Scrubber (sulfuric acid). (Ref: Germany)</t>
  </si>
  <si>
    <t>Fatt. pigs. Housing. Air cleaning system: Combined Scrubber - cascaded water scrubber, chemical wet scrubber and biofilter. 70%. Big Dutchman . (Ref: NL)</t>
  </si>
  <si>
    <t>In this system the emissions of ammonia, odour and fine dust into the air are reduced by cleaning the waste air of the pig housing system in a combined scrubber. The first filter is a continous water scrubber (packed column), removing part of the fine dust content of the ventilation air. In this first step, also a conversion of ammonia to nitrate and nitrite takes place as a result of the activity of microbes in the washing water. The second filter is a packed column filter wall, continuously sprayed with sulphuric acid solution, removing part of the ammonia content of the waste air and also fine dust. Ammonia is taken up in the washing medium and reacts with the sulphuric acid forming ammonium sulphate. The third step is a biofilter. See further description in reference.</t>
  </si>
  <si>
    <t>Not possible to convert energy data and consumption of sulphuric acid to ap or per 1000 kg slurry. Data for this has been copied from technique alike (Germany)</t>
  </si>
  <si>
    <t>Destiny of sulhur containing "scrubber water" not known - and accordingly, not modelled.</t>
  </si>
  <si>
    <t>Fatt. pigs. Housing. Air cleaning system: Chemical wet scrubber with synthetic packed filter wall. 95%. Bovema. (Ref: NL)</t>
  </si>
  <si>
    <t>In this system the emissions of ammonia, odour and fine dust into the air are reduced by cleaning the waste air of the pig housing system (or compartment) in a chemical wet scrubber (transverse flow). This unit consists of a packed filter wall (synthetic material). This filter wall is sprayed continously with washing medium The cleaned air leaves the unit by way of an drip catcher.</t>
  </si>
  <si>
    <t>Data for the 95% reduction used.</t>
  </si>
  <si>
    <t>Not possible to convert data on consumption of energy and H2SO4 to "per ton slurry" or "per animal place" - data from alike techniques used.</t>
  </si>
  <si>
    <t>Fatt. pigs. Housing. Air cleaning system: Chemical wet scrubber with lamellae filter. 95%. Uniqfill. (Ref: NL)</t>
  </si>
  <si>
    <t>into the air are reduced by cleaning the waste air of the pig housing system (or compartment) in a chemical wet scrubber (transverse flow). This unit consists of a lamellae filter (synthetic polymer fibers, fixed in a special pattern between synthetic plates). The cleaned air leaves the unit by way of an drip catcher. The chemical wet scrubber with 70% reduction of ammonia emissions is derived from the same type of unit with 95% reduction of ammonia emissions (the unit with 70% reduction of ammonia emissions is operated at a higher filter surface load).</t>
  </si>
  <si>
    <t>Fatt. pigs. Housing. Air cleaning system: Chemical wet scrubber with packed filter wall. 95% . Inno+. (Ref: NL)</t>
  </si>
  <si>
    <t>Fatt. pigs. Housing. Air cleaning system: Combined Scrubber + water curtain. 85%. Inno+. (Ref: NL)</t>
  </si>
  <si>
    <t>Animal categories: broiler breeders, broilers, laying hen breeders, rearing pullets, laying hens, meat turkeys. The same type of unit is also in use at pig farms (in that case, the ammonia reduction percentage is 95%).</t>
  </si>
  <si>
    <t>In this system the emissions of ammonia, odour and fine dust into the air are reduced by cleaning the waste air of the poultry housing system in a chemical wet scrubber, consisting of two filter walls (packed column, transverse flow). The filter walls are continuously sprayed with washing medium (H2SO4 solution). The cleaned air leaves the unit by way of a drip catcher.</t>
  </si>
  <si>
    <t>The first filter wall (packed column water scrubber) is continuously sprayed with water. In the first filter, part of the dust content is removed from the airstream. The second filter (chemical wet scrubber) is also a packed column. This filter is continuously sprayed with sulphuric acid solution. The third filter is a bio filter (column packed with root-wood). This bio- filter is frequently sprayed with water during a short period of time, to keep the packed column moist. Spraying is adjusted according to weather conditions. Ammonia is taken up in the washing medium of the second filter step and reacts with the sulphuric acid, forming ammonium sulphate.  See further description in reference.</t>
  </si>
  <si>
    <t>Broilers. Housing. Air cleaning system: Chemical wet scrubber with packed filter wall. 90% . Inno+. (Ref: NL)</t>
  </si>
  <si>
    <t>No data on consumption of energy and H2SO4</t>
  </si>
  <si>
    <t>Colony housing ("Kleingruppenhaltung) for layers; vertical tiered cages with manure belts with forced air drying (0,7 m3/h/animal with a minimum of 17 degrees Celsius). The air for the forced air drying must be fresh. The dimensions of the cages depends of brand and type. Under the cages a manure belt is installated with air drying pipes above or along the belts. The manure will be removed weekly with a minimum dry matter content of 55%.</t>
  </si>
  <si>
    <t>Colony housing is developed due to legislation that banned the enriched cage in Germany and the Netherlands. The manure belts and force air drying are designed for reduction of ammonia. Compared to the traditional cage systems Colony housing give higher dust concentrations in the house and therefore higher dust emissions (23 compared to 5 gram PM10/ap/yr). The forced air drying causes a higher energy use. In Colony housing systems separated functional areas are available. Therefore the birds have more possibilities to perform there natural behaviour.</t>
  </si>
  <si>
    <t>Ammonia emission: 0.03 kg NH3/ (ap yr). Emission of ammonia is 70% less than the reference traditional cage system without forced air drying (0.100 kg NH3/ (ap yr). This reduction is related to the manure removal and the forced air drying.</t>
  </si>
  <si>
    <t>No data on extra energy consumption.</t>
  </si>
  <si>
    <t>No difference</t>
  </si>
  <si>
    <t>Aviary system for layers; about 55-60% of the usable area is slatted floor with manure belts (removing once a week), 0,7 m3/h/animal forced air drying (minimal 17 degrees Celsius). Aviary has at minimum two tiers. The birds can use the entire available surface. The manure on the belts is dried with forced air drying through pipes above or along the belts.</t>
  </si>
  <si>
    <t>Aviary systems are more and more used for layers because of welfare. The manure belts and forced air drying are designed for reduction of ammonia. Once a week removal of manure from the belts, forced air
drying and a low density of hens on the bedding surface to reduces the ammonia emission.</t>
  </si>
  <si>
    <t>Aviary system for layers; about 50% of the usable area is slatted floor with manure belts with forced air drying (0,2 m3/h/animal) with a minimum of 18 degrees Celsius. The manure will be removed twice a week. Aviary has at minimum two tiers. The birds can use the entire available space. The manure on the belts is dried with forced air drying through pipes above or along the belts.</t>
  </si>
  <si>
    <t>Aviary systems are more and more used for layers because of welfare. The manure belts, forced air drying and great bedding surface are designed for reduction of ammonia. The system is also developed to reduce floor and system eggs and decrease labour costs.
Maximum of 9 birds per m2 of usable area. Feeding and drinking above the slatted floors. Manure storage in covered container and removed from the farm within 2 weeks.</t>
  </si>
  <si>
    <t>No data on energy consumption</t>
  </si>
  <si>
    <t>Deep litter system with two stacked compartments (levels) for layers; minimum 50 until maximum 67% of the usable area is slatted floor and a minimum of 33% is a bedding floor. Slatted floors with manure belts (removing twice a week). Between the compartments (levels) a well heat conduction floor must be installed. Both compartments has its own climate control system.</t>
  </si>
  <si>
    <t>Twice a week removal of manure from the belts and higher dry matter content of the manure/bedding in the top compartment to reduce ammonia emission. Maximum of 9 birds per m2 of usable area.
Feeding and drinking above the slatted floors. The difference in height between bedding and slatted floor is maximum 50 cm. Manure storage in covered container and removed from the farm within 2 weeks.</t>
  </si>
  <si>
    <t>Emission of ammonia (0.068 kg NH3/ap/yr) is 78% less than the reference traditional deep litter system (0.315 kg NH3/ap/yr). This reduction is related to the manure removal (twice a week) and the the higher dry matter content of the manure/bedding in the top compartment.</t>
  </si>
  <si>
    <t>According to the reference, the emission of ammonia is 39% (0.055 kg NH3/ap/yr) less than the reference traditional aviary system without forced air drying (0.090 kg NH3/ap/yr). This reduction is related to the manure removal (twice a week), the forced air drying and the large deep litter surface. However, in this study, the refence system is  "Traditional deep litter system" (0.315 kg NH3/ap/yr) - which gives a reduction at (0.315-0.055)/0.315 = 82.5%</t>
  </si>
  <si>
    <t>Emission of ammonia is 59% (0.037 kg NH3/ap/yr) less than the reference traditional aviary system without forced air drying (0.090 kg NH3/ap/yr). This reduction is related to the manure removal (once a week), the forced air drying and the low density of hens per m2 bedding surface. However, in this study, the refence system is  "Traditional deep litter system" (0.315 kg NH3/ap/yr) - which gives a reduction at (0.315-0.037)/0.315 = 88%</t>
  </si>
  <si>
    <t>Aviary system for BROILER BREEDERS; traditional deep litter system with an extra level on top of the laying nest. The system has partly bedding and partly slatted floors with manure belts underneath. The manure on the belts is dried with (preheated) forced air drying through pipes above or along the belts. The manure must be removed at minimum once a week and the dry matter content must be 50% (at minimum).</t>
  </si>
  <si>
    <t>The manure belts and forced air drying are designed for reduction of ammonia.</t>
  </si>
  <si>
    <t>Emission of ammonia (0.170 kg NH3/ap/yr) is 71% less than the reference traditional deep litter system (0.580 kg NH3/ap/yr). This reduction is related to the manure removal (once a week) and the the preheated forced air drying. 
No difference compared to a traditional deep litter system</t>
  </si>
  <si>
    <t>Deep litter system for BROILER BREEDERS; traditional deep litter system with a perforated floor in the manure pit with forced air drying from below. Bedding area is 30% and slatted floor is 70% from the total area.</t>
  </si>
  <si>
    <t xml:space="preserve">Deep litter system for BROILER BREEDERS; traditional deep litter system with forced air drying with vertical tubes. A maximum of 67% of the usable area is slatted floor and a minimum of 33% is bedding floor. Under the slatted floors robust (not impressible) vertical tubes are installed. In the tubes small holes are used for blowing the air through the manure. Preheating of the forced air can be done by canels in the roof or by a heat exchanger. </t>
  </si>
  <si>
    <t>Minimum of 1300 cm2 per animal (max 7.7 animals per m2). Slatted floor area is: 45-55%. Bedding area is 45-55%. Manure removing minimal twice a week. Drinking system above the slatted floor. Average dry matter of the bedding is 70%. Dry matter content of the manure on time of removing minimum of 30%. Manure storage in covered container and frequently removed from the farm.</t>
  </si>
  <si>
    <t>Deep litter system for BROILER BREEDERS; traditional deep litter system with forced air drying from above. A maximum of 67% of the usable area is slatted floor and a minimum of 33% is bedding floor. Under the slatted floors pipes are installed for the forced air drying. The pipes are parallel installed to the laying nests and vertical movable to the manure (distance pipes to manure around 200 mm). Force air drying with 2.5 m3/h/animal and a minimum temperature of 24 degrees Celsius. 50% of the forced air is air form outside the house (fresh air).</t>
  </si>
  <si>
    <t>Deep litter system with manure belts for BROILER BREEDERS; traditional deep litter system with manure belts (removing twice a week). About 45-55% of the usable area is slatted floor and 45-55% is bedding area.</t>
  </si>
  <si>
    <t>Aviary system for layers; about 30-35% of the usable area is slatted floor with manure belts (removing once a week), 0,7 m3/h/animal forced air drying (minimal 17 degrees Celsius). Aviary has at minimum two tiers. The birds can use the entire available surface. The manure on the belts is dried with forced air drying through pipes above or along the belts.</t>
  </si>
  <si>
    <t>According to the reference, the emission of ammonia is 72% less (0.025 kg NH3/ap/yr) than the reference traditional aviary system without forced air drying (0.090 kg NH3/ap/yr). However, in this study, the refence system is  "Traditional deep litter system" (0.315 kg NH3/ap/yr) - which gives a reduction at (0.315-0.025)/0.315 = 92%</t>
  </si>
  <si>
    <t>All the ventilation rate will be lead through a chemical scrubbing unit. In this unit an acid scrubbing water is pumped around. By contact of the ventilated air with the scrubbing liquid the ammonia will be absorbed by the acid scrubbing liquid. After that the clean air leaves the system. Diluted sulphuric acid is mostly used in this system. Hydrochloric acid may also be used.</t>
  </si>
  <si>
    <t>Heaters with a ventilator take care of heating the house. For the heating warm water is used. The ventilator brings warm ceiling air to the litter. The heater is provided with equipment to let the air come out in horizontal direction, spreaded al over the litter (construction made by specification of the supplier).</t>
  </si>
  <si>
    <t>The reduction of ammonia was realised by drying the litter and keeping dry the litter by aeration of warmer ceiling air over the surface of the litter.</t>
  </si>
  <si>
    <t>Broilers. Housing. Forced ventilation (drying manure with warmer ceiling air). (Ref: NL)</t>
  </si>
  <si>
    <t>The system is characterised by a continuous updraught air stream through a perforated floor. This floor is covered with litter that can be used by the animals. Because of the continuous air flow the litter is getting dryer (&gt; 70% dry material) and this results in lower ammonia emissions. The total surface of the perforations must be at least 4%. Per broilerplace 2m3 [per hour?] ventilation air must be used.</t>
  </si>
  <si>
    <t>Because of the overpressure, air passes the perforations in the floor. This system doubles the electricity use and costs. The investments are higher and because the litter is so dry there is more dust in the broiler-house.
Data on extra energy consumption not available.</t>
  </si>
  <si>
    <t>The system is characterised by a continuous downward draught through a floating floor that is covered with litter on which the broilers live. The ventilation air is removed through dedicated ventilation ducts under the floating floor. The floating floor is made of a perforated polypropylene belt. The compartments in which the animals live have a width of 3m and a length according to the length of the house. The floating floor system is composed of tiers (3 or 4). After the growing period the floating floor can transport the broilers to the end of the house where the animals are placed in containers for transport to the slaughterhouse.</t>
  </si>
  <si>
    <t>According to table 17 and 18 in reference: 
Open manure storage (traditional): 0.050 kg NH3 per animal place per year
Controlled fermentation: 0.005kg NH3 per animal place per year
Reduction: (0.050-0.005)/0.050 = 90%</t>
  </si>
  <si>
    <t>According to table 17 and 18 in reference: 
Open manure storage (traditional): 0.050 kg NH3 per animal place per year
Drying tunnel with perforated manure belts: 0.015kg NH3 per animal place per year
Reduction: (0.050-0.015)/0.050 = 70%</t>
  </si>
  <si>
    <t>According to table 17 and 18 in reference: 
Open manure storage (traditional): 0.050 kg NH3 per animal place per year
Drying tunnel: 0.015kg NH3 per animal place per year
Reduction: (0.050-0.015)/0.050 = 70%</t>
  </si>
  <si>
    <t>Broiler breeders. Housing. Category: Litter based floor. Partly slatted floors with manure belts underneath, forced air drying of manure at belts. Manure removed once a week. (Ref: NL)</t>
  </si>
  <si>
    <t>Broiler breeders. Housing. Category: Litter based floor. 70% partly slatted floors with manure belts underneath, forced air drying of manure at belts. Manure removed once a week. (Ref: NL)</t>
  </si>
  <si>
    <t>Broiler breeders. Housing. Category: Litter based floor. 67% partly slatted floors. Traditional deep litter system with forced air drying with vertical tubes. (Ref: NL)</t>
  </si>
  <si>
    <t>Broiler breeders. Housing. Category: Litter based floor. 45-55% partly slatted floors. Deep litter system with manure belts. (Ref: NL)</t>
  </si>
  <si>
    <t>Broiler breeders. Housing. Category: Litter based floor. 67% partly slatted floors. Traditional deep litter system with forced air drying from above. (Ref: NL)</t>
  </si>
  <si>
    <t>Aviary system for pullets; more then 55% slattered floor with manure belts (removing once a week), no forced air drying. Aviary elements are placed in the house. The birds can use the entire available space. In the system are slattered floors with belts underneath.</t>
  </si>
  <si>
    <t>Aviary system for pullets; more then 45-55% slattered floor with manure belts (removing once a week), 0,1 m3/h/animal forced air drying of 18 degrees Celsius. Aviary elements are placed in the house. The birds can use the entire available space. In the system are slattered floors with belts underneath. The manure on the belts is dried with forced air drying through pipes above or along the belts.</t>
  </si>
  <si>
    <t>Aviary system for pullets; more then 55-60% slattered floor with manure belts (removing once a week), 0,4 m3/h/animal forced air drying of 17 degrees Celsius. Aviary elements are placed in the house. The birds can use the entire available space. In the system are slattered floors with belts underneath. The manure on the belts is dried with forced air drying through pipes above or along the belts. Only fresh air from outside may be used.</t>
  </si>
  <si>
    <t>Aviary system for pullets; more then 65-70% slattered floor with manure belts (removing once a week), 0,2 m3/h/animal forced air drying of 20 degrees Celsius. Aviary elements are placed in the house. The birds can use the entire available space. In the system are slattered floors with belts underneath. The manure on the belts is dried with forced air drying through pipes above or along the belts.</t>
  </si>
  <si>
    <t>Starting point for calculations</t>
  </si>
  <si>
    <t>1 t of manure 
ex-animal</t>
  </si>
  <si>
    <t>Total-N ex-animal  [kg]</t>
  </si>
  <si>
    <t>NH3 emissions in HOUSING units 
[kg NH3-N]</t>
  </si>
  <si>
    <t>N2O emissions in HOUSING units 
[kg N2O-N]</t>
  </si>
  <si>
    <t>Sum of Total-N ex-animal minus emissions</t>
  </si>
  <si>
    <t>NH3 emissions during STORAGE 
[kg NH3-N]</t>
  </si>
  <si>
    <t>N2O emissions during STORAGE 
[kg N2O-N]</t>
  </si>
  <si>
    <t>Total-N ex-storage [kg]</t>
  </si>
  <si>
    <t>Sum of Total-N ex-housing minus emissions</t>
  </si>
  <si>
    <t>NH3 emissions related to FIELD  application [kg NH3-N]</t>
  </si>
  <si>
    <t>N2O emissions related to FIELD  application [kg N2O-N]</t>
  </si>
  <si>
    <t>Sum of Total-N ex-storage minus emissions</t>
  </si>
  <si>
    <t>HOUSING</t>
  </si>
  <si>
    <t>STORAGE</t>
  </si>
  <si>
    <t>FIELD</t>
  </si>
  <si>
    <t>Animal category</t>
  </si>
  <si>
    <t>Defintion of animal category</t>
  </si>
  <si>
    <t>Total-N ex-housing [kg]</t>
  </si>
  <si>
    <t>Calculations based on emission factor above and the ratio between N ex-animal and N ex-storage</t>
  </si>
  <si>
    <t>CH4 emission factors - per kg VS in manure</t>
  </si>
  <si>
    <t>NH3 emissions - per animal place</t>
  </si>
  <si>
    <t>NH3 emissions in housing units 
[kg NH3-N/animal place per year]</t>
  </si>
  <si>
    <t>NH3 emissions during storage
[kg NH3-N/animal place per year]</t>
  </si>
  <si>
    <t>NH3 emissions from field application 
[kg NH3-N/animal place per year]</t>
  </si>
  <si>
    <t>N2O emissions in housing units
[kg N2O-N/animal place per year]</t>
  </si>
  <si>
    <t>N2O emissions during storage
[kg N2O-N/animal place per year]</t>
  </si>
  <si>
    <t>N2O emissions from field application
[kg N2O-N/animal place per year]</t>
  </si>
  <si>
    <t>N2O emissions - per animal place</t>
  </si>
  <si>
    <t>CH4 emissions - per animal place</t>
  </si>
  <si>
    <t>CH4 emissions in housing units
[kg CH4-N/animal place per year]</t>
  </si>
  <si>
    <t>CH4 emissions during storage
[kg CH4-N/animal place per year]</t>
  </si>
  <si>
    <t>CH4 emissions from field application
[kg CH4-N/animal place per year]</t>
  </si>
  <si>
    <t>kg N added with straw and bedding material</t>
  </si>
  <si>
    <t>Not included in this simplified tool</t>
  </si>
  <si>
    <t>kg N added with straw (slurry cover)</t>
  </si>
  <si>
    <t>N2 emissions in HOUSING units 
[kg N2-N]</t>
  </si>
  <si>
    <t>Because of predominant aerobic conditions during field application, CH4 emissions from field are generally considered negligible (e.g. Hamelin et al., 2011; Sommer et al., 2004; Sherlock et al. 2002).</t>
  </si>
  <si>
    <t>CH4 emission in HOUSING units 
[kg CH4/kg VS ex-animal]</t>
  </si>
  <si>
    <r>
      <rPr>
        <sz val="10"/>
        <rFont val="Calibri"/>
        <family val="2"/>
        <scheme val="minor"/>
      </rPr>
      <t xml:space="preserve">CH4 emission during STORAGE </t>
    </r>
    <r>
      <rPr>
        <b/>
        <sz val="10"/>
        <color rgb="FFFF0000"/>
        <rFont val="Calibri"/>
        <family val="2"/>
        <scheme val="minor"/>
      </rPr>
      <t xml:space="preserve">
kg CH4/kg VS ex-animal</t>
    </r>
  </si>
  <si>
    <r>
      <t xml:space="preserve">CH4 emission during STORAGE 
</t>
    </r>
    <r>
      <rPr>
        <b/>
        <sz val="10"/>
        <color rgb="FF00B050"/>
        <rFont val="Calibri"/>
        <family val="2"/>
        <scheme val="minor"/>
      </rPr>
      <t>kg CH4/kg VS ex-housing</t>
    </r>
  </si>
  <si>
    <t>CH4 emission in from FIELD application
[kg CH4/kg VS ex-storage]</t>
  </si>
  <si>
    <t>N2 emissions outdoor STORAGE [kg N2-N]</t>
  </si>
  <si>
    <t>See emission factors above</t>
  </si>
  <si>
    <t>Remaining N to field</t>
  </si>
  <si>
    <t>At field: N leaching</t>
  </si>
  <si>
    <t>At field: Indirect N2O from volatilization [kg N2O-N]</t>
  </si>
  <si>
    <t>At field: Indirect N2O from N leaching [kg N2O-N]</t>
  </si>
  <si>
    <t>N mass balances - based on emission factors</t>
  </si>
  <si>
    <t>Volatile Solids VS ex-animal  [kg]</t>
  </si>
  <si>
    <t>CH4 emissions in HOUSING units [kg CH4]</t>
  </si>
  <si>
    <t>CH4-C emissions in HOUSING units [kg CH4-C]</t>
  </si>
  <si>
    <t>Calculated into CH4-C by a factor 12/16</t>
  </si>
  <si>
    <t>CO2 emissions in HOUSING units [kg CO2]</t>
  </si>
  <si>
    <t xml:space="preserve">For pig slurry: 1.94 kg CO2/kg CH4. For hens and broilers: 63 kg CO2/kg NH3. </t>
  </si>
  <si>
    <t>CO2-C emissions in HOUSING units [kg CO2-C]</t>
  </si>
  <si>
    <t>VS losses in-house assumed to be of at least the C and N loss</t>
  </si>
  <si>
    <t>Volatile Solids VS ex-housing  [kg]</t>
  </si>
  <si>
    <t>CH4 emissions during STORAGE [kg CH4]</t>
  </si>
  <si>
    <t>CO2 emissions during STORAGE [kg CO2]</t>
  </si>
  <si>
    <t>CH4-C emissions during STORAGE [kg CH4-C]</t>
  </si>
  <si>
    <t>CO2-C emissions during STORAGE [kg CO2-C]</t>
  </si>
  <si>
    <t>Volatile Solids VS ex-storage  [kg]</t>
  </si>
  <si>
    <t>Calculated into CO2-C by a factor 12/44 (i.e. 12/12+16+16)</t>
  </si>
  <si>
    <t>CH4 (kg CH4/kg VS (ex-animal and ex-housing)</t>
  </si>
  <si>
    <t>kg/kg N ex-animal</t>
  </si>
  <si>
    <t>kg/kg N ex-housing</t>
  </si>
  <si>
    <t>N2O emission factors for indirect N2O emissions</t>
  </si>
  <si>
    <t>N leaching</t>
  </si>
  <si>
    <t>Ex-ANIMAL</t>
  </si>
  <si>
    <t>Ex-HOUSING</t>
  </si>
  <si>
    <t>Ex-STORAGE</t>
  </si>
  <si>
    <t>NO emission factor in proportion of TAN</t>
  </si>
  <si>
    <t>N2 emission factor in proportion of TAN</t>
  </si>
  <si>
    <t>NO factor of TAN</t>
  </si>
  <si>
    <t>N2 factor of TAN</t>
  </si>
  <si>
    <t>NO representing NOx-N (i.e NO &amp; NO2). Based on TAN and emission factor above, recalculated into NO-N by a factor 14/(14+16)</t>
  </si>
  <si>
    <t>NO-N (i.e NO &amp; NO2) - outdoor STORAGE [kg NO-N]</t>
  </si>
  <si>
    <t>NO-N ((i.e NO &amp; NO2) - HOUSING [kg NO-N]</t>
  </si>
  <si>
    <t>NO-N (i.e NO &amp; NO2) - FIELD [kg NO-N]</t>
  </si>
  <si>
    <t>TAN proportion of total N in manure ex-animal [kg TAN per kg N ex-animal]</t>
  </si>
  <si>
    <t>TAN proportion of total N - in manure ex-housing [kg TAN per kg N ex-housing]</t>
  </si>
  <si>
    <t>TAN proportion of total N - in manure ex-storage  [kg TAN per kg N ex-storage]</t>
  </si>
  <si>
    <t>NO emissions from FIELD application
[kg NO-N per kg N ex-storage]</t>
  </si>
  <si>
    <t>N2 factor STORAGE</t>
  </si>
  <si>
    <t>N2 factor FIELD</t>
  </si>
  <si>
    <t>Not included. The atmosphere consists of 78%, and the number is not relevant for the mass balances</t>
  </si>
  <si>
    <t>N2 emission factor in HOUSING units 
[kg N2-N/kg N ex-animal]</t>
  </si>
  <si>
    <t>N2 emission during STORAGE 
kg N2-N/kg N ex-housing</t>
  </si>
  <si>
    <t>N2 emissions from FIELD application
[kg N2-N per kg N ex-storage]</t>
  </si>
  <si>
    <t xml:space="preserve">Based on TAN and emission factor above. </t>
  </si>
  <si>
    <t>Not relevant</t>
  </si>
  <si>
    <t>NO-N factor HOUSING</t>
  </si>
  <si>
    <t>NO-N factor STORAGE</t>
  </si>
  <si>
    <t>NO-N factor FIELD</t>
  </si>
  <si>
    <t>N2-N factor HOUSING</t>
  </si>
  <si>
    <t>Based on Nemecek and Kägi (p.36), the NOx-N emitted during the denitrification processes occurring in the soil can be estimated as: NOx = 0.21 × N2O (the N2O being the”direct” N2O).
Expressing NOx and N2O as N, as in the Tables above, and assuming NOx as NO2 (the ultimate oxidation stage), this estimation becomes: NOx-N = 0.1 x N2O-N.
As can be seen above, the N2O-N emission factor is . 0.01 kg N2O-N per kg N ex-storage (IPCC (2006) emission factor, for any organic amendment), accordingly, the emission factor per kg N ex-storage is 0.1 * 0.01 = 0.001 kg NO-N per kg N ex-animal 
Nemecek, T; Kägi, T. (2007). Life Cycle Inventory of Agricultural Production Systems. Data v 2.0 (2007). Ecoinvent report No. 15. Agrosope Reckenholz-Tänikon Research Station ART. Zürich and Dübendorf, December 2007.</t>
  </si>
  <si>
    <t>Indirect N2O from  volatilization: 
[kg N2O-N per kg NH3-N + NOx-N]</t>
  </si>
  <si>
    <t>Indirect N2O from N leaching: 
[kg N2O-N per kg N leaching]</t>
  </si>
  <si>
    <t xml:space="preserve">IPCC (2006). From volatilization: 0.010 kg N2O-N per kg NH3-N + NOx-N volatilized (Uncertainty: 0.002 – 0.05). The average corresponds to the IPCC (2006) emission factor, for any organic amendment. The minimum and maximum corresponds to a factor 3 of the average, based on IPCC (2006). Specific factors have been found for NL, i.e. 0.003 (application to grass) to 0.013 (application to arable land).
To this, the “indirect” N2O must be added:
1) From volatilization: 0.010 kg N2O-N per kg NH3-N + NOx-N volatilized (Uncertainty: 0.002 – 0.05)
2) From N leaching: 0.0075 kg N2O-N per kg N leaching (Uncertainty: 0.0005 – 0.025).
</t>
  </si>
  <si>
    <t xml:space="preserve">IPCC (2006). From N leaching: 0.0075 kg N2O-N per kg N leaching (Uncertainty: 0.0005 – 0.025). The average corresponds to the IPCC (2006) emission factor, for any organic amendment. The minimum and maximum corresponds to a factor 3 of the average, based on IPCC (2006). Specific factors have been found for NL, i.e. 0.003 (application to grass) to 0.013 (application to arable land).
To this, the “indirect” N2O must be added:
1) From volatilization: 0.010 kg N2O-N per kg NH3-N + NOx-N volatilized (Uncertainty: 0.002 – 0.05)
2) From N leaching: 0.0075 kg N2O-N per kg N leaching (Uncertainty: 0.0005 – 0.025).
</t>
  </si>
  <si>
    <t>CO2 (dry manure, related to NH3)</t>
  </si>
  <si>
    <t>CO2 (for pig slurry, related to CH4))</t>
  </si>
  <si>
    <t>kg CH4 / kg CO2</t>
  </si>
  <si>
    <t xml:space="preserve"> (kg CH4/kg VS ex-animal)</t>
  </si>
  <si>
    <t>kg CH4/ kg NH3</t>
  </si>
  <si>
    <t>C los as CH4-C</t>
  </si>
  <si>
    <t>C loss as CO2-C</t>
  </si>
  <si>
    <t>VS loss (= C loss + N loss)</t>
  </si>
  <si>
    <t xml:space="preserve"> (kg CH4/kg VS ex-housing)</t>
  </si>
  <si>
    <t>Ash</t>
  </si>
  <si>
    <t>Emission reduction from housing %</t>
  </si>
  <si>
    <t>Emission reduction from outdoor storage %</t>
  </si>
  <si>
    <t>Emission reduction from outdoor field application %</t>
  </si>
  <si>
    <t>FATTENING PIGS: HOUSING UNITS</t>
  </si>
  <si>
    <t>LAYING HENS: STORAGE</t>
  </si>
  <si>
    <t>BROILERS: HOUSING UNITS</t>
  </si>
  <si>
    <t>BROILERS: STORAGE</t>
  </si>
  <si>
    <t xml:space="preserve">Technique name - for drop down list. </t>
  </si>
  <si>
    <t>Sulphuric Acid: Emissions from production of sulphuric acid</t>
  </si>
  <si>
    <t>Lime: Emissions from production of lime</t>
  </si>
  <si>
    <t>S-fertiliser: Emissions from production of S-fertilizer</t>
  </si>
  <si>
    <t>Wheat: Emissions from production of wheat</t>
  </si>
  <si>
    <t>Diesel Fuel: Emissions from production of diesel fuel</t>
  </si>
  <si>
    <t>Emission per kg diesel</t>
  </si>
  <si>
    <t>Parameters for manure composition</t>
  </si>
  <si>
    <r>
      <t xml:space="preserve">Parameters for straw and water </t>
    </r>
    <r>
      <rPr>
        <b/>
        <sz val="12"/>
        <color rgb="FFFF0000"/>
        <rFont val="Calibri"/>
        <family val="2"/>
        <scheme val="minor"/>
      </rPr>
      <t>(not used in the current version of the tool)</t>
    </r>
  </si>
  <si>
    <r>
      <t xml:space="preserve">Parameters for total mass change </t>
    </r>
    <r>
      <rPr>
        <b/>
        <sz val="12"/>
        <color rgb="FFFF0000"/>
        <rFont val="Calibri"/>
        <family val="2"/>
        <scheme val="minor"/>
      </rPr>
      <t>(not used in the current version of the tool, as straw and water not included, and emissions small compared to overalle mass: 1000 kg manure)</t>
    </r>
  </si>
  <si>
    <t>Production emissions</t>
  </si>
  <si>
    <t>Production of electricity</t>
  </si>
  <si>
    <t>Production of heat</t>
  </si>
  <si>
    <t>Production of CAN</t>
  </si>
  <si>
    <t>Emission factors for production of background materials and energy consumption</t>
  </si>
  <si>
    <t>Warning</t>
  </si>
  <si>
    <t>Introduction</t>
  </si>
  <si>
    <t>Software requirements</t>
  </si>
  <si>
    <t>User Guideline</t>
  </si>
  <si>
    <t>Start</t>
  </si>
  <si>
    <t>For fattening pigs and broilers only</t>
  </si>
  <si>
    <t>Meat production per animal place [kg/animal place per year]</t>
  </si>
  <si>
    <t>Varies throughout Europe. The values in the worksheet is just an example. Can be changed by the user.</t>
  </si>
  <si>
    <t>P leaching</t>
  </si>
  <si>
    <t>Techniques</t>
  </si>
  <si>
    <t>Warning: This technique does not contain data for N2O or CH4. Please interpret results with care.</t>
  </si>
  <si>
    <t>LAYING HENS ON LITTER: HOUSING UNITS</t>
  </si>
  <si>
    <t>Laying hens on litter. Housing. Category: Litter based floor. Litter based system with aviaries. (Ref: Germany)</t>
  </si>
  <si>
    <t>Laying hens on litter. Housing. Category: Litter based floor. Litter based system with underfloor manure drying. (Ref: Denmark).</t>
  </si>
  <si>
    <t>Laying Hens on litter. Housing. Category: Litter based floor. Litter based system with aviaries. (Rearing pullets) (Ref: Germany)</t>
  </si>
  <si>
    <t>Laying Hens on litter. Housing. Category: Litter based floor. Aviary system, 55-60% slatted floor with manure belts (removing once a week), forced air drying (of manure on belts). (Ref: NL)</t>
  </si>
  <si>
    <t>Laying Hens on litter. Housing. Category: Litter based floor. Aviary system, 50% slatted floor with manure belts (removing twice a week), forced air drying (of manure on belts). (Ref: NL)</t>
  </si>
  <si>
    <t>Laying Hens on litter. Housing. Category: Litter based floor. Aviary system, 30-35% slatted floor with manure belts (removing once a week), forced air drying (of manure on belts). (Ref: NL)</t>
  </si>
  <si>
    <t>Rearing pullets on litter. Housing. Category: Litter based floor. Aviary system for pullets. 45-55% slatted floors with manure belts (removing once a week). (Ref: NL)</t>
  </si>
  <si>
    <t>Rearing pullets on litter. Housing. Category: Litter based floor. Aviary system for pullets. 55% slatted floors with manure belts (removing once a week). (Ref: NL)</t>
  </si>
  <si>
    <t>Rearing pullets on litter. Housing. Category: Litter based floor. Aviary system for pullets. 55-60% slatted floors with manure belts (removing once a week). Forced air drying of manure. (Ref: NL)</t>
  </si>
  <si>
    <t>Rearing pullets on litter. Housing. Category: Litter based floor. Aviary system for pullets. 65-70% slatted floors with manure belts (removing once a week). Forced air drying of manure. (Ref: NL)</t>
  </si>
  <si>
    <t>Laying Hens on litter. Housing. Category: Litter based floor. 67% slatted floors with manure belts (removing twice a week). Two stacked compartments (levels). (Ref: NL)</t>
  </si>
  <si>
    <t>Laying hens on litter. Housing. Air cleaning system: Chemical wet scrubber with packed filter wall. 90% . Inno+. (Ref: NL)</t>
  </si>
  <si>
    <t>LAYING HENS IN CAGES: HOUSING UNITS</t>
  </si>
  <si>
    <t>Laying hens in cages. Housing. Category: Enriched cages. Twice-weekly manure removal (manure belts). (Ref: Denmark)</t>
  </si>
  <si>
    <t xml:space="preserve">Laying hens in cages. Housing. Category: Enriched cages. Colony housing for layers; vertical tiered cages with manure belts with forced air drying. (Ref: NL) </t>
  </si>
  <si>
    <t>Laying hens in cages. Housing. Category: Enriched cages. Manure removal 7 times a week (manure belts). Ref: Denmark)</t>
  </si>
  <si>
    <t>The values in the yellow cells can be changed by the user.</t>
  </si>
  <si>
    <t>Approx 1 tonne as water and straw is not included in these simplified calculations</t>
  </si>
  <si>
    <t>These data are not included in the current version of the tool</t>
  </si>
  <si>
    <t>Warning: This technique does not contain data for N2O. Please interpret results with care.</t>
  </si>
  <si>
    <t>Warning: This technique does not contain data for CH4. Please interpret results with care.</t>
  </si>
  <si>
    <t>Limitation of Liability and user rights</t>
  </si>
  <si>
    <t>Reference Systems</t>
  </si>
  <si>
    <t xml:space="preserve">Changing a technique </t>
  </si>
  <si>
    <t>Adding a new technique</t>
  </si>
  <si>
    <t>** Note: the reduction in feed quantity, especially soy meal and/or other sources of amino acids, is NOT included in this version of the Tool.</t>
  </si>
  <si>
    <t>Manure production ex-animal [kg per animal place per year]</t>
  </si>
  <si>
    <t>Broiler rearing in two insulated buildings. Broiler rearing on litter. Bedding is renewed 6-7 times per year (after each batch).</t>
  </si>
  <si>
    <t>Technique combinations</t>
  </si>
  <si>
    <t>NH3-N (per kg N in manure ex-animal, ex-housing or ex-storage)</t>
  </si>
  <si>
    <t>N2O-N (per kg N ex-animal, ex-housing or ex-storage)</t>
  </si>
  <si>
    <t>Dry matter (DM) (%)</t>
  </si>
  <si>
    <t>Total N (%)</t>
  </si>
  <si>
    <t>Phosphorus (P) (%)</t>
  </si>
  <si>
    <t>Phosphorus (P) (Change in % of reference manure)</t>
  </si>
  <si>
    <t>Dry matter (DM) (Change in % of reference manure)</t>
  </si>
  <si>
    <t>Total N (Change in % of reference manure)</t>
  </si>
  <si>
    <t>The Manure Tool</t>
  </si>
  <si>
    <t>CO2 emission factors</t>
  </si>
  <si>
    <t>Based on mass balances and emission factors, see below</t>
  </si>
  <si>
    <t xml:space="preserve">Emission factors </t>
  </si>
  <si>
    <r>
      <t xml:space="preserve">NH3 emission in HOUSING units 
[kg NH3-N/kg N </t>
    </r>
    <r>
      <rPr>
        <b/>
        <sz val="10"/>
        <color rgb="FF00B050"/>
        <rFont val="Calibri"/>
        <family val="2"/>
        <scheme val="minor"/>
      </rPr>
      <t>ex-animal</t>
    </r>
    <r>
      <rPr>
        <sz val="10"/>
        <color rgb="FF000000"/>
        <rFont val="Calibri"/>
        <family val="2"/>
        <scheme val="minor"/>
      </rPr>
      <t>]</t>
    </r>
  </si>
  <si>
    <t>Not included in current version</t>
  </si>
  <si>
    <t>Manure Composition ex- animal</t>
  </si>
  <si>
    <t>Manure composition ex-housing</t>
  </si>
  <si>
    <t>Manure Composition ex-storage</t>
  </si>
  <si>
    <t>DM = VS + Ash</t>
  </si>
  <si>
    <t>Fattening pigs, slurry (DK)</t>
  </si>
  <si>
    <t>Fattening pigs, slurry (FI)</t>
  </si>
  <si>
    <t>Fattening pigs, slurry (SE)</t>
  </si>
  <si>
    <t>Fattening pigs, slurry (EE)</t>
  </si>
  <si>
    <t>Broilers, litter (SE)</t>
  </si>
  <si>
    <t>Broilers, litter (FI)</t>
  </si>
  <si>
    <t>Laying hens</t>
  </si>
  <si>
    <t>Dairy cows, slurry (DK)</t>
  </si>
  <si>
    <t>Dairy cows, slurry (FI)</t>
  </si>
  <si>
    <t>Dairy cows, slurry (SE)</t>
  </si>
  <si>
    <t>Dairy cows, slurry (EE)</t>
  </si>
  <si>
    <t>Horses, solid (SE)</t>
  </si>
  <si>
    <t>Dairy cows, solid (PL)</t>
  </si>
  <si>
    <t>Dairy Cows</t>
  </si>
  <si>
    <t>Horses</t>
  </si>
  <si>
    <t>Bulls (&gt;6 months), deep litter (DK)</t>
  </si>
  <si>
    <t>Bulls</t>
  </si>
  <si>
    <t>Fattening pigs</t>
  </si>
  <si>
    <t xml:space="preserve">Poulsen et al (2008): Baggrundstal. Table 9.7. </t>
  </si>
  <si>
    <t>IPCC (2006) method. All IPCC (2006) values for CH4 emissions applies for in-house and outdoor storage jointly.  Distributed as 25% in-house; 75% outdoor storage, i.e.25% is assumed to occur in-house and 75% during the outdoor storage. Based on information from Lorie Hamelin (2013)</t>
  </si>
  <si>
    <t>A 10-year simulation was carried out using a P calculation model. Ekholm, P., Turtola, E.,  Grönroos, J., Seuri, P. &amp; Ylivainio, K. 2005. Phosphorus loss from different farming systems estimated from soil surface phosphorus balance. Agriculture, Ecosystems and Environment 110: 266–278</t>
  </si>
  <si>
    <t>Nitrogen loads were calculated by an empirical model which was developed to predict annual average nitrate leaching as affected by the long-term rate of N fertilization and crop type by Simmelsgaard and Djurhuus (1998). Simmelsgaard, S.E. &amp; Djurhuus, J. 1998. An empirical model for estimating nitrate leaching as affected by crop type and the long-term N fertilizer rate. Soil Use and Management  14: 37-43.</t>
  </si>
  <si>
    <t>Select Animal category and Technique: Place the curser in the yellow cells below, select by clicking the small arrow to the right (the arrow will appear when you place the curser in the cell and click).</t>
  </si>
  <si>
    <t>Partly slatted floors with 24-49% solid floor</t>
  </si>
  <si>
    <t>Pumped towards pre-tank, and from there towards outdoor storage</t>
  </si>
  <si>
    <t>Average duration of in-house storage</t>
  </si>
  <si>
    <t>15 days</t>
  </si>
  <si>
    <t>Deep litter</t>
  </si>
  <si>
    <t>6.7 months</t>
  </si>
  <si>
    <t>Emptied at the end of the production with a loader</t>
  </si>
  <si>
    <t>Loose holding with beds, slatted floors,  (1.2 m channel)</t>
  </si>
  <si>
    <t>30 days</t>
  </si>
  <si>
    <t>Fatt. pigs. Housing. Floor system: Manure surface cooling channel (floating fins). Concrete slats. (Ref. NL, 1999)</t>
  </si>
  <si>
    <t>Fatt. pigs. Housing. Floor system: Manure surface cooling channel (floating fins). Triangle iron bars. (Ref. NL, 1999)</t>
  </si>
  <si>
    <t>Fatt. pigs. Housing. Air cleaning system: Bioscrubber. (Ref: NL, 1999)</t>
  </si>
  <si>
    <t>Fatt. pigs. Housing. Air cleaning system: Chemical Aircleaning, Scrubber (sulfuric acid). (Ref: Denmark and NL, 1999)</t>
  </si>
  <si>
    <t>Laying hens on litter. Housing. Air cleaning system: Chemical wet scrubber (sulphuric acid). (Ref: NL, 1999)</t>
  </si>
  <si>
    <t>kg N/ton</t>
  </si>
  <si>
    <t>kg P/ton</t>
  </si>
  <si>
    <t>kg CO2-eq. /ton</t>
  </si>
  <si>
    <t>Change:</t>
  </si>
  <si>
    <r>
      <t>kg NH</t>
    </r>
    <r>
      <rPr>
        <b/>
        <vertAlign val="subscript"/>
        <sz val="12"/>
        <color rgb="FFFF0000"/>
        <rFont val="Calibri"/>
        <family val="2"/>
        <scheme val="minor"/>
      </rPr>
      <t>3</t>
    </r>
    <r>
      <rPr>
        <b/>
        <sz val="12"/>
        <color rgb="FFFF0000"/>
        <rFont val="Calibri"/>
        <family val="2"/>
        <scheme val="minor"/>
      </rPr>
      <t>-N/ton</t>
    </r>
  </si>
  <si>
    <t>Emissions in-house, storage and field</t>
  </si>
  <si>
    <t>Other (energy etc)</t>
  </si>
  <si>
    <r>
      <t>Environmental assessment (NH</t>
    </r>
    <r>
      <rPr>
        <vertAlign val="subscript"/>
        <sz val="13"/>
        <color rgb="FF0070C0"/>
        <rFont val="Cambria"/>
        <family val="1"/>
        <scheme val="major"/>
      </rPr>
      <t>3</t>
    </r>
    <r>
      <rPr>
        <sz val="13"/>
        <color rgb="FF0070C0"/>
        <rFont val="Cambria"/>
        <family val="1"/>
        <scheme val="major"/>
      </rPr>
      <t xml:space="preserve"> and greenhouse gases)</t>
    </r>
  </si>
  <si>
    <r>
      <t>kg NH</t>
    </r>
    <r>
      <rPr>
        <b/>
        <vertAlign val="subscript"/>
        <sz val="10"/>
        <color rgb="FFFF0000"/>
        <rFont val="Calibri"/>
        <family val="2"/>
        <scheme val="minor"/>
      </rPr>
      <t>3</t>
    </r>
    <r>
      <rPr>
        <b/>
        <sz val="10"/>
        <color rgb="FFFF0000"/>
        <rFont val="Calibri"/>
        <family val="2"/>
        <scheme val="minor"/>
      </rPr>
      <t>-N/ton</t>
    </r>
  </si>
  <si>
    <t>Change</t>
  </si>
  <si>
    <r>
      <t>kg CO</t>
    </r>
    <r>
      <rPr>
        <b/>
        <vertAlign val="subscript"/>
        <sz val="10"/>
        <color rgb="FFFF0000"/>
        <rFont val="Calibri"/>
        <family val="2"/>
        <scheme val="minor"/>
      </rPr>
      <t>2</t>
    </r>
    <r>
      <rPr>
        <b/>
        <sz val="10"/>
        <color rgb="FFFF0000"/>
        <rFont val="Calibri"/>
        <family val="2"/>
        <scheme val="minor"/>
      </rPr>
      <t>-eq./ton</t>
    </r>
  </si>
  <si>
    <t>Method</t>
  </si>
  <si>
    <t>Report &amp; Results</t>
  </si>
  <si>
    <t>The worksheet "Report &amp; Results" shows the results of the calculations for the selected technique.</t>
  </si>
  <si>
    <t>It is designed for printing in A4 format.</t>
  </si>
  <si>
    <t>kg N leaching per kg N applied to field</t>
  </si>
  <si>
    <t>NH3-N emission factors - per kg N in manure</t>
  </si>
  <si>
    <r>
      <rPr>
        <sz val="10"/>
        <rFont val="Calibri"/>
        <family val="2"/>
        <scheme val="minor"/>
      </rPr>
      <t xml:space="preserve">NH3-N emission during STORAGE </t>
    </r>
    <r>
      <rPr>
        <b/>
        <sz val="10"/>
        <color rgb="FFFF0000"/>
        <rFont val="Calibri"/>
        <family val="2"/>
        <scheme val="minor"/>
      </rPr>
      <t xml:space="preserve">
</t>
    </r>
    <r>
      <rPr>
        <sz val="10"/>
        <rFont val="Calibri"/>
        <family val="2"/>
        <scheme val="minor"/>
      </rPr>
      <t>kg NH3-N/kg N</t>
    </r>
    <r>
      <rPr>
        <b/>
        <sz val="10"/>
        <color rgb="FFFF0000"/>
        <rFont val="Calibri"/>
        <family val="2"/>
        <scheme val="minor"/>
      </rPr>
      <t xml:space="preserve"> ex-animal</t>
    </r>
  </si>
  <si>
    <r>
      <t xml:space="preserve">NH3-N emission during STORAGE 
</t>
    </r>
    <r>
      <rPr>
        <sz val="10"/>
        <rFont val="Calibri"/>
        <family val="2"/>
        <scheme val="minor"/>
      </rPr>
      <t xml:space="preserve">kg NH3-N/kg N </t>
    </r>
    <r>
      <rPr>
        <b/>
        <sz val="10"/>
        <color rgb="FF00B050"/>
        <rFont val="Calibri"/>
        <family val="2"/>
        <scheme val="minor"/>
      </rPr>
      <t>ex-housing</t>
    </r>
  </si>
  <si>
    <r>
      <t>NH3-N emissions from FIELD application (including during application)
[kg NH3-N/kg N</t>
    </r>
    <r>
      <rPr>
        <b/>
        <sz val="10"/>
        <color rgb="FF00B050"/>
        <rFont val="Calibri"/>
        <family val="2"/>
        <scheme val="minor"/>
      </rPr>
      <t xml:space="preserve"> ex-storage</t>
    </r>
    <r>
      <rPr>
        <sz val="10"/>
        <color rgb="FF000000"/>
        <rFont val="Calibri"/>
        <family val="2"/>
        <scheme val="minor"/>
      </rPr>
      <t>]</t>
    </r>
  </si>
  <si>
    <t>N2O-N emission factors - per kg N in manure</t>
  </si>
  <si>
    <r>
      <t xml:space="preserve">N2O-N emission in HOUSING units 
[kg N2O-N/kg N </t>
    </r>
    <r>
      <rPr>
        <b/>
        <sz val="10"/>
        <color rgb="FF00B050"/>
        <rFont val="Calibri"/>
        <family val="2"/>
        <scheme val="minor"/>
      </rPr>
      <t>ex-animal</t>
    </r>
    <r>
      <rPr>
        <sz val="10"/>
        <color rgb="FF000000"/>
        <rFont val="Calibri"/>
        <family val="2"/>
        <scheme val="minor"/>
      </rPr>
      <t>]</t>
    </r>
  </si>
  <si>
    <r>
      <rPr>
        <sz val="10"/>
        <rFont val="Calibri"/>
        <family val="2"/>
        <scheme val="minor"/>
      </rPr>
      <t xml:space="preserve">N2O-N emission during STORAGE </t>
    </r>
    <r>
      <rPr>
        <b/>
        <sz val="10"/>
        <color rgb="FFFF0000"/>
        <rFont val="Calibri"/>
        <family val="2"/>
        <scheme val="minor"/>
      </rPr>
      <t xml:space="preserve">
</t>
    </r>
    <r>
      <rPr>
        <sz val="10"/>
        <rFont val="Calibri"/>
        <family val="2"/>
        <scheme val="minor"/>
      </rPr>
      <t>kg N2O-N/kg N</t>
    </r>
    <r>
      <rPr>
        <b/>
        <sz val="10"/>
        <color rgb="FFFF0000"/>
        <rFont val="Calibri"/>
        <family val="2"/>
        <scheme val="minor"/>
      </rPr>
      <t xml:space="preserve"> ex-animal</t>
    </r>
  </si>
  <si>
    <r>
      <t xml:space="preserve">N2O-N emission during STORAGE 
</t>
    </r>
    <r>
      <rPr>
        <b/>
        <sz val="10"/>
        <color rgb="FF00B050"/>
        <rFont val="Calibri"/>
        <family val="2"/>
        <scheme val="minor"/>
      </rPr>
      <t>kg N2O-N/kg N ex-housing</t>
    </r>
  </si>
  <si>
    <r>
      <t xml:space="preserve">N2O-N emissions from FIELD application
[kg N2O-N/kg N </t>
    </r>
    <r>
      <rPr>
        <b/>
        <sz val="10"/>
        <color rgb="FF00B050"/>
        <rFont val="Calibri"/>
        <family val="2"/>
        <scheme val="minor"/>
      </rPr>
      <t>ex-storage</t>
    </r>
    <r>
      <rPr>
        <sz val="10"/>
        <color rgb="FF000000"/>
        <rFont val="Calibri"/>
        <family val="2"/>
        <scheme val="minor"/>
      </rPr>
      <t>]</t>
    </r>
  </si>
  <si>
    <t>NO-N emission factor in HOUSING units 
[kg NO-N/kg N ex-animal]</t>
  </si>
  <si>
    <t>NO-N emission during STORAGE 
kg NO-N/kg N ex-housing</t>
  </si>
  <si>
    <t>NO emission factors - per kg N in manure</t>
  </si>
  <si>
    <t>N2 emission factors - per kg N in manure</t>
  </si>
  <si>
    <t>Applies for "storage" - assumed to be in-house storage as well as outdoor storage. Based on EMEP/EEA (2010) EMEP/EEA Air pollutant emission inventory guidebook 2009. Technical guidance to prepare national emission inventories; EEA Technical report (updated 2010); EEAEMEP/EEA: Copenhagen, 2010. table 3-9 (27 in section "4.B Animal husbandry and manure management"). The emission factors from this are:
N2 emission factor in proportion of TAN: For slurry: EF N2 = 0.0030      For solid manure: EF N2 = 0.300</t>
  </si>
  <si>
    <t>Applies for "storage" - assumed to be in-house storage as well as outdoor storage. Based on EMEP/EEA (2010) EMEP/EEA Air pollutant emission inventory guidebook 2009. Technical guidance to prepare national emission inventories; EEA Technical report (updated 2010); EEAEMEP/EEA: Copenhagen, 2010. table 3-9 (27 in section "4.B Animal husbandry and manure management"). The emission factors from this are:
NO emission factor in proportion of TAN: For pigs (slurry): EF NO = 0.0001     For poultry (solid manure): EF NO = 0.0100</t>
  </si>
  <si>
    <t>Mass balances for VS - based on emission factors and Buswells equation</t>
  </si>
  <si>
    <t>Total C losses</t>
  </si>
  <si>
    <t>Total N losses</t>
  </si>
  <si>
    <t>Total C + N losses</t>
  </si>
  <si>
    <t>Losses according to Buswell Equation</t>
  </si>
  <si>
    <t>3.16 gram VS loss per gram CH4 is based on the Buswell equation (Symons and Buswell (1933), using the same principles as in chapter 5 of the Supporting Information of Hamelin et al. (2014). It is based on the molar ratios for the degradation of VS into CH4, CO2 and H2O.</t>
  </si>
  <si>
    <t>VS losses calculated in accordance with Buswell equation</t>
  </si>
  <si>
    <t>kg CO2 per kg CH4 (Slurry)</t>
  </si>
  <si>
    <t>kg CO2 per kg NH3 factor (dry manure) Emissions during in-house storage</t>
  </si>
  <si>
    <t>kg CO2 per kg NH3 factor (dry manure) Emissions during outdoor storage</t>
  </si>
  <si>
    <t>C mass balances - based on emission factors</t>
  </si>
  <si>
    <t>Total Carbon - C (kg)</t>
  </si>
  <si>
    <t>Total Nitrogen - N (kg)</t>
  </si>
  <si>
    <t>Total-C ex-animal  [kg]</t>
  </si>
  <si>
    <t>Total-C ex-housing [kg]</t>
  </si>
  <si>
    <t>Total-C ex-storage [kg]</t>
  </si>
  <si>
    <t>IPCC (2006): For liquid/slurry storage, with a natural crust: 0.005 kg N2O-N per kg N ex-animal (Chapter 10, table 10.21, page 10.62). For poultry manure the factor is  0.001 kg N2O-N per kg N ex-animal (Chapter 10, table 10.21, page 10.63). The IPCC (2006) data applies for the combined emissions for in-house and outdoor storage. An EF of 0.005 gives the emission for both housing and storage. Therefore, this is distributed as 30% housing and 70% storage (because EF of storage below pit is 0.002, and EF outdoor storage is 0.005, so 0.002/0.007 = 30%). Bulls: 0.01 IPCC (2006) (kg N2O-N per kg N ab animal, deep-litter, no mixing); 50% in-house (the EF is for both storage and in-house)</t>
  </si>
  <si>
    <t>kg P leaching per kg P applied to field</t>
  </si>
  <si>
    <t>IPCC (2006) emission factor, for any organic amendment. 0.01 kg N2O-N per kg N, except Sweden</t>
  </si>
  <si>
    <t>Based on EMEP/EEA (2010) EMEP/EEA Air pollutant emission inventory guidebook 2009. Technical guidance to prepare national emission inventories; EEA Technical report (updated 2010); EEAEMEP/EEA: Copenhagen, 2010. table 3-8 (page 26 in section "4.B Animal husbandry and manure management"). For fattening pigs, sows (and piglets),  for laying hens and for broilers (broilers and parents) the proportion of TAN is 0.7 in the manure excreted.</t>
  </si>
  <si>
    <t>Laying hens, litter based floor (DK)</t>
  </si>
  <si>
    <t>Laying hens and pullets (young hens) - litter based floor</t>
  </si>
  <si>
    <t>Laying hens and pullets (young hens) - furnished cages</t>
  </si>
  <si>
    <t>Litter based floor</t>
  </si>
  <si>
    <t>Furnished cages</t>
  </si>
  <si>
    <t>Solid manure. Dry deep litter (no water leaks) with storage over the whole period</t>
  </si>
  <si>
    <t>Solid manure. Open manure storage under the cages</t>
  </si>
  <si>
    <t>Forced ventilation, artificial light</t>
  </si>
  <si>
    <t>Speading without incorporation</t>
  </si>
  <si>
    <t>Hens, DK: Hansen et al (2008) table 18 page 37 - average for "No incorporation"</t>
  </si>
  <si>
    <t>Fattening pigs, slurry</t>
  </si>
  <si>
    <t>Storage over the whole production period.</t>
  </si>
  <si>
    <t>Mechanical ventilation, basic insulation according to the climatic area</t>
  </si>
  <si>
    <t>Field application</t>
  </si>
  <si>
    <t>Concrete tank. Natural crust floating layer only (the crust naturally forming with dairy cow slurry)</t>
  </si>
  <si>
    <t>Concrete tank, with a straw floating layer</t>
  </si>
  <si>
    <t>Waterproof structure with roof (covered storage obliged by law)</t>
  </si>
  <si>
    <t>Hens, DK: Hansen et al. (2008) table 3. Storage of solid manure, covered storage: 5 kg NH3-N per kg total N ex-housing.</t>
  </si>
  <si>
    <t>Trail hose application tanker</t>
  </si>
  <si>
    <t>Uninsulated loose housing with beds, rubber  mats</t>
  </si>
  <si>
    <t>Partly slatted floors</t>
  </si>
  <si>
    <t>Collected to pre-tank, and from there pumped towards outdoor storage</t>
  </si>
  <si>
    <t>Mechanical removal/hydraulic removal. Collected to pre-tank, and from there pumped towards outdoor storage</t>
  </si>
  <si>
    <t>1 day (maximum)</t>
  </si>
  <si>
    <t>Dairy cows, slurry</t>
  </si>
  <si>
    <t>Uninsulated</t>
  </si>
  <si>
    <t>Concrete tank, Floating keramsit layer</t>
  </si>
  <si>
    <t>Loose housing with deep litter</t>
  </si>
  <si>
    <t>Tied with deep litter</t>
  </si>
  <si>
    <t>Fattening pigs, deep litter</t>
  </si>
  <si>
    <t>Dairy cows, deep litter</t>
  </si>
  <si>
    <t>183 days</t>
  </si>
  <si>
    <t>3 days</t>
  </si>
  <si>
    <t>Manual removal of manure (by man)</t>
  </si>
  <si>
    <t>Field heap. Mechanic with the charger, after transport to the field</t>
  </si>
  <si>
    <t>Rear discharge spreader</t>
  </si>
  <si>
    <t>Solid floor resting area and soft slatted floor on remaining floor area</t>
  </si>
  <si>
    <t>Partially slatted floor. Resting area with solid flooring, eating and manuring on slatted part of pen</t>
  </si>
  <si>
    <t>Stable period 7.1 months per year</t>
  </si>
  <si>
    <t>Maximum manuring intervall is 14 days Fattening pigs are kept indoors the whole time</t>
  </si>
  <si>
    <t>Electricity powered scrapers or sleds drawn by chain or rope along the slurry channel driving manure towards a culvert that conducts manure to the slurry tank</t>
  </si>
  <si>
    <t xml:space="preserve">Depend on number of rotation assuming 6 rotations per year gives the number of times the housing is emptied </t>
  </si>
  <si>
    <t>Front loader mounted on small farm tractor (75 kW)</t>
  </si>
  <si>
    <t>Kept in boxes usually 1 horse per box</t>
  </si>
  <si>
    <t>Mainly manual labour</t>
  </si>
  <si>
    <t>Concrete tank, naturally formed crust</t>
  </si>
  <si>
    <t>Concrete plate</t>
  </si>
  <si>
    <t>Broad cast spreader or trailing hoses</t>
  </si>
  <si>
    <t>Solid manure spreader, broad cast</t>
  </si>
  <si>
    <t>Selection of Animal Category (&amp; Country) and Technique</t>
  </si>
  <si>
    <t>In-House Technique:</t>
  </si>
  <si>
    <t>Outdoor Storage Technique:</t>
  </si>
  <si>
    <t>Field Technique:</t>
  </si>
  <si>
    <t>NONE - No Field technique chosen (the field technique in the reference is used)</t>
  </si>
  <si>
    <t>Solid manure spreader</t>
  </si>
  <si>
    <t>Fattening pigs, solid manure (PL)</t>
  </si>
  <si>
    <t>Laying hens, cages (solid manure) (DK)</t>
  </si>
  <si>
    <t>SOLID MANURE / DEEP LITTER</t>
  </si>
  <si>
    <t>Manure Tool version 2.0 - changes compared to version 1.0</t>
  </si>
  <si>
    <t>Version 2.0 December 2013</t>
  </si>
  <si>
    <r>
      <t>This Version 2.0 of the Manure Tool has been develope</t>
    </r>
    <r>
      <rPr>
        <sz val="10"/>
        <rFont val="Calibri"/>
        <family val="2"/>
        <scheme val="minor"/>
      </rPr>
      <t>d as part of work package 5</t>
    </r>
    <r>
      <rPr>
        <sz val="10"/>
        <color theme="1"/>
        <rFont val="Calibri"/>
        <family val="2"/>
        <scheme val="minor"/>
      </rPr>
      <t xml:space="preserve"> of the project “Baltic Forum for Innovative Technologies for Sustainable Manure Management (Baltic Manure)”. The Manure Tool is developed by the Department of Chemical Engineering, Biotechnology and Environmental Technology, University of Southern Denmark. Version 2.0 of the Manure Tool was partly financed by the European Union (European Regional Development Fund), through the Baltic Sea Region Programme 2007-2013. The Manure Tool is available at www.balticmanure.eu.</t>
    </r>
  </si>
  <si>
    <t xml:space="preserve">Dr. ir. C.M. Karin Groenestein and dr. ir. Nico W.M. Ogink, Wageningen UR Livestock Research, The Netherlands functioned as experts advisors in the development of the environmental assessment (emission factors) for the Manure Tool Version 1.0.
</t>
  </si>
  <si>
    <t xml:space="preserve">In addition to the Manure Tool itself, data for a variety of abatement techniques has been included. </t>
  </si>
  <si>
    <t xml:space="preserve">In this worksheet, the user can change manure composition, emission factors and conversion factors. Only cells marked with yellow should be changed. The values in the sheet should be seen as “default values” which can easily be changed by the user. The reference for the values are documented in column S “Notes and references”.
</t>
  </si>
  <si>
    <t xml:space="preserve">This worksheet contains all data on the manure management techniques. </t>
  </si>
  <si>
    <t>Cubicle housing system with slatted floor</t>
  </si>
  <si>
    <t>Manure removed by gravity to slurry storage. No pumping needed.</t>
  </si>
  <si>
    <t>7 days</t>
  </si>
  <si>
    <t>Concrete tank, usually equipped with floating (or solid) cover</t>
  </si>
  <si>
    <t>Horses, solid</t>
  </si>
  <si>
    <t>Broilers, litter</t>
  </si>
  <si>
    <t>Solid floor</t>
  </si>
  <si>
    <t xml:space="preserve">32-39 days (removed after each growing period) </t>
  </si>
  <si>
    <t>Small tractor/loader</t>
  </si>
  <si>
    <t>Concrete silo. Roof preventing rainwater entering the storage</t>
  </si>
  <si>
    <t>Broadcast application, incorporation within 24 hours</t>
  </si>
  <si>
    <t xml:space="preserve">Open the worksheets “In-house Techniques”, "Outdoor Storage Techniques" or "Field Techniques" go to the row containing the technique you want to change, enter new data in the cells and save. All cells in these worksheet can be changed by the user EXCEPT Row B and C (marked with dark grey and hidden). % reduction of the emission factors are in row 10-24. 
</t>
  </si>
  <si>
    <t xml:space="preserve">Technique combinations work exactly the same way as single techniques; i.e. based on reduction % in each stage: In the housing units, during outdoor storage and during field application. </t>
  </si>
  <si>
    <t xml:space="preserve">The Manure Tool version 2.0 is changed sigficantly compared to version 1.0. Some of the main changes are listed below (not all changes mentioned):
</t>
  </si>
  <si>
    <t xml:space="preserve">Changes in feed in not included in Version 2.0
</t>
  </si>
  <si>
    <t xml:space="preserve">In Version 2.0 the user can combine techniques; i.e. combinations of In-House Techniques, Outdoor Techniques and Field Techniques.
</t>
  </si>
  <si>
    <t xml:space="preserve">The Reference manure compositions in the Manure Tool version 2.0 based on the Reference Systems from the Baltic Manure project www.balticmanure.eu
</t>
  </si>
  <si>
    <t xml:space="preserve">The Emission Factors for the Reference manure compositions in the Manure Tool version 2.0 based on the Reference Systems from the Baltic Manure project www.balticmanure.eu
</t>
  </si>
  <si>
    <r>
      <t>The Manure Tool is a screening tool which gives a fast impression of the environmental impacts of a variety of manure management techniques and combinations of these. It must be emphasised that the results should be seen as indications only. For some techniques, the NH</t>
    </r>
    <r>
      <rPr>
        <vertAlign val="subscript"/>
        <sz val="10"/>
        <color theme="1"/>
        <rFont val="Calibri"/>
        <family val="2"/>
        <scheme val="minor"/>
      </rPr>
      <t>3</t>
    </r>
    <r>
      <rPr>
        <sz val="10"/>
        <color theme="1"/>
        <rFont val="Calibri"/>
        <family val="2"/>
        <scheme val="minor"/>
      </rPr>
      <t xml:space="preserve"> reduction factors have large ranges from “the low-end efficiency” to “best obtainable efficiency” in addition to significant uncertainties on the factors. Regarding CH</t>
    </r>
    <r>
      <rPr>
        <vertAlign val="subscript"/>
        <sz val="10"/>
        <color theme="1"/>
        <rFont val="Calibri"/>
        <family val="2"/>
        <scheme val="minor"/>
      </rPr>
      <t>4</t>
    </r>
    <r>
      <rPr>
        <sz val="10"/>
        <color theme="1"/>
        <rFont val="Calibri"/>
        <family val="2"/>
        <scheme val="minor"/>
      </rPr>
      <t xml:space="preserve"> and N</t>
    </r>
    <r>
      <rPr>
        <vertAlign val="subscript"/>
        <sz val="10"/>
        <color theme="1"/>
        <rFont val="Calibri"/>
        <family val="2"/>
        <scheme val="minor"/>
      </rPr>
      <t>2</t>
    </r>
    <r>
      <rPr>
        <sz val="10"/>
        <color theme="1"/>
        <rFont val="Calibri"/>
        <family val="2"/>
        <scheme val="minor"/>
      </rPr>
      <t xml:space="preserve">O emissions, factors are often non-existing due to lack of valid references. Accordingly, results should never be used as "evidence" of the environmental impacts from a given technique, but the results give a good idea of the potential environmental improvements for screening use.
</t>
    </r>
  </si>
  <si>
    <t xml:space="preserve">Version 1.0 of the Manure Tool was developed in the spring  2013 during the revision of the Reference Document on Best Available Techniques for the Intensive Rearing of Poultry and Pigs (also called the Review of the IRPP BREF document), performed by the European IPPC Bureau. The Manure Tool was commissioned by the Environmental Protection Agency in Denmark , Danish Ministry of the Environment and the Ministry of Infrastructure and the Environment, The Netherlands. Version 1.0 of the Manure Tool was developed by the Department of Chemical Engineering, Biotechnology and Environmental Technology, University of Southern Denmark. </t>
  </si>
  <si>
    <r>
      <rPr>
        <sz val="10"/>
        <rFont val="Calibri"/>
        <family val="2"/>
        <scheme val="minor"/>
      </rPr>
      <t>For the Manure Tool version 1.0, the techniques were BAT techniques collected during the Review of IRPP BREF document in the online system by the European IPPC Bureau, BAT Information System (BATIS). The techniques and data from BATIS for the inclusion in the Manure Tool was reviewed  and selected by Barbara Amon, Leibniz Institute for Agricultural Engineering, Department of Technology Assessment and Substance Cycles, Potsdam, Germany. It has not been possible to perform a quality control of all the techniques from the IPPC BAT Information System. Some of the techniques selected for the assessment by the Manure Tool lack data for CH</t>
    </r>
    <r>
      <rPr>
        <vertAlign val="subscript"/>
        <sz val="10"/>
        <rFont val="Calibri"/>
        <family val="2"/>
        <scheme val="minor"/>
      </rPr>
      <t>4</t>
    </r>
    <r>
      <rPr>
        <sz val="10"/>
        <rFont val="Calibri"/>
        <family val="2"/>
        <scheme val="minor"/>
      </rPr>
      <t xml:space="preserve"> and N</t>
    </r>
    <r>
      <rPr>
        <vertAlign val="subscript"/>
        <sz val="10"/>
        <rFont val="Calibri"/>
        <family val="2"/>
        <scheme val="minor"/>
      </rPr>
      <t>2</t>
    </r>
    <r>
      <rPr>
        <sz val="10"/>
        <rFont val="Calibri"/>
        <family val="2"/>
        <scheme val="minor"/>
      </rPr>
      <t xml:space="preserve">O and some lack data for the </t>
    </r>
    <r>
      <rPr>
        <sz val="10"/>
        <color theme="1"/>
        <rFont val="Calibri"/>
        <family val="2"/>
        <scheme val="minor"/>
      </rPr>
      <t xml:space="preserve">energy consumption. Some descriptions of similar technologies were attributed with a wide range of mitigation efficiencies. Accordingly, the results should be used with care. It is recommended that users supply selected techniques with data when needed. Further information about how to change or add techniques, please see the User Guideline below.
</t>
    </r>
  </si>
  <si>
    <t>In-House Technique</t>
  </si>
  <si>
    <t>Outdoor Storage Technique</t>
  </si>
  <si>
    <t>Description of In-House Technique</t>
  </si>
  <si>
    <t>Description of Outdoor Storage Technique</t>
  </si>
  <si>
    <t>Description of Field Technique</t>
  </si>
  <si>
    <t>Technique emission reductions</t>
  </si>
  <si>
    <t>Combined In-house, Outdoor Storage and Field</t>
  </si>
  <si>
    <t>Combined In-house and Outdoor Storage</t>
  </si>
  <si>
    <t>References (Origin of data)</t>
  </si>
  <si>
    <t>Description and Remarks</t>
  </si>
  <si>
    <t>Consumption of energy and chemicals for the techniques</t>
  </si>
  <si>
    <r>
      <t>Extra energy per ton manure</t>
    </r>
    <r>
      <rPr>
        <sz val="9"/>
        <rFont val="Calibri"/>
        <family val="2"/>
        <scheme val="minor"/>
      </rPr>
      <t xml:space="preserve"> 
(kWh/ton manure)</t>
    </r>
  </si>
  <si>
    <t>Sulphuric acid use 
(kg H2SO4/ton manure)</t>
  </si>
  <si>
    <t>Extra lime use in field 
(kg CaCO3/ton manure)</t>
  </si>
  <si>
    <t>Extra yield (wheat) 
(kg wheat/ton manure)</t>
  </si>
  <si>
    <t>S-fertiliser avoided 
(kg S/ton manure)</t>
  </si>
  <si>
    <t>Outdoor Storage</t>
  </si>
  <si>
    <t>FATTENING PIGS (SLURRY): APPLICATION TO FIELD</t>
  </si>
  <si>
    <t>DAIRY COWS (SLURRY): APPLICATION TO FIELD</t>
  </si>
  <si>
    <t>References</t>
  </si>
  <si>
    <t>Acidification during spreading has an ammonia emission reduction efficiency of 49 % when applied on cattle slurry, and 40% for pig slurry, using  band laying system for spreading on forage grass as reference. The emission reduction efficiency is highly dependent on  the reference situation and weather conditions.</t>
  </si>
  <si>
    <t>The use of sulphuric acid increases the yield. The yield increase used in the calculations is a "conservitve etimate" based on theoretical calculations. A range of field trials has shown yield increases significantly higher than this. Furthermore, the use of acid leads to a higher demand for lime applied to the field. This is included. Additional, slurry acidification during spreading reduces the energy consumption if farming in cases, where the technology is used in stead of slurry injection, which normally consume 7.5 kWh extra energy per ton slurry compared to spreading with band laying system.</t>
  </si>
  <si>
    <t>Dairy Cows (slurry). Application to field. Acidification of slurry in storage tank immediately before application to field. (Ref: Denmark, 2013)</t>
  </si>
  <si>
    <t>Dairy Cows (slurry). Application to field. Slurry acidification during application to field (SyreN). (Ref: Denmark, 2012)</t>
  </si>
  <si>
    <t>Fatt. Pigs (slurry). Application to field. Slurry acidification during application to field (SyreN). (Ref: Denmark, 2012)</t>
  </si>
  <si>
    <t>Fatt. Pigs (slurry). Application to field. Acidification of slurry in storage tank immediately before application to field. (Ref: Denmark, 2013)</t>
  </si>
  <si>
    <t>Laying hens. Storage. Controlled fermentation. (Ref: NL, 1999)</t>
  </si>
  <si>
    <t>Laying hens. Storage. Drying tunnel with perforated manure belts;. (Ref: NL, 1999)</t>
  </si>
  <si>
    <t>Laying hens. Storage. Drying tunnel. (Ref: NL, 1999)</t>
  </si>
  <si>
    <t>Broilers. Storage. Controlled fermentation. (Ref: NL, 1999)</t>
  </si>
  <si>
    <t>Broilers. Storage. Drying tunnel with perforated manure belts;. (Ref: NL, 1999)</t>
  </si>
  <si>
    <t>Broilers. Storage. Drying tunnel. (Ref: NL, 1999)</t>
  </si>
  <si>
    <t xml:space="preserve">Example: In The Manure Tool Version 1.0 the reference scenario was based on broad cast spreading at the field, as this was decided as the "base case" for a lot of the EU countries. In the reference systems for the Baltic Sea Region, slurry from fattening pigs and dairy cows is spread by trail hose application tankers. Accordingly, the % reductions in this Version 2.0 is related to application of slurry by trail hose application tankers (and hence, the % reductions are different in Version 1.0 compared to Version 2.0). It also means that the technique "Application by trail hose application tankers" was included in Version 1.0, but this is not relevant for Version 2.0.
</t>
  </si>
  <si>
    <t xml:space="preserve">The Techniques and the reduction % have been changed in order to correspond with the Reference systems in the Baltic Manure project, which is significantly different from the reference systems used in The Manure Tool Version 1.0  for the BREF. Accordingly, techniques and emission reductions should NOT be transferred from Version 1.0 to Version 2.0. 
</t>
  </si>
  <si>
    <t xml:space="preserve">Example: In Version 1.0, the reference system for outdoor storage of fattening pig slurry was "Open storage, no coverage storage in slurry tank", whereas the the reference in this Version 2.0 for the Baltic Sea Countries is "Concrete tank, with floating layer".
</t>
  </si>
  <si>
    <r>
      <t>The technique combinations are based on a ROUGH estimate; i.e. that the "remaining emissions" can be multiplied.
Combined Reduction = 1 - (1 - %_reduction_A/100) * (1 - %_reduction_B/100)) * 100
Example: Assume that Technique A reduces the NH</t>
    </r>
    <r>
      <rPr>
        <vertAlign val="subscript"/>
        <sz val="10"/>
        <color theme="1"/>
        <rFont val="Calibri"/>
        <family val="2"/>
        <scheme val="minor"/>
      </rPr>
      <t>3</t>
    </r>
    <r>
      <rPr>
        <sz val="10"/>
        <color theme="1"/>
        <rFont val="Calibri"/>
        <family val="2"/>
        <scheme val="minor"/>
      </rPr>
      <t xml:space="preserve"> emissions by 10% and Technique B reduces the NH</t>
    </r>
    <r>
      <rPr>
        <vertAlign val="subscript"/>
        <sz val="10"/>
        <color theme="1"/>
        <rFont val="Calibri"/>
        <family val="2"/>
        <scheme val="minor"/>
      </rPr>
      <t>3</t>
    </r>
    <r>
      <rPr>
        <sz val="10"/>
        <color theme="1"/>
        <rFont val="Calibri"/>
        <family val="2"/>
        <scheme val="minor"/>
      </rPr>
      <t xml:space="preserve"> emissions by 70%.
Combined NH</t>
    </r>
    <r>
      <rPr>
        <vertAlign val="subscript"/>
        <sz val="10"/>
        <color theme="1"/>
        <rFont val="Calibri"/>
        <family val="2"/>
        <scheme val="minor"/>
      </rPr>
      <t xml:space="preserve">3 </t>
    </r>
    <r>
      <rPr>
        <sz val="10"/>
        <color theme="1"/>
        <rFont val="Calibri"/>
        <family val="2"/>
        <scheme val="minor"/>
      </rPr>
      <t>reduction =  (1 - (1-0.1) * (1-0.7)) * 100 =  -73%</t>
    </r>
  </si>
  <si>
    <t>Solid manure / Deep litter. Application to field: Incorporation - immediate (&lt; 4h). Arable land. (Ref: NL, 1999)</t>
  </si>
  <si>
    <t>Solid Manure / Deep litter. Application to field: Incorporation - within same working day. Arable land. 50% NH3 reduction (Ref: NL, 1999)</t>
  </si>
  <si>
    <t>Solid Manure / Deep litter. Application to field: Incorporation - within same working day. Arable land. 70% NH3 reduction (Ref: NL, 1999)</t>
  </si>
  <si>
    <t>Solid Manure / Deep litter. Application to field: Incorporation - within same working day. Arable land. 90% NH3 reduction (Ref: NL, 1999)</t>
  </si>
  <si>
    <r>
      <t>Energy per ton manure</t>
    </r>
    <r>
      <rPr>
        <i/>
        <sz val="10"/>
        <rFont val="Calibri"/>
        <family val="2"/>
        <scheme val="minor"/>
      </rPr>
      <t xml:space="preserve"> </t>
    </r>
    <r>
      <rPr>
        <sz val="9"/>
        <rFont val="Calibri"/>
        <family val="2"/>
        <scheme val="minor"/>
      </rPr>
      <t>(kWh/ton manure)</t>
    </r>
  </si>
  <si>
    <t xml:space="preserve">Cover with plastic tent. </t>
  </si>
  <si>
    <t>Increase of N content due to lower losses; in areas with significant rainfall the DM content will be higher as the tent shelters rainfall from the slurry store. A reduction of greenhouse gases CO2, CH4 and N2O is expected" =&gt; influence on N2O emissions is unsure; CH4 emissions will only be reduced if a crust forms on the slurry surface and CH4 oxidation occurs in this crust. Estimated NH3 reduction: 50% compared to natural crust cover / straw cover.</t>
  </si>
  <si>
    <t>There is no reduction in the NH3 emissions when comparing to "natural crust cover" or "straw cover" according estimate in The Technology List by the Danish Environmental Agency</t>
  </si>
  <si>
    <t>SLURRY STORAGE</t>
  </si>
  <si>
    <t>SOLID MANURE STORAGE</t>
  </si>
  <si>
    <t>Concrete plate, among other. Depends on size of horse establisment, Larger establishments usually uses concrete plate. Small establisments use a vatiety of techniques for storing manure as example containers, bags, on ground, in front loader etc.</t>
  </si>
  <si>
    <t>Coverage of heap of solid manure / litter.</t>
  </si>
  <si>
    <t>Solid manure. Coverage of solid manure / litter heap (Ref: Hansen et al., 2008)</t>
  </si>
  <si>
    <t>Hansen M N, S G Sommer, N J Hutchings and P Sørensen (2008): Emission factors for calculation of ammonia volatilization by storage and application of animal manure. (Table 3).Det Jordbrugsvidenskabelige Fakultet. DJ F husd yrbrug nr. 84 December 2008</t>
  </si>
  <si>
    <t>Based on rough estimate: Reduction from 5 kg NH3 per kg N to 3 kg NH3 per kg N = 40% reduction (covered compared to uncovered storage of solid manure)</t>
  </si>
  <si>
    <t>NONE - No Outdoor Storage Technique chosen (the Outdoor Storage Technique in the reference is used)</t>
  </si>
  <si>
    <t>Fatt. Pigs (slurry). Application to field. Injection grassland. (Ref: Denmark, 2010)</t>
  </si>
  <si>
    <t>Fatt. Pigs (slurry). Application to field. Injection in winter crop. (Ref: Denmark, 2010)</t>
  </si>
  <si>
    <t>Fatt. Pigs (slurry). Application to field. Injection in bare soil. (Ref: Denmark, 2010)</t>
  </si>
  <si>
    <t>Dairy Cows (slurry). Application to field. Injection in bare soil. (Ref: Denmark, 2010)</t>
  </si>
  <si>
    <t>Dairy Cows (slurry). Application to field. Injection grassland. (Ref: Denmark, 2010)</t>
  </si>
  <si>
    <t>Dairy Cows (slurry). Application to field. Injection in winter crop. (Ref: Denmark, 2010)</t>
  </si>
  <si>
    <t>Page 49-51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</si>
  <si>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Page 67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</si>
  <si>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Page 21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</si>
  <si>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Page 22 and 32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</si>
  <si>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Page 61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</si>
  <si>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Slurry injection in bare soil limits NH3 volatilization by 85% compared with the trailing hose system. Leads to increased N2O emissions.</t>
  </si>
  <si>
    <t>Slurry injection in grass crops limit ammonia volatilization by 45% compared with the trailing hose system. Leads to increased N2O emissions.</t>
  </si>
  <si>
    <t>Slurry injection in grass crops limit ammonia volatilization by 25% compared with the trailing hose system. Leads to increased N2O emissions.</t>
  </si>
  <si>
    <t>Page 66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</si>
  <si>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Broilers. Housing. Air cleaning system: Chemical wet scrubber (sulphuric acid). (Ref: NL, 1999)</t>
  </si>
  <si>
    <t>Page 64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</si>
  <si>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Broilers. Housing. Perfo-floor for broilers. (continuous updraught air stream through a perforated floor). (Ref: NL, 1999)</t>
  </si>
  <si>
    <t>Page 65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t>
  </si>
  <si>
    <t>Broilers. Housing. Floating floor system for broilers. (continuous downward draught through a floating floor, covered with litter. (Ref: NL, 1999)</t>
  </si>
  <si>
    <t xml:space="preserve">Page 25 and 33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 </t>
  </si>
  <si>
    <t>BULLS: HOUSING UNITS</t>
  </si>
  <si>
    <t xml:space="preserve">No in-housing techniques included for Bulls </t>
  </si>
  <si>
    <t>Broilers. Housing. Litter based system, forced ventilated, reduced air exchange through automatic adaptation to CO2 indoor concentration. (Ref: Finland)</t>
  </si>
  <si>
    <t>Fatt. pigs. Housing. Floor system: Frequent manure removal (weekly) - Note: For fully slatted floor. (Ref: Spain)</t>
  </si>
  <si>
    <t>Fatt. pigs. Housing. Floor system: Frequent manure removal (weekly) - Note: For fully slatted floor. (Weaners) (Ref: Spain)</t>
  </si>
  <si>
    <t>The manure is removed weekly from the pit to external slurry store. Note: The reduction is for fully slatted floors. It is uncertain if the reduction is the same for partly slatted floors.</t>
  </si>
  <si>
    <t>Information from the online system for revision of the IRPP BREF document the by the European IPPC Bureau, BAT Information System (BATIS), datasheet from Spain: "ES_housing_fattening_pigs_2.pdf"</t>
  </si>
  <si>
    <t>Information from the online system for revision of the IRPP BREF document the by the European IPPC Bureau, BAT Information System (BATIS), datasheet from Spain: "ES_housing_weaner_2.pdf"</t>
  </si>
  <si>
    <t>Information from the online system for revision of the IRPP BREF document the by the European IPPC Bureau, BAT Information System (BATIS), datasheet from the Netherlands: "Floating balls_A.pdf"</t>
  </si>
  <si>
    <t>Information from the online system for revision of the IRPP BREF document the by the European IPPC Bureau, BAT Information System (BATIS), datasheet from Finland: "FI Housing FatteningPigs_1.pdf"</t>
  </si>
  <si>
    <t>Information from the online system for revision of the IRPP BREF document the by the European IPPC Bureau, BAT Information System (BATIS), datasheet from Denmark: "Appendix_DK_treatment_smellfighter.pdf"</t>
  </si>
  <si>
    <t>Information from the online system for revision of the IRPP BREF document the by the European IPPC Bureau, BAT Information System (BATIS), datasheet from Germany: "DE_biofilter.pdf"</t>
  </si>
  <si>
    <t>Information from the online system for revision of the IRPP BREF document the by the European IPPC Bureau, BAT Information System (BATIS), datasheet from Denmark: "DK_aircleaning_biofilter_1_fatteningpigs.pdf"</t>
  </si>
  <si>
    <t>Information from the online system for revision of the IRPP BREF document the by the European IPPC Bureau, BAT Information System (BATIS), datasheet from the Netherlands: "NL_Biological_scrubber_70_Dorset_A.pdf"</t>
  </si>
  <si>
    <t>Information from the online system for revision of the IRPP BREF document the by the European IPPC Bureau, BAT Information System (BATIS), datasheet from the Netherlands: "NL_Combined_Scrubber_85_Dorset_A.pdf"</t>
  </si>
  <si>
    <t>Information from the online system for revision of the IRPP BREF document the by the European IPPC Bureau, BAT Information System (BATIS), datasheet fromNetherlands: "NL_Combined_Scrubber_85_Devrie_A.pdf"</t>
  </si>
  <si>
    <t>Information from the online system for revision of the IRPP BREF document the by the European IPPC Bureau, BAT Information System (BATIS), datasheet from the Netherlands: "NL_Chemical_Scrubber_95_Bovema_A.pdf" and "NL_Chemical_Scrubber_70_Bovema_A.pdf"</t>
  </si>
  <si>
    <t>Information from the online system for revision of the IRPP BREF document the by the European IPPC Bureau, BAT Information System (BATIS), datasheet from the Netherlands: "NL_Combined_Scrubber_95_Uniqfill_A.pdf" and "NL_Combined_Scrubber_85_Uniqfill_A.pdf" and "NL_Combined_Scrubber_70_Uniqfill_A.pdf"</t>
  </si>
  <si>
    <t>Information from the online system for revision of the IRPP BREF document the by the European IPPC Bureau, BAT Information System (BATIS), datasheet from the Netherlands.: "NL_Chemical_Scrubber_90_Inno+_A.pdf"</t>
  </si>
  <si>
    <t>Information from the online system for revision of the IRPP BREF document the by the European IPPC Bureau, BAT Information System (BATIS), datasheet from the Netherlands: "NL_Combined_Scrubber_85_Inno+_A.pdf"</t>
  </si>
  <si>
    <t>Information from the online system for revision of the IRPP BREF document the by the European IPPC Bureau, BAT Information System (BATIS), datasheet from Germany: "DE_2_stage_air_cleaner.pdf"</t>
  </si>
  <si>
    <t xml:space="preserve">Information from the online system for revision of the IRPP BREF document the by the European IPPC Bureau, BAT Information System (BATIS), datasheet from Denmark: "DK_aircleaning_chemcal_1_fatteningpigs.pdf" and "Appendix  DK_aircleaning_ chemical.pdf" and - Page 26 and 34 in Hendriks and van de Weerdhof (1999). H.J.M. Hendriks and A.M. van de Weerdhof: Dutch Notes on BAT for Pig- and Poultry Intensive Lifestock Farming. August 1999. Ministry of Agriculture, Nature Management and Fisheries. National Reference Centre Agriculture, The Netherlands. Information Centre for Environmental Licensing,  The Netherlands. www.fao.org/ag/againfo/programmes/fr/lead/toolbox/tech/ikcbat.pdf. </t>
  </si>
  <si>
    <t>Information from the online system for revision of the IRPP BREF document the by the European IPPC Bureau, BAT Information System (BATIS), datasheet from Germany: "DE_3_stage_air_cleaner.pdf"</t>
  </si>
  <si>
    <t>Information from the online system for revision of the IRPP BREF document the by the European IPPC Bureau, BAT Information System (BATIS), datasheet from Germany: "DE_biotricklingfilter.pdf"</t>
  </si>
  <si>
    <t>Information from the online system for revision of the IRPP BREF document the by the European IPPC Bureau, BAT Information System (BATIS), datasheet from the Netherlands: "NL_Combined_Scrubber_70_Big_Dutchman_A.pdf"</t>
  </si>
  <si>
    <t>Information from the online system for revision of the IRPP BREF document the by the European IPPC Bureau, BAT Information System (BATIS), datasheet from Germany: "DE_housing_layers_aviaries.pdf"</t>
  </si>
  <si>
    <t>Information from the online system for revision of the IRPP BREF document the by the European IPPC Bureau, BAT Information System (BATIS), datasheet from Denmark: "DK_housing_poultry_manuredry1.pdf" and "DK_appendix_housing_Poultry_manuredry_1.pdf"</t>
  </si>
  <si>
    <t>Information from the online system for revision of the IRPP BREF document the by the European IPPC Bureau, BAT Information System (BATIS), datasheet from Germany: "DE_housing_ pullets_aviaries.pdf"</t>
  </si>
  <si>
    <t>Information from the online system for revision of the IRPP BREF document the by the European IPPC Bureau, BAT Information System (BATIS), datasheet from the Netherlands: "RAV_E2.11.4_BWL2005.05_A.pdf"</t>
  </si>
  <si>
    <t>Information from the online system for revision of the IRPP BREF document the by the European IPPC Bureau, BAT Information System (BATIS), datasheet from the Netherlands: "RAV_E2.11.2_BWL2004.10_A.pdf"</t>
  </si>
  <si>
    <t>Information from the online system for revision of the IRPP BREF document the by the European IPPC Bureau, BAT Information System (BATIS), datasheet from the Netherlands: "RAV_E2.11.3_BWL2005.04_A.pdf" and "RAV_E1.8.4_BWL2006.11_A.pdf"</t>
  </si>
  <si>
    <t>Information from the online system for revision of the IRPP BREF document the by the European IPPC Bureau, BAT Information System (BATIS), datasheet from the Netherlands: "RAV_E1.8.3_BWL2006.10_A.pdf"</t>
  </si>
  <si>
    <t>Information from the online system for revision of the IRPP BREF document the by the European IPPC Bureau, BAT Information System (BATIS), datasheet from the Netherlands: "RAV_E1.8.1_BWL2005.02-A.pdf"</t>
  </si>
  <si>
    <t>Information from the online system for revision of the IRPP BREF document the by the European IPPC Bureau, BAT Information System (BATIS), datasheet from the Netherlands: "RAV_E1.8.5_BWL2006.12_A.pdf"</t>
  </si>
  <si>
    <t>Information from the online system for revision of the IRPP BREF document the by the European IPPC Bureau, BAT Information System (BATIS), datasheet from the Netherlands: "RAV_E1.8.2_BWL2005.03_A.pdf"</t>
  </si>
  <si>
    <t>Information from the online system for revision of the IRPP BREF document the by the European IPPC Bureau, BAT Information System (BATIS), datasheet from the Netherlands: "RAV_E2.12.1_BWL2004.11_A.pdf"</t>
  </si>
  <si>
    <t>Information from the online system for revision of the IRPP BREF document the by the European IPPC Bureau, BAT Information System (BATIS), datasheet from the Netherlands: "NL_Chemical_Scrubber_90_Inno+_A.pdf"</t>
  </si>
  <si>
    <t>Information from the online system for revision of the IRPP BREF document the by the European IPPC Bureau, BAT Information System (BATIS), datasheet from the Netherlands: "RAV_E2.5.6_BWL2009.10_A.pdf" and "RAV_E1.5.5_BWL2009.10_A.pdf"</t>
  </si>
  <si>
    <t>Information from the online system for revision of the IRPP BREF document the by the European IPPC Bureau, BAT Information System (BATIS), datasheet from the Netherlands: "RAV_E5.10_BWL2009.14.pdf"</t>
  </si>
  <si>
    <t>Information from the online system for revision of the IRPP BREF document the by the European IPPC Bureau, BAT Information System (BATIS), datasheet from the Netherlands: "RAV_E4.2_BB97.01.050_A99.02.067_A.pdf"</t>
  </si>
  <si>
    <t>Information from the online system for revision of the IRPP BREF document the by the European IPPC Bureau, BAT Information System (BATIS), datasheet from the Netherlands: "RAV_E4.5_BB98.10.066_A.pdf"</t>
  </si>
  <si>
    <t>Information from the online system for revision of the IRPP BREF document the by the European IPPC Bureau, BAT Information System (BATIS), datasheet from the Netherlands: "RAV_E4.4.2_BWL2004.14_A.pdf"</t>
  </si>
  <si>
    <t>Information from the online system for revision of the IRPP BREF document the by the European IPPC Bureau, BAT Information System (BATIS), datasheet from the Netherlands: "RAV_E4.8_BWL2007.10_A.pdf"</t>
  </si>
  <si>
    <t>Information from the online system for revision of the IRPP BREF document the by the European IPPC Bureau, BAT Information System (BATIS), datasheet from the Netherlands: "RAV_E4.4.1_BWL2004.13_A.pdf"</t>
  </si>
  <si>
    <t>Information from the online system for revision of the IRPP BREF document the by the European IPPC Bureau, BAT Information System (BATIS), datasheet from Finland: "FI Housing Broilers_1.pdf"</t>
  </si>
  <si>
    <t xml:space="preserve">Danish Environmental Agency (2013): The Technology List and Danish EPA technology sheet, 21-10-2009 combined with Information from the online system for revision of the IRPP BREF document the by the European IPPC Bureau, BAT Information System (BATIS), datasheet "Denmark. DK_storage_light tiles.pdf" </t>
  </si>
  <si>
    <t xml:space="preserve">The SyreN technique was accepted on The Technology List by the Danish EPA (www.mst.dk) in Oct 2012 and verified in VERA Verification Statement (Oct 2012): (Technology: SyreN. Manufactured by: BioCover a/s.) www.veracert.eu. Further information from AgroTechnologyATLAS (2013): 1002 Slurry acidification during field spreading http://agro-technology-atlas.eu/techdescs.aspx?techgroup=1000. These information are combined with Information from the online system for revision of the IRPP BREF document the by the European IPPC Bureau, BAT Information System (BATIS). </t>
  </si>
  <si>
    <t xml:space="preserve">The Technology List by the Danish EPA (www.mst.dk) (2013). Information based on AgroTechnologyATLAS (2013): 903: Acidification of slurry in storage tank. http://agro-technology-atlas.eu/techdescs.aspx?techgroup=900 and http://cms.mim.dk/NR/rdonlyres/4F583B30-ED7D-47AF-9BFE-B2E804CCD4DD/0/MELTindstilling_Øruminkltillæg1og2.pdf. These information are combined with Information from the online system for revision of the IRPP BREF document the by the European IPPC Bureau, BAT Information System (BATIS). </t>
  </si>
  <si>
    <t>Danish Environmental Protection Agency (2010): Nedfældning af gylle i sort jord. www.mst.dk combined with Information from the online system for revision of the IRPP BREF document the by the European IPPC Bureau, BAT Information System (BATIS): "Denmark. DK_application_injection_bare soil.pdf"</t>
  </si>
  <si>
    <t>Danish Environmental Protection Agency (2010): "Nedfældning af gylle i græsmarker" combined with Information from the online system for revision of the IRPP BREF document the by the European IPPC Bureau, BAT Information System (BATIS): "Denmark. DK_application_injection grassland.pdf"</t>
  </si>
  <si>
    <t>Danish Environmental Protection Agency (2010):  Nedfældning af gylle i vinterafgrøder combined with Information from the online system for revision of the IRPP BREF document the by the European IPPC Bureau, BAT Information System (BATIS): "Denmark. DK_application_injection_winter crop.pdf"</t>
  </si>
  <si>
    <t>NONE - No In-House Technique chosen (the In-house Technique in the reference is used)</t>
  </si>
  <si>
    <r>
      <t>Electricity per ton manure</t>
    </r>
    <r>
      <rPr>
        <b/>
        <i/>
        <sz val="10"/>
        <color rgb="FFFF0000"/>
        <rFont val="Calibri"/>
        <family val="2"/>
        <scheme val="minor"/>
      </rPr>
      <t xml:space="preserve"> </t>
    </r>
    <r>
      <rPr>
        <b/>
        <sz val="9"/>
        <color rgb="FFFF0000"/>
        <rFont val="Calibri"/>
        <family val="2"/>
        <scheme val="minor"/>
      </rPr>
      <t xml:space="preserve"> </t>
    </r>
    <r>
      <rPr>
        <sz val="9"/>
        <rFont val="Calibri"/>
        <family val="2"/>
        <scheme val="minor"/>
      </rPr>
      <t>- (kWh/ton manure)</t>
    </r>
  </si>
  <si>
    <t>NH3 reductions: 75 % FSF house, 80 % PSF house. CH4 reductions: 32% [7-49%]. N2O reductions: 80% [58-99%]. NH3 reductions for uncovered storage: 90% Emission reductions will cause a change in the manure composition (included in calculations).  The reduction of NH3 during field application is approx. 67% according to the BAT document (acidified slurry applied by band application compared to band application of untreated slurry.).</t>
  </si>
  <si>
    <t>DAIRY COWS (SLURRY): HOUSING UNITS</t>
  </si>
  <si>
    <t>Dairy cows (slurry). Housing. Slurry acidification in housing units. Band spreading / trailing hose. (Ref: Denmark, 2011)</t>
  </si>
  <si>
    <t>Acidification with sulphuric acid (Partly slatted floors)</t>
  </si>
  <si>
    <t>Danish Environmental Agency (2011): The Technology List and Danish EPA technology sheet, 23.05.2011. Svovlsyrebehandling af gylle (For Dairy Cows). http://www.mst.dk/NR/rdonlyres/92401FE8-AF3D-4903-A709-A9103E422DAF/0/Malkekvæg_Svovlsyrebehandlingafgylle_version4.pdf and VERA test for the Technology list (accepted by the Danish EPA 24th of June 2013): Indstilling om optagelse på Miljøstyrelsens Teknologiliste af Infarm staldforsuring NH4+ (model AP til svinegylle og model AC til kvæggylle).</t>
  </si>
  <si>
    <t>Danish Environmental Agency (2011): The Technology List and Danish EPA technology sheet, 30.06.2010. Skrabere i gangarealer i stalde med malkekvæg. In Danish. http://www.mst.dk/NR/rdonlyres/AEED9CC9-30B7-41A8-AE44-61F5A977ADB6/0/Skraberepågangarealeristaldetilmalkekøer.pdf.</t>
  </si>
  <si>
    <t>Danish Environmental Agency (2011): The Technology List and Danish EPA technology sheet, 30.06.2010. Teknologitype: Staldindretning – Skrabere i gyllekanaler. In Danish. http://www.mst.dk/NR/rdonlyres/968B3890-9E2E-43A0-85DF-22809BD44F33/0/Skrabereigyllekanaleristaldetilmalkekvæg.pdf</t>
  </si>
  <si>
    <t>Dairy Cows (slurry). Housing. Floor system: Frequent manure removal (6-12 times daily) by use of scrapers on the floor areas (for partly and fully slatted floors). (Ref: Denmark, 2010).</t>
  </si>
  <si>
    <t>Clean floors is a benefit for the cows (clean legs), but stationary scrapers might result in damage of the hooves on the cows (caused by sharp corners etc.). Robot scrabers results in less damages on the cows (as the robot scraber moves if the cow doesn't)</t>
  </si>
  <si>
    <t>The energy consumption is increased by 10-65 kWh per cow per year. In this calculation 30 kWh has been assumed. A cow produces 22.1 ton slurry per year (Danish Norm data, 2011)</t>
  </si>
  <si>
    <t>Dairy Cows (slurry). Housing. Floor system: Frequent manure removal (3 times daily) by use of scrapers in the slurry channels)</t>
  </si>
  <si>
    <t>The floors are kept clean by use of scrapers, either by use of stationary wires or robot scrapers- The floors are cleaned 6 times per day, i.e. with an interval of 4 hours. Frequent removal of the manure reduces NH3 emissions.</t>
  </si>
  <si>
    <t>The slurry is removed from the slurry channels by use of scrapers in the slurry chanels (and in some cases combined with scrapers at the floor surface above the slurry chanels). Frequent removal of the manure reduces NH3 emissions.</t>
  </si>
  <si>
    <t>The energy consumption is increased by 5-23 kWh per cow per year (depending on floor type). In this calculation 6 kWh has been assumed as this is relevant for partly slatted floors. A cow produces 22.1 ton slurry per year (Danish Norm data, 2011)</t>
  </si>
  <si>
    <t>Acidification with sulphuric acid in the slurry chanels in the housing units</t>
  </si>
  <si>
    <t>Danish Environmental Agency (2010): Fast overdækning af gyllebeholder.  Danish EPA technology sheet (date: 11.11.2010) combined with Information from the online system for revision of the IRPP BREF document the by the European IPPC Bureau, BAT Information System (BATIS), datasheet: "Denmark. DK_storage_Tent_covering.pdf"</t>
  </si>
  <si>
    <t xml:space="preserve">The electricity consumption corresponds to 2.6 kWh per cow per day. A cow produces 22.1 ton slurry per year (Danish Norm data, 2011). </t>
  </si>
  <si>
    <t>Manure cooling system can be installed under manure chanals. Alternatively cooling pipes can be installed above concrete. The pipes are connected to af heat exchange pump and the heat recovered from this proces might be used for heating in other parts of the farm.  Yhe heat recovered from this proces might be used for heating in other parts of the farm (house for weaning pig, farrowing pen, private farmhouse etc.</t>
  </si>
  <si>
    <t>Hansen M N, P Kai, P Hansen, M B Petersen and H J Tellerup (2011): Gyllekøling i kvægstalde - Modelforsøg med overfladekøling i simuleret gyllekanal. AgroTech http://agrotech.dk/sites/agrotech.dk/files/side/miljoeteknologi/gyllekoelingikvaegstaldeagrotechrapport.pdf</t>
  </si>
  <si>
    <t>Dairy Cows (slurry). Housing. Manure Cooling. No utilisation of the heat from the heat pump.</t>
  </si>
  <si>
    <t>Dairy Cows (slurry). Housing. Manure Cooling. 50% utilisation of the heat from the heat pump.</t>
  </si>
  <si>
    <t>Dairy Cows (slurry). Housing. Manure Cooling. 100% utilisation of the heat from the heat pump.</t>
  </si>
  <si>
    <t>Danish Environmental Agency (2011): The Technology List and Danish EPA technology sheet, 23.05.2011. Teknologitype: Køling af gylle i slagtesvinestalde. In Danish. www. mst.dk/NR/rdonlyres/C52DE881-AFCB-4845-954C-F330F1B18373/0/Slagtesvin_Kølingafgylle_version3.pdf combied with information from the online system for revision of the IRPP BREF document the by the European IPPC Bureau, BAT Information System (BATIS), datasheet from Denmark: "DK_housing_cooling_2.pdf" and "Appendix_DK_housing_manurecooling.pdf"</t>
  </si>
  <si>
    <t>Danish Environmental Agency (2011): The Technology List and Danish EPA technology sheet, 23.05.2011. Teknologitype: Svovlsyrebehandling af gylle. http://www.mst.dk/NR/rdonlyres/2FB4302B-5B85-4303-9A7A-29E19DA27DC2/0/Slagtesvin_svovlsyrebehandlingafgylle_version3.pdf. In Danish. Combined with information from the online system for revision of the IRPP BREF document the by the European IPPC Bureau, BAT Information System (BATIS), datasheet from Denmark: "DK_treatment_manureacid_1.pdf"</t>
  </si>
  <si>
    <t>The Manure Tool is a simplified tool, calculating mass balances for manure from ex-animal to the field. The starting point of the calculations is the manure composition after excretion from the animal. From this, emissions are subtracted during in-house storage and outdoor storage, during field application and in the period after application of the manure to fields. In addition to this, life cycle data on energy consumption and selected chemicals are included. The “Reference Manure Compositions” from the Baltic Sea Regions in included as the reference systems in the Manure Tool, see the description below.</t>
  </si>
  <si>
    <t>Danish Environmental Agency (2011): The Technology List and Danish EPA technology sheet, 17.05.2011. Teknologitype:Hyppig fjernelse af gødning fra berigede bure til ægproduktion. In Danish. http://www.mst.dk/NR/rdonlyres/B0606CCF-1981-4D04-A28A-6CC741C51A17/0/Hyppigfjernelseafgødningberigedebure.pdf. Information from the online system for revision of the IRPP BREF document the by the European IPPC Bureau, BAT Information System (BATIS), datasheet from Denmark: "DK_housing_poultry_manurebelt1.pdf" and combined with datasheet from Spain: "ES_poultry_laying_hen_1-2.pdf"</t>
  </si>
  <si>
    <t>Laying hens in cages. Housing. Category: Enriched cages. Manure removal 3 times a week(manure belts). (Ref: Denmark)</t>
  </si>
  <si>
    <t>Danish Environmental Agency (2011): The Technology List and Danish EPA technology sheet, 17.05.2011. Teknologitype:Hyppig fjernelse af gødning fra berigede bure til ægproduktion. In Danish. http://www.mst.dk/NR/rdonlyres/B0606CCF-1981-4D04-A28A-6CC741C51A17/0/Hyppigfjernelseafgødningberigedebure.pdf. Information from the online system for revision of the IRPP BREF document the by the European IPPC Bureau, BAT Information System (BATIS), datasheet from Denmark: "DK_housing_poultry_manurebelt1.pdf" and combined with datasheet from Spain: "ES_poultry_laying_hen_1-2.pdf" and  datasheet from Germany: "DE_housing_layers_enriched cages.pdf"</t>
  </si>
  <si>
    <t>Field Technique</t>
  </si>
  <si>
    <t>Slurry storage. Cover for slurry stores: Plastic tent. Pig slurry. (Ref: Denmark, 2010)</t>
  </si>
  <si>
    <t>Slurry storage. Cover for slurry stores: Light tile stones. Pig slurry. (Ref: Denmark)</t>
  </si>
  <si>
    <t xml:space="preserve">The technologies for the Manure Tool version 2.0 is based on a selection of the techniques from Version 1.0 on the basis on which techniques that was considered relevant for the Baltic Sea Countries. Furthermore, additional techniques has been included in this Version 2.0.
</t>
  </si>
  <si>
    <r>
      <t>The Manure Tool is founded on mass balances. The starting point is the manure composition ex-animal. Emissions during the in-house storage are subtracted in order to calculate the manure composition ex-housing. The mass balances are carried out all the way through outdoor storage and field application, including the period after application. NH</t>
    </r>
    <r>
      <rPr>
        <vertAlign val="subscript"/>
        <sz val="10"/>
        <color theme="1"/>
        <rFont val="Calibri"/>
        <family val="2"/>
        <scheme val="minor"/>
      </rPr>
      <t>3</t>
    </r>
    <r>
      <rPr>
        <sz val="10"/>
        <color theme="1"/>
        <rFont val="Calibri"/>
        <family val="2"/>
        <scheme val="minor"/>
      </rPr>
      <t xml:space="preserve"> emissions are based on country specific values. CH</t>
    </r>
    <r>
      <rPr>
        <vertAlign val="subscript"/>
        <sz val="10"/>
        <color theme="1"/>
        <rFont val="Calibri"/>
        <family val="2"/>
        <scheme val="minor"/>
      </rPr>
      <t>4</t>
    </r>
    <r>
      <rPr>
        <sz val="10"/>
        <color theme="1"/>
        <rFont val="Calibri"/>
        <family val="2"/>
        <scheme val="minor"/>
      </rPr>
      <t xml:space="preserve"> and N</t>
    </r>
    <r>
      <rPr>
        <vertAlign val="subscript"/>
        <sz val="10"/>
        <color theme="1"/>
        <rFont val="Calibri"/>
        <family val="2"/>
        <scheme val="minor"/>
      </rPr>
      <t>2</t>
    </r>
    <r>
      <rPr>
        <sz val="10"/>
        <color theme="1"/>
        <rFont val="Calibri"/>
        <family val="2"/>
        <scheme val="minor"/>
      </rPr>
      <t xml:space="preserve">O emissions are based on IPCC (2006) (see "User Guideline" below).
</t>
    </r>
  </si>
  <si>
    <t xml:space="preserve">The Manure Tool should be seen as a "mass balance calculation tool", not a database. All emission factors and data can be changed by the user, accordingly, it is the ability of calculating mass balances and emissions which is the purpose of the Manure Tool, not the data itself.
</t>
  </si>
  <si>
    <r>
      <t>For Nitrogen, the mass balances start with the total amount of N ex-animal. The emissions of NH</t>
    </r>
    <r>
      <rPr>
        <vertAlign val="subscript"/>
        <sz val="10"/>
        <color theme="1"/>
        <rFont val="Calibri"/>
        <family val="2"/>
        <scheme val="minor"/>
      </rPr>
      <t>3</t>
    </r>
    <r>
      <rPr>
        <sz val="10"/>
        <color theme="1"/>
        <rFont val="Calibri"/>
        <family val="2"/>
        <scheme val="minor"/>
      </rPr>
      <t>, N</t>
    </r>
    <r>
      <rPr>
        <vertAlign val="subscript"/>
        <sz val="10"/>
        <color theme="1"/>
        <rFont val="Calibri"/>
        <family val="2"/>
        <scheme val="minor"/>
      </rPr>
      <t>2</t>
    </r>
    <r>
      <rPr>
        <sz val="10"/>
        <color theme="1"/>
        <rFont val="Calibri"/>
        <family val="2"/>
        <scheme val="minor"/>
      </rPr>
      <t>O, N</t>
    </r>
    <r>
      <rPr>
        <vertAlign val="subscript"/>
        <sz val="10"/>
        <color theme="1"/>
        <rFont val="Calibri"/>
        <family val="2"/>
        <scheme val="minor"/>
      </rPr>
      <t>2</t>
    </r>
    <r>
      <rPr>
        <sz val="10"/>
        <color theme="1"/>
        <rFont val="Calibri"/>
        <family val="2"/>
        <scheme val="minor"/>
      </rPr>
      <t>,  NO and NO</t>
    </r>
    <r>
      <rPr>
        <vertAlign val="subscript"/>
        <sz val="10"/>
        <color theme="1"/>
        <rFont val="Calibri"/>
        <family val="2"/>
        <scheme val="minor"/>
      </rPr>
      <t>2</t>
    </r>
    <r>
      <rPr>
        <sz val="10"/>
        <color theme="1"/>
        <rFont val="Calibri"/>
        <family val="2"/>
        <scheme val="minor"/>
      </rPr>
      <t xml:space="preserve"> are subtracted in each of the stages “in-house storage”, “outdoor storage” and “during and after field application”. The mass balances for VS (volatile solids) are based on the manure content of VS ex-animal, combined with emissions of CH</t>
    </r>
    <r>
      <rPr>
        <vertAlign val="subscript"/>
        <sz val="10"/>
        <color theme="1"/>
        <rFont val="Calibri"/>
        <family val="2"/>
        <scheme val="minor"/>
      </rPr>
      <t>4</t>
    </r>
    <r>
      <rPr>
        <sz val="10"/>
        <color theme="1"/>
        <rFont val="Calibri"/>
        <family val="2"/>
        <scheme val="minor"/>
      </rPr>
      <t xml:space="preserve"> and CO</t>
    </r>
    <r>
      <rPr>
        <vertAlign val="subscript"/>
        <sz val="10"/>
        <color theme="1"/>
        <rFont val="Calibri"/>
        <family val="2"/>
        <scheme val="minor"/>
      </rPr>
      <t>2</t>
    </r>
    <r>
      <rPr>
        <sz val="10"/>
        <color theme="1"/>
        <rFont val="Calibri"/>
        <family val="2"/>
        <scheme val="minor"/>
      </rPr>
      <t>., calculated in accordance with the molar ratios for the degradation of VS into CH</t>
    </r>
    <r>
      <rPr>
        <vertAlign val="subscript"/>
        <sz val="10"/>
        <color theme="1"/>
        <rFont val="Calibri"/>
        <family val="2"/>
        <scheme val="minor"/>
      </rPr>
      <t>4</t>
    </r>
    <r>
      <rPr>
        <sz val="10"/>
        <color theme="1"/>
        <rFont val="Calibri"/>
        <family val="2"/>
        <scheme val="minor"/>
      </rPr>
      <t>, CO</t>
    </r>
    <r>
      <rPr>
        <vertAlign val="subscript"/>
        <sz val="10"/>
        <color theme="1"/>
        <rFont val="Calibri"/>
        <family val="2"/>
        <scheme val="minor"/>
      </rPr>
      <t>2</t>
    </r>
    <r>
      <rPr>
        <sz val="10"/>
        <color theme="1"/>
        <rFont val="Calibri"/>
        <family val="2"/>
        <scheme val="minor"/>
      </rPr>
      <t xml:space="preserve"> and H</t>
    </r>
    <r>
      <rPr>
        <vertAlign val="subscript"/>
        <sz val="10"/>
        <color theme="1"/>
        <rFont val="Calibri"/>
        <family val="2"/>
        <scheme val="minor"/>
      </rPr>
      <t>2</t>
    </r>
    <r>
      <rPr>
        <sz val="10"/>
        <color theme="1"/>
        <rFont val="Calibri"/>
        <family val="2"/>
        <scheme val="minor"/>
      </rPr>
      <t xml:space="preserve">O (based on the Buswell equation (Symons and Buswell, 1933), using the same principles as in chapter 5 of the Supporting Information of Hamelin et al. (2014)). 
</t>
    </r>
  </si>
  <si>
    <t xml:space="preserve">The Manure Tool is transparent, and manure composition, emission factors and techniques can easily be changed by the user. See further description below under “User Guideline".
</t>
  </si>
  <si>
    <t xml:space="preserve">Addition of water in housing units and during storage not included (in order to keep simplicity and make mass balances transparent).
</t>
  </si>
  <si>
    <r>
      <t>Biogenic CO</t>
    </r>
    <r>
      <rPr>
        <vertAlign val="subscript"/>
        <sz val="10"/>
        <color theme="1"/>
        <rFont val="Calibri"/>
        <family val="2"/>
        <scheme val="minor"/>
      </rPr>
      <t>2</t>
    </r>
    <r>
      <rPr>
        <sz val="10"/>
        <color theme="1"/>
        <rFont val="Calibri"/>
        <family val="2"/>
        <scheme val="minor"/>
      </rPr>
      <t xml:space="preserve"> emissions included in the mass balances, but not in the Global Warming results, as it is regarded as "CO</t>
    </r>
    <r>
      <rPr>
        <vertAlign val="subscript"/>
        <sz val="10"/>
        <color theme="1"/>
        <rFont val="Calibri"/>
        <family val="2"/>
        <scheme val="minor"/>
      </rPr>
      <t>2</t>
    </r>
    <r>
      <rPr>
        <sz val="10"/>
        <color theme="1"/>
        <rFont val="Calibri"/>
        <family val="2"/>
        <scheme val="minor"/>
      </rPr>
      <t xml:space="preserve"> neutral" in this simplified tool.
</t>
    </r>
  </si>
  <si>
    <t xml:space="preserve">Feed and the consequences of changes feeding strategy is not included.
</t>
  </si>
  <si>
    <t xml:space="preserve">The Manure Tool is Excel based and works on Excel 2007 and 2010. Some of the functions (e.g. the selection of Techniques) might not work in older versions of Excel.
</t>
  </si>
  <si>
    <r>
      <t>The Manure Tool can be distributed and is a Freeware / Shareware.
The user must assume the entire risk of using the Manure Tool. The</t>
    </r>
    <r>
      <rPr>
        <b/>
        <sz val="10"/>
        <color rgb="FFFF0000"/>
        <rFont val="Calibri"/>
        <family val="2"/>
        <scheme val="minor"/>
      </rPr>
      <t xml:space="preserve"> </t>
    </r>
    <r>
      <rPr>
        <sz val="10"/>
        <color theme="1"/>
        <rFont val="Calibri"/>
        <family val="2"/>
        <scheme val="minor"/>
      </rPr>
      <t xml:space="preserve">University of Southern Denmark shall not be liable for any material defects/damages, including consequential damages, loss of income, business or profit, special, indirect or incidental damages due to the use of the Manure Tool nor the data.
</t>
    </r>
  </si>
  <si>
    <t xml:space="preserve">The Manure Tool is organised in tabs (worksheets) as follows:
</t>
  </si>
  <si>
    <t xml:space="preserve">In this worksheet, you select Animal category and Technique. Place the curser in cells marked with yellow and select by clicking the small arrow that will appear to the right.
</t>
  </si>
  <si>
    <t xml:space="preserve">Mass balances are calculated in green and grey cells.These calculations should not be changed by the user. The mass balances are simple: Total N ex-animal minus emissions in the housing units = Total N ex housing etc.
</t>
  </si>
  <si>
    <t xml:space="preserve">Please do not change calculations in other cells as this might lead to errors in the overall results. Data on potassium, zinc, copper etc. can be entered in the worksheet named “Reference Systems”, however, they do not influence the mass balance calculations.
</t>
  </si>
  <si>
    <t xml:space="preserve">The worksheet “Reference systems” also contains a description of the animal categories, housing systems, outdoor storage and field application for the Reference Systems. As the emissions for the techniques are calculated relative to the Reference Systems (as % reductions compared to the Reference Systems) it is very important to read these descriptions if adding new techniques.
</t>
  </si>
  <si>
    <t xml:space="preserve">Each column contains one technique. The first cell contains the name of the technique. As the Manure Tool uses this name for identification of the technique, it is very important to give different names to all techniques. 
</t>
  </si>
  <si>
    <t xml:space="preserve">The emission factors are given as % reductions compared to the reference systems described in the Worksheet named “Reference Systems” in row 1-15.
</t>
  </si>
  <si>
    <t xml:space="preserve">Not all techniques can be used for all animal categories. For example, the Danish Reference System for fattening pigs is a "slurry system", whereas the Polish is a "solid manure" system; obviously it is not the same techniques that can be applied.
Furthermore, not all combinations make sense. The Manure Tool has no warnings for combination of techniques, that would never be combined in real life.
</t>
  </si>
  <si>
    <t xml:space="preserve">Open the worksheet “In-house Techniques”, "Outdoor Storage Techniques" or "Field Techniques", go to the row where you want the new technique. Add a new row (Hold the curser at the letter for the row at the very top, e.g. over the “Q” for row Q and type “ctrl +” Enter new data for the new technique. VERY important: The name has to be specific for this new technique and must not be identical to already existing techniques. Enter new data in the cells and save.
</t>
  </si>
  <si>
    <t xml:space="preserve">The combined reductions of combined techniques are calculated in cell P39, P40, P43, W39 and W43 in the worksheet named "Calculations - Techn". Example of formula for combined reduction : =(1-(1+'In-House Techniques'!$B$16/100)*(1+'Outdoor Storage Techniques'!$B$16/100))*100 (here inserted as + as the reductions are negative values)
</t>
  </si>
  <si>
    <t xml:space="preserve">If a user wants to combine two housing techniques, the combined reduction can be calculated by the method above, and inserted by the user as a "new" technique. If, however, a technique combination is a combination of 2 in housing techniques, e.g. a floor type combined with an air cleaning system, the best results will be obtained by searching for new data specific for this combination. Contact to the producer of the air cleaning system should be taken.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</si>
</sst>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
    <numFmt numFmtId="167" formatCode="0.0000"/>
    <numFmt numFmtId="168" formatCode="0.000000"/>
    <numFmt numFmtId="169" formatCode="0.0000000"/>
    <numFmt numFmtId="170" formatCode="_ [$€-2]\ * #,##0.00_ ;_ [$€-2]\ * \-#,##0.00_ ;_ [$€-2]\ * &quot;-&quot;??_ "/>
    <numFmt numFmtId="171" formatCode="0.0000000000"/>
  </numFmts>
  <fonts count="76" x14ac:knownFonts="1">
    <font>
      <sz val="11"/>
      <color theme="1"/>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8"/>
      <color indexed="81"/>
      <name val="Tahoma"/>
      <family val="2"/>
    </font>
    <font>
      <sz val="8"/>
      <color indexed="81"/>
      <name val="Tahoma"/>
      <family val="2"/>
    </font>
    <font>
      <sz val="10"/>
      <name val="Calibri"/>
      <family val="2"/>
      <scheme val="minor"/>
    </font>
    <font>
      <sz val="11"/>
      <name val="Calibri"/>
      <family val="2"/>
      <scheme val="minor"/>
    </font>
    <font>
      <b/>
      <sz val="12"/>
      <color theme="1"/>
      <name val="Calibri"/>
      <family val="2"/>
      <scheme val="minor"/>
    </font>
    <font>
      <vertAlign val="superscript"/>
      <sz val="10"/>
      <color theme="1"/>
      <name val="Calibri"/>
      <family val="2"/>
      <scheme val="minor"/>
    </font>
    <font>
      <vertAlign val="subscript"/>
      <sz val="10"/>
      <color theme="1"/>
      <name val="Calibri"/>
      <family val="2"/>
      <scheme val="minor"/>
    </font>
    <font>
      <b/>
      <sz val="14"/>
      <color theme="1"/>
      <name val="Calibri"/>
      <family val="2"/>
      <scheme val="minor"/>
    </font>
    <font>
      <b/>
      <sz val="18"/>
      <color theme="1"/>
      <name val="Calibri"/>
      <family val="2"/>
      <scheme val="minor"/>
    </font>
    <font>
      <vertAlign val="subscript"/>
      <sz val="11"/>
      <color theme="1"/>
      <name val="Calibri"/>
      <family val="2"/>
      <scheme val="minor"/>
    </font>
    <font>
      <b/>
      <sz val="20"/>
      <color rgb="FFFF0000"/>
      <name val="Calibri"/>
      <family val="2"/>
      <scheme val="minor"/>
    </font>
    <font>
      <b/>
      <vertAlign val="subscript"/>
      <sz val="12"/>
      <color theme="1"/>
      <name val="Calibri"/>
      <family val="2"/>
      <scheme val="minor"/>
    </font>
    <font>
      <b/>
      <vertAlign val="subscript"/>
      <sz val="14"/>
      <color theme="1"/>
      <name val="Calibri"/>
      <family val="2"/>
      <scheme val="minor"/>
    </font>
    <font>
      <b/>
      <sz val="11"/>
      <color rgb="FFFF0000"/>
      <name val="Calibri"/>
      <family val="2"/>
      <scheme val="minor"/>
    </font>
    <font>
      <sz val="10"/>
      <name val="Arial"/>
      <family val="2"/>
    </font>
    <font>
      <sz val="9"/>
      <color indexed="81"/>
      <name val="Tahoma"/>
      <family val="2"/>
    </font>
    <font>
      <b/>
      <sz val="9"/>
      <color indexed="81"/>
      <name val="Tahoma"/>
      <family val="2"/>
    </font>
    <font>
      <u/>
      <sz val="11"/>
      <color theme="10"/>
      <name val="Calibri"/>
      <family val="2"/>
    </font>
    <font>
      <u/>
      <sz val="11"/>
      <color theme="10"/>
      <name val="Calibri"/>
      <family val="2"/>
      <scheme val="minor"/>
    </font>
    <font>
      <sz val="9"/>
      <color theme="1"/>
      <name val="Calibri"/>
      <family val="2"/>
      <scheme val="minor"/>
    </font>
    <font>
      <sz val="8"/>
      <color theme="1"/>
      <name val="Calibri"/>
      <family val="2"/>
      <scheme val="minor"/>
    </font>
    <font>
      <vertAlign val="subscript"/>
      <sz val="8"/>
      <color theme="1"/>
      <name val="Calibri"/>
      <family val="2"/>
      <scheme val="minor"/>
    </font>
    <font>
      <sz val="9"/>
      <color rgb="FFFF0000"/>
      <name val="Calibri"/>
      <family val="2"/>
      <scheme val="minor"/>
    </font>
    <font>
      <b/>
      <sz val="9"/>
      <color rgb="FFFF0000"/>
      <name val="Calibri"/>
      <family val="2"/>
      <scheme val="minor"/>
    </font>
    <font>
      <b/>
      <sz val="9"/>
      <color theme="1"/>
      <name val="Calibri"/>
      <family val="2"/>
      <scheme val="minor"/>
    </font>
    <font>
      <b/>
      <vertAlign val="subscript"/>
      <sz val="9"/>
      <color theme="1"/>
      <name val="Calibri"/>
      <family val="2"/>
      <scheme val="minor"/>
    </font>
    <font>
      <vertAlign val="subscript"/>
      <sz val="9"/>
      <color theme="1"/>
      <name val="Calibri"/>
      <family val="2"/>
      <scheme val="minor"/>
    </font>
    <font>
      <sz val="13"/>
      <color rgb="FF0070C0"/>
      <name val="Cambria"/>
      <family val="1"/>
      <scheme val="major"/>
    </font>
    <font>
      <vertAlign val="subscript"/>
      <sz val="13"/>
      <color rgb="FF0070C0"/>
      <name val="Cambria"/>
      <family val="1"/>
      <scheme val="major"/>
    </font>
    <font>
      <b/>
      <sz val="9"/>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i/>
      <sz val="9"/>
      <color rgb="FF000000"/>
      <name val="Calibri"/>
      <family val="2"/>
      <scheme val="minor"/>
    </font>
    <font>
      <vertAlign val="superscript"/>
      <sz val="9"/>
      <color rgb="FF000000"/>
      <name val="Calibri"/>
      <family val="2"/>
      <scheme val="minor"/>
    </font>
    <font>
      <b/>
      <i/>
      <sz val="9"/>
      <color rgb="FFFF0000"/>
      <name val="Calibri"/>
      <family val="2"/>
      <scheme val="minor"/>
    </font>
    <font>
      <sz val="10"/>
      <color rgb="FFFF0000"/>
      <name val="Calibri"/>
      <family val="2"/>
      <scheme val="minor"/>
    </font>
    <font>
      <sz val="10"/>
      <color rgb="FF000000"/>
      <name val="Calibri"/>
      <family val="2"/>
      <scheme val="minor"/>
    </font>
    <font>
      <sz val="9"/>
      <color rgb="FF00B050"/>
      <name val="Calibri"/>
      <family val="2"/>
      <scheme val="minor"/>
    </font>
    <font>
      <sz val="9"/>
      <name val="Calibri"/>
      <family val="2"/>
      <scheme val="minor"/>
    </font>
    <font>
      <sz val="9"/>
      <color rgb="FF0070C0"/>
      <name val="Calibri"/>
      <family val="2"/>
      <scheme val="minor"/>
    </font>
    <font>
      <i/>
      <sz val="10"/>
      <color rgb="FFFF0000"/>
      <name val="Calibri"/>
      <family val="2"/>
      <scheme val="minor"/>
    </font>
    <font>
      <b/>
      <sz val="11"/>
      <color rgb="FF006600"/>
      <name val="Calibri"/>
      <family val="2"/>
      <scheme val="minor"/>
    </font>
    <font>
      <b/>
      <sz val="9"/>
      <name val="Calibri"/>
      <family val="2"/>
      <scheme val="minor"/>
    </font>
    <font>
      <sz val="9"/>
      <color rgb="FF0070C0"/>
      <name val="Cambria"/>
      <family val="1"/>
      <scheme val="major"/>
    </font>
    <font>
      <b/>
      <sz val="10"/>
      <color rgb="FF000000"/>
      <name val="Calibri"/>
      <family val="2"/>
      <scheme val="minor"/>
    </font>
    <font>
      <b/>
      <sz val="12"/>
      <color rgb="FFFF0000"/>
      <name val="Calibri"/>
      <family val="2"/>
      <scheme val="minor"/>
    </font>
    <font>
      <b/>
      <sz val="10"/>
      <name val="Calibri"/>
      <family val="2"/>
      <scheme val="minor"/>
    </font>
    <font>
      <b/>
      <sz val="16"/>
      <color theme="1"/>
      <name val="Calibri"/>
      <family val="2"/>
      <scheme val="minor"/>
    </font>
    <font>
      <sz val="16"/>
      <color theme="1"/>
      <name val="Calibri"/>
      <family val="2"/>
      <scheme val="minor"/>
    </font>
    <font>
      <sz val="16"/>
      <color rgb="FFFF0000"/>
      <name val="Calibri"/>
      <family val="2"/>
      <scheme val="minor"/>
    </font>
    <font>
      <sz val="9"/>
      <color rgb="FF002060"/>
      <name val="Calibri"/>
      <family val="2"/>
      <scheme val="minor"/>
    </font>
    <font>
      <b/>
      <i/>
      <sz val="9"/>
      <color theme="1"/>
      <name val="Calibri"/>
      <family val="2"/>
      <scheme val="minor"/>
    </font>
    <font>
      <strike/>
      <sz val="10"/>
      <color theme="1"/>
      <name val="Calibri"/>
      <family val="2"/>
      <scheme val="minor"/>
    </font>
    <font>
      <i/>
      <sz val="10"/>
      <name val="Calibri"/>
      <family val="2"/>
      <scheme val="minor"/>
    </font>
    <font>
      <b/>
      <i/>
      <sz val="10"/>
      <color rgb="FFFF0000"/>
      <name val="Calibri"/>
      <family val="2"/>
      <scheme val="minor"/>
    </font>
    <font>
      <b/>
      <sz val="14"/>
      <name val="Calibri"/>
      <family val="2"/>
      <scheme val="minor"/>
    </font>
    <font>
      <b/>
      <sz val="10"/>
      <color rgb="FFFF0000"/>
      <name val="Calibri"/>
      <family val="2"/>
      <scheme val="minor"/>
    </font>
    <font>
      <b/>
      <sz val="10"/>
      <color rgb="FF00B050"/>
      <name val="Calibri"/>
      <family val="2"/>
      <scheme val="minor"/>
    </font>
    <font>
      <i/>
      <sz val="10"/>
      <color rgb="FF000000"/>
      <name val="Calibri"/>
      <family val="2"/>
      <scheme val="minor"/>
    </font>
    <font>
      <b/>
      <sz val="20"/>
      <color theme="1"/>
      <name val="Calibri"/>
      <family val="2"/>
      <scheme val="minor"/>
    </font>
    <font>
      <sz val="14"/>
      <name val="Cambria"/>
      <family val="1"/>
      <scheme val="major"/>
    </font>
    <font>
      <b/>
      <sz val="14"/>
      <color rgb="FF0070C0"/>
      <name val="Cambria"/>
      <family val="1"/>
      <scheme val="major"/>
    </font>
    <font>
      <b/>
      <vertAlign val="subscript"/>
      <sz val="12"/>
      <color rgb="FFFF0000"/>
      <name val="Calibri"/>
      <family val="2"/>
      <scheme val="minor"/>
    </font>
    <font>
      <b/>
      <vertAlign val="subscript"/>
      <sz val="10"/>
      <color rgb="FFFF0000"/>
      <name val="Calibri"/>
      <family val="2"/>
      <scheme val="minor"/>
    </font>
    <font>
      <i/>
      <sz val="9"/>
      <color theme="1"/>
      <name val="Calibri"/>
      <family val="2"/>
      <scheme val="minor"/>
    </font>
    <font>
      <sz val="10"/>
      <color rgb="FF00B050"/>
      <name val="Calibri"/>
      <family val="2"/>
      <scheme val="minor"/>
    </font>
    <font>
      <vertAlign val="subscript"/>
      <sz val="10"/>
      <name val="Calibri"/>
      <family val="2"/>
      <scheme val="minor"/>
    </font>
    <font>
      <sz val="9"/>
      <color indexed="81"/>
      <name val="Tahoma"/>
      <charset val="1"/>
    </font>
    <font>
      <b/>
      <sz val="9"/>
      <color indexed="81"/>
      <name val="Tahoma"/>
      <charset val="1"/>
    </font>
  </fonts>
  <fills count="22">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rgb="FF66FF33"/>
        <bgColor indexed="64"/>
      </patternFill>
    </fill>
    <fill>
      <patternFill patternType="solid">
        <fgColor rgb="FF99CCFF"/>
        <bgColor indexed="64"/>
      </patternFill>
    </fill>
    <fill>
      <patternFill patternType="solid">
        <fgColor rgb="FF99FFCC"/>
        <bgColor indexed="64"/>
      </patternFill>
    </fill>
    <fill>
      <patternFill patternType="solid">
        <fgColor rgb="FF99FF99"/>
        <bgColor indexed="64"/>
      </patternFill>
    </fill>
    <fill>
      <patternFill patternType="solid">
        <fgColor rgb="FF00FFFF"/>
        <bgColor indexed="64"/>
      </patternFill>
    </fill>
    <fill>
      <patternFill patternType="solid">
        <fgColor rgb="FFFF66FF"/>
        <bgColor indexed="64"/>
      </patternFill>
    </fill>
    <fill>
      <patternFill patternType="solid">
        <fgColor theme="0" tint="-0.249977111117893"/>
        <bgColor indexed="64"/>
      </patternFill>
    </fill>
    <fill>
      <patternFill patternType="solid">
        <fgColor rgb="FFFFCC00"/>
        <bgColor indexed="64"/>
      </patternFill>
    </fill>
  </fills>
  <borders count="70">
    <border>
      <left/>
      <right/>
      <top/>
      <bottom/>
      <diagonal/>
    </border>
    <border>
      <left/>
      <right style="thin">
        <color auto="1"/>
      </right>
      <top/>
      <bottom/>
      <diagonal/>
    </border>
    <border>
      <left style="thin">
        <color auto="1"/>
      </left>
      <right style="thin">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indexed="64"/>
      </top>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style="thin">
        <color auto="1"/>
      </left>
      <right style="thin">
        <color auto="1"/>
      </right>
      <top style="medium">
        <color indexed="64"/>
      </top>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indexed="64"/>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thin">
        <color auto="1"/>
      </top>
      <bottom style="medium">
        <color indexed="64"/>
      </bottom>
      <diagonal/>
    </border>
    <border>
      <left/>
      <right/>
      <top/>
      <bottom style="double">
        <color indexed="64"/>
      </bottom>
      <diagonal/>
    </border>
    <border>
      <left style="thin">
        <color auto="1"/>
      </left>
      <right style="thin">
        <color auto="1"/>
      </right>
      <top/>
      <bottom style="double">
        <color indexed="64"/>
      </bottom>
      <diagonal/>
    </border>
    <border>
      <left/>
      <right style="double">
        <color indexed="64"/>
      </right>
      <top/>
      <bottom/>
      <diagonal/>
    </border>
    <border>
      <left/>
      <right style="thin">
        <color auto="1"/>
      </right>
      <top/>
      <bottom style="double">
        <color indexed="64"/>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indexed="64"/>
      </bottom>
      <diagonal/>
    </border>
    <border>
      <left style="thin">
        <color auto="1"/>
      </left>
      <right style="double">
        <color auto="1"/>
      </right>
      <top/>
      <bottom style="double">
        <color indexed="64"/>
      </bottom>
      <diagonal/>
    </border>
    <border>
      <left style="thin">
        <color auto="1"/>
      </left>
      <right style="double">
        <color auto="1"/>
      </right>
      <top/>
      <bottom style="thin">
        <color auto="1"/>
      </bottom>
      <diagonal/>
    </border>
    <border>
      <left style="thin">
        <color auto="1"/>
      </left>
      <right style="double">
        <color auto="1"/>
      </right>
      <top/>
      <bottom style="medium">
        <color indexed="64"/>
      </bottom>
      <diagonal/>
    </border>
    <border>
      <left style="thin">
        <color auto="1"/>
      </left>
      <right style="double">
        <color auto="1"/>
      </right>
      <top style="medium">
        <color indexed="64"/>
      </top>
      <bottom style="double">
        <color indexed="64"/>
      </bottom>
      <diagonal/>
    </border>
    <border>
      <left style="thin">
        <color auto="1"/>
      </left>
      <right style="thin">
        <color auto="1"/>
      </right>
      <top style="medium">
        <color indexed="64"/>
      </top>
      <bottom style="double">
        <color indexed="64"/>
      </bottom>
      <diagonal/>
    </border>
    <border>
      <left style="double">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double">
        <color auto="1"/>
      </right>
      <top style="double">
        <color indexed="64"/>
      </top>
      <bottom style="medium">
        <color indexed="64"/>
      </bottom>
      <diagonal/>
    </border>
    <border>
      <left style="double">
        <color indexed="64"/>
      </left>
      <right style="thin">
        <color auto="1"/>
      </right>
      <top style="medium">
        <color indexed="64"/>
      </top>
      <bottom style="double">
        <color indexed="64"/>
      </bottom>
      <diagonal/>
    </border>
    <border>
      <left style="double">
        <color indexed="64"/>
      </left>
      <right style="thin">
        <color auto="1"/>
      </right>
      <top style="medium">
        <color indexed="64"/>
      </top>
      <bottom style="medium">
        <color indexed="64"/>
      </bottom>
      <diagonal/>
    </border>
    <border>
      <left style="thin">
        <color auto="1"/>
      </left>
      <right style="double">
        <color auto="1"/>
      </right>
      <top style="medium">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thin">
        <color indexed="64"/>
      </right>
      <top/>
      <bottom style="medium">
        <color indexed="64"/>
      </bottom>
      <diagonal/>
    </border>
    <border>
      <left/>
      <right/>
      <top style="medium">
        <color indexed="64"/>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style="thin">
        <color indexed="64"/>
      </top>
      <bottom style="thin">
        <color indexed="64"/>
      </bottom>
      <diagonal/>
    </border>
    <border>
      <left/>
      <right style="thick">
        <color auto="1"/>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auto="1"/>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double">
        <color auto="1"/>
      </right>
      <top style="thin">
        <color auto="1"/>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8">
    <xf numFmtId="0" fontId="0" fillId="0" borderId="0"/>
    <xf numFmtId="0" fontId="20" fillId="0" borderId="0"/>
    <xf numFmtId="9" fontId="20" fillId="0" borderId="0" applyFont="0" applyFill="0" applyBorder="0" applyAlignment="0" applyProtection="0"/>
    <xf numFmtId="0" fontId="20" fillId="0" borderId="0"/>
    <xf numFmtId="9" fontId="20" fillId="0" borderId="0" applyFont="0" applyFill="0" applyBorder="0" applyAlignment="0" applyProtection="0"/>
    <xf numFmtId="170" fontId="20"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cellStyleXfs>
  <cellXfs count="1196">
    <xf numFmtId="0" fontId="0" fillId="0" borderId="0" xfId="0"/>
    <xf numFmtId="0" fontId="1" fillId="0" borderId="0" xfId="0" applyFont="1"/>
    <xf numFmtId="0" fontId="0" fillId="0" borderId="2" xfId="0" applyBorder="1"/>
    <xf numFmtId="0" fontId="0" fillId="0" borderId="0" xfId="0"/>
    <xf numFmtId="0" fontId="0" fillId="0" borderId="0" xfId="0" applyBorder="1"/>
    <xf numFmtId="0" fontId="3" fillId="0" borderId="10" xfId="0" applyFont="1" applyBorder="1"/>
    <xf numFmtId="0" fontId="0" fillId="0" borderId="11" xfId="0" applyBorder="1"/>
    <xf numFmtId="0" fontId="0" fillId="0" borderId="0" xfId="0" applyFill="1" applyBorder="1"/>
    <xf numFmtId="0" fontId="0" fillId="0" borderId="16" xfId="0" applyBorder="1"/>
    <xf numFmtId="0" fontId="0" fillId="0" borderId="17" xfId="0" applyBorder="1"/>
    <xf numFmtId="0" fontId="0" fillId="0" borderId="15" xfId="0" applyBorder="1"/>
    <xf numFmtId="165" fontId="8" fillId="0" borderId="0" xfId="0" applyNumberFormat="1" applyFont="1" applyFill="1"/>
    <xf numFmtId="165" fontId="3" fillId="0" borderId="0" xfId="0" applyNumberFormat="1" applyFont="1" applyFill="1"/>
    <xf numFmtId="0" fontId="0" fillId="0" borderId="0" xfId="0"/>
    <xf numFmtId="0" fontId="0" fillId="0" borderId="0" xfId="0" applyBorder="1"/>
    <xf numFmtId="0" fontId="0" fillId="0" borderId="11" xfId="0" applyBorder="1"/>
    <xf numFmtId="0" fontId="0" fillId="0" borderId="16" xfId="0" applyBorder="1"/>
    <xf numFmtId="0" fontId="0" fillId="0" borderId="17" xfId="0" applyBorder="1"/>
    <xf numFmtId="0" fontId="0" fillId="0" borderId="15" xfId="0" applyBorder="1"/>
    <xf numFmtId="0" fontId="0" fillId="0" borderId="10" xfId="0" applyBorder="1"/>
    <xf numFmtId="0" fontId="0" fillId="0" borderId="6" xfId="0" applyBorder="1"/>
    <xf numFmtId="0" fontId="0" fillId="0" borderId="7" xfId="0" applyBorder="1"/>
    <xf numFmtId="0" fontId="0" fillId="0" borderId="8" xfId="0" applyBorder="1"/>
    <xf numFmtId="2" fontId="0" fillId="0" borderId="0" xfId="0" applyNumberFormat="1"/>
    <xf numFmtId="0" fontId="9" fillId="0" borderId="10" xfId="0" applyFont="1" applyBorder="1"/>
    <xf numFmtId="0" fontId="9" fillId="0" borderId="0" xfId="0" applyFont="1" applyBorder="1"/>
    <xf numFmtId="0" fontId="0" fillId="0" borderId="0" xfId="0"/>
    <xf numFmtId="0" fontId="3" fillId="0" borderId="0" xfId="0" applyFont="1"/>
    <xf numFmtId="0" fontId="0" fillId="0" borderId="0" xfId="0" applyBorder="1"/>
    <xf numFmtId="0" fontId="3" fillId="0" borderId="0" xfId="0" applyFont="1" applyFill="1" applyBorder="1"/>
    <xf numFmtId="0" fontId="0" fillId="0" borderId="1" xfId="0" applyBorder="1"/>
    <xf numFmtId="0" fontId="0" fillId="0" borderId="13" xfId="0" applyBorder="1"/>
    <xf numFmtId="0" fontId="0" fillId="0" borderId="14" xfId="0" applyBorder="1"/>
    <xf numFmtId="0" fontId="3" fillId="0" borderId="0" xfId="0" applyFont="1" applyBorder="1"/>
    <xf numFmtId="0" fontId="4" fillId="0" borderId="3" xfId="0" applyFont="1" applyBorder="1"/>
    <xf numFmtId="0" fontId="3" fillId="0" borderId="4" xfId="0" applyFont="1" applyBorder="1"/>
    <xf numFmtId="0" fontId="5" fillId="0" borderId="9" xfId="0" applyFont="1" applyBorder="1"/>
    <xf numFmtId="0" fontId="5" fillId="0" borderId="0" xfId="0" applyFont="1" applyBorder="1"/>
    <xf numFmtId="0" fontId="4" fillId="0" borderId="12" xfId="0" applyFont="1" applyBorder="1"/>
    <xf numFmtId="0" fontId="3" fillId="0" borderId="13" xfId="0" applyFont="1" applyBorder="1"/>
    <xf numFmtId="0" fontId="0" fillId="2" borderId="0" xfId="0" applyFill="1"/>
    <xf numFmtId="9" fontId="0" fillId="0" borderId="0" xfId="0" applyNumberFormat="1"/>
    <xf numFmtId="0" fontId="0" fillId="2" borderId="8" xfId="0" applyFill="1" applyBorder="1"/>
    <xf numFmtId="0" fontId="0" fillId="0" borderId="11" xfId="0" applyBorder="1"/>
    <xf numFmtId="0" fontId="0" fillId="0" borderId="0" xfId="0" applyFill="1" applyBorder="1"/>
    <xf numFmtId="0" fontId="0" fillId="0" borderId="17" xfId="0" applyBorder="1"/>
    <xf numFmtId="0" fontId="0" fillId="0" borderId="15" xfId="0" applyBorder="1"/>
    <xf numFmtId="0" fontId="0" fillId="0" borderId="10" xfId="0" applyBorder="1"/>
    <xf numFmtId="0" fontId="0" fillId="0" borderId="7" xfId="0" applyBorder="1"/>
    <xf numFmtId="0" fontId="0" fillId="0" borderId="8" xfId="0" applyBorder="1"/>
    <xf numFmtId="0" fontId="0" fillId="2" borderId="0" xfId="0" applyFill="1" applyBorder="1"/>
    <xf numFmtId="0" fontId="3" fillId="0" borderId="1" xfId="0" applyFont="1" applyBorder="1"/>
    <xf numFmtId="0" fontId="3" fillId="0" borderId="2" xfId="0" applyFont="1" applyBorder="1"/>
    <xf numFmtId="0" fontId="5" fillId="0" borderId="1" xfId="0" quotePrefix="1" applyFont="1" applyBorder="1"/>
    <xf numFmtId="0" fontId="3" fillId="0" borderId="1" xfId="0" applyFont="1" applyFill="1" applyBorder="1"/>
    <xf numFmtId="0" fontId="1" fillId="0" borderId="6" xfId="0" applyFont="1" applyBorder="1"/>
    <xf numFmtId="0" fontId="0" fillId="0" borderId="9" xfId="0" applyBorder="1"/>
    <xf numFmtId="0" fontId="0" fillId="0" borderId="12" xfId="0" applyBorder="1"/>
    <xf numFmtId="11" fontId="0" fillId="0" borderId="0" xfId="0" applyNumberFormat="1"/>
    <xf numFmtId="0" fontId="0" fillId="0" borderId="16" xfId="0" applyFill="1" applyBorder="1"/>
    <xf numFmtId="0" fontId="0" fillId="2" borderId="6" xfId="0" applyFill="1" applyBorder="1"/>
    <xf numFmtId="0" fontId="0" fillId="2" borderId="10" xfId="0" applyFill="1" applyBorder="1"/>
    <xf numFmtId="0" fontId="0" fillId="2" borderId="11" xfId="0" applyFill="1" applyBorder="1"/>
    <xf numFmtId="0" fontId="1" fillId="0" borderId="8" xfId="0" applyFont="1" applyBorder="1"/>
    <xf numFmtId="0" fontId="1" fillId="0" borderId="10" xfId="0" applyFont="1" applyBorder="1"/>
    <xf numFmtId="0" fontId="1" fillId="0" borderId="11" xfId="0" applyFont="1" applyBorder="1"/>
    <xf numFmtId="0" fontId="1" fillId="2" borderId="10" xfId="0" applyFont="1" applyFill="1" applyBorder="1"/>
    <xf numFmtId="0" fontId="1" fillId="2" borderId="16" xfId="0" applyFont="1" applyFill="1" applyBorder="1"/>
    <xf numFmtId="167" fontId="1" fillId="2" borderId="11" xfId="0" applyNumberFormat="1" applyFont="1" applyFill="1" applyBorder="1"/>
    <xf numFmtId="167" fontId="1" fillId="2" borderId="15" xfId="0" applyNumberFormat="1" applyFont="1" applyFill="1" applyBorder="1"/>
    <xf numFmtId="165" fontId="1" fillId="2" borderId="11" xfId="0" applyNumberFormat="1" applyFont="1" applyFill="1" applyBorder="1"/>
    <xf numFmtId="11" fontId="1" fillId="2" borderId="15" xfId="0" applyNumberFormat="1" applyFont="1" applyFill="1" applyBorder="1"/>
    <xf numFmtId="11" fontId="1" fillId="2" borderId="11" xfId="0" applyNumberFormat="1" applyFont="1" applyFill="1" applyBorder="1"/>
    <xf numFmtId="0" fontId="0" fillId="0" borderId="10" xfId="0" applyFill="1" applyBorder="1"/>
    <xf numFmtId="0" fontId="0" fillId="0" borderId="18" xfId="0" applyFill="1" applyBorder="1"/>
    <xf numFmtId="0" fontId="0" fillId="0" borderId="19" xfId="0" applyBorder="1"/>
    <xf numFmtId="0" fontId="0" fillId="0" borderId="19" xfId="0" applyFill="1" applyBorder="1"/>
    <xf numFmtId="0" fontId="0" fillId="0" borderId="20" xfId="0" applyBorder="1"/>
    <xf numFmtId="11" fontId="0" fillId="2" borderId="0" xfId="0" applyNumberFormat="1" applyFill="1"/>
    <xf numFmtId="0" fontId="4" fillId="0" borderId="0" xfId="0" applyFont="1" applyFill="1" applyBorder="1"/>
    <xf numFmtId="0" fontId="1" fillId="0" borderId="0" xfId="0" applyFont="1" applyBorder="1"/>
    <xf numFmtId="0" fontId="3" fillId="0" borderId="0" xfId="0" applyFont="1" applyBorder="1" applyAlignment="1">
      <alignment horizontal="center"/>
    </xf>
    <xf numFmtId="0" fontId="3" fillId="0" borderId="0" xfId="0" applyFont="1" applyBorder="1" applyAlignment="1">
      <alignment horizontal="center"/>
    </xf>
    <xf numFmtId="0" fontId="3" fillId="0" borderId="21" xfId="0" applyFont="1" applyBorder="1"/>
    <xf numFmtId="0" fontId="3" fillId="0" borderId="22" xfId="0" applyFont="1" applyBorder="1"/>
    <xf numFmtId="0" fontId="10" fillId="0" borderId="1" xfId="0" applyFont="1" applyBorder="1"/>
    <xf numFmtId="0" fontId="10" fillId="0" borderId="0" xfId="0" applyFont="1" applyFill="1" applyBorder="1"/>
    <xf numFmtId="1" fontId="0" fillId="0" borderId="0" xfId="0" applyNumberFormat="1"/>
    <xf numFmtId="164" fontId="0" fillId="0" borderId="1" xfId="0" applyNumberFormat="1" applyBorder="1"/>
    <xf numFmtId="2" fontId="0" fillId="0" borderId="1" xfId="0" applyNumberFormat="1" applyBorder="1"/>
    <xf numFmtId="0" fontId="0" fillId="3" borderId="23" xfId="0" applyFill="1" applyBorder="1"/>
    <xf numFmtId="164" fontId="0" fillId="3" borderId="23" xfId="0" applyNumberFormat="1" applyFill="1" applyBorder="1"/>
    <xf numFmtId="1" fontId="0" fillId="3" borderId="23" xfId="0" applyNumberFormat="1" applyFill="1" applyBorder="1"/>
    <xf numFmtId="2" fontId="0" fillId="3" borderId="23" xfId="0" applyNumberFormat="1" applyFill="1" applyBorder="1"/>
    <xf numFmtId="0" fontId="0" fillId="0" borderId="7" xfId="0" applyFill="1" applyBorder="1"/>
    <xf numFmtId="0" fontId="0" fillId="0" borderId="17" xfId="0" applyFill="1" applyBorder="1"/>
    <xf numFmtId="0" fontId="0" fillId="3" borderId="0" xfId="0" applyFill="1"/>
    <xf numFmtId="0" fontId="4" fillId="0" borderId="0" xfId="0" applyFont="1" applyBorder="1"/>
    <xf numFmtId="0" fontId="3" fillId="0" borderId="0" xfId="0" applyFont="1" applyBorder="1" applyAlignment="1">
      <alignment horizontal="right"/>
    </xf>
    <xf numFmtId="2" fontId="3" fillId="0" borderId="0" xfId="0" applyNumberFormat="1" applyFont="1" applyBorder="1" applyAlignment="1">
      <alignment horizontal="right"/>
    </xf>
    <xf numFmtId="0" fontId="5" fillId="0" borderId="0" xfId="0" quotePrefix="1" applyFont="1" applyBorder="1"/>
    <xf numFmtId="0" fontId="5" fillId="0" borderId="0" xfId="0" applyFont="1" applyBorder="1" applyAlignment="1">
      <alignment horizontal="center"/>
    </xf>
    <xf numFmtId="0" fontId="5" fillId="0" borderId="0" xfId="0" applyFont="1" applyBorder="1" applyAlignment="1">
      <alignment horizontal="right"/>
    </xf>
    <xf numFmtId="165" fontId="3" fillId="0" borderId="0" xfId="0" applyNumberFormat="1" applyFont="1" applyBorder="1" applyAlignment="1">
      <alignment horizontal="right"/>
    </xf>
    <xf numFmtId="0" fontId="10" fillId="0" borderId="0" xfId="0" applyFont="1"/>
    <xf numFmtId="0" fontId="0" fillId="0" borderId="0" xfId="0" quotePrefix="1"/>
    <xf numFmtId="0" fontId="3" fillId="0" borderId="0" xfId="0" applyFont="1" applyFill="1" applyBorder="1" applyAlignment="1">
      <alignment horizontal="center"/>
    </xf>
    <xf numFmtId="0" fontId="4" fillId="0" borderId="1" xfId="0" applyFont="1" applyFill="1" applyBorder="1" applyAlignment="1">
      <alignment horizontal="center"/>
    </xf>
    <xf numFmtId="165" fontId="4" fillId="0" borderId="1" xfId="0" applyNumberFormat="1" applyFont="1" applyFill="1" applyBorder="1" applyAlignment="1">
      <alignment horizontal="center"/>
    </xf>
    <xf numFmtId="0" fontId="0" fillId="0" borderId="4" xfId="0" applyFill="1" applyBorder="1"/>
    <xf numFmtId="0" fontId="10" fillId="0" borderId="24" xfId="0" applyFont="1" applyBorder="1"/>
    <xf numFmtId="0" fontId="4" fillId="0" borderId="7" xfId="0" applyFont="1" applyBorder="1"/>
    <xf numFmtId="0" fontId="3" fillId="0" borderId="7" xfId="0" applyFont="1" applyBorder="1"/>
    <xf numFmtId="0" fontId="3" fillId="0" borderId="24" xfId="0" applyFont="1" applyBorder="1"/>
    <xf numFmtId="0" fontId="3" fillId="0" borderId="25" xfId="0" applyFont="1" applyBorder="1"/>
    <xf numFmtId="0" fontId="4" fillId="0" borderId="7" xfId="0" applyFont="1" applyBorder="1" applyAlignment="1"/>
    <xf numFmtId="0" fontId="3" fillId="0" borderId="8" xfId="0" applyFont="1" applyBorder="1"/>
    <xf numFmtId="0" fontId="3" fillId="0" borderId="11" xfId="0" applyFont="1" applyBorder="1"/>
    <xf numFmtId="0" fontId="3" fillId="0" borderId="26" xfId="0" applyFont="1" applyBorder="1"/>
    <xf numFmtId="0" fontId="3" fillId="0" borderId="17" xfId="0" applyFont="1" applyBorder="1"/>
    <xf numFmtId="0" fontId="3" fillId="0" borderId="27" xfId="0" applyFont="1" applyBorder="1"/>
    <xf numFmtId="0" fontId="3" fillId="0" borderId="15" xfId="0" applyFont="1" applyBorder="1"/>
    <xf numFmtId="0" fontId="3" fillId="0" borderId="7" xfId="0" applyFont="1" applyFill="1" applyBorder="1"/>
    <xf numFmtId="0" fontId="3" fillId="0" borderId="7" xfId="0" applyFont="1" applyFill="1" applyBorder="1" applyAlignment="1">
      <alignment horizontal="center"/>
    </xf>
    <xf numFmtId="2" fontId="3" fillId="0" borderId="0" xfId="0" applyNumberFormat="1" applyFont="1" applyFill="1" applyBorder="1" applyAlignment="1">
      <alignment horizontal="center"/>
    </xf>
    <xf numFmtId="0" fontId="4" fillId="0" borderId="0" xfId="0" applyFont="1" applyFill="1" applyBorder="1" applyAlignment="1">
      <alignment horizontal="center"/>
    </xf>
    <xf numFmtId="0" fontId="0" fillId="0" borderId="29" xfId="0" applyBorder="1"/>
    <xf numFmtId="0" fontId="3" fillId="0" borderId="30" xfId="0" applyFont="1" applyFill="1" applyBorder="1"/>
    <xf numFmtId="0" fontId="3" fillId="0" borderId="31" xfId="0" applyFont="1" applyFill="1" applyBorder="1"/>
    <xf numFmtId="0" fontId="0" fillId="0" borderId="31" xfId="0" applyFill="1" applyBorder="1"/>
    <xf numFmtId="0" fontId="0" fillId="0" borderId="31" xfId="0" applyFill="1" applyBorder="1" applyAlignment="1">
      <alignment horizontal="center"/>
    </xf>
    <xf numFmtId="0" fontId="3" fillId="0" borderId="31" xfId="0" applyFont="1" applyFill="1" applyBorder="1" applyAlignment="1">
      <alignment horizontal="center"/>
    </xf>
    <xf numFmtId="2" fontId="1" fillId="0" borderId="30" xfId="0" applyNumberFormat="1" applyFont="1" applyFill="1" applyBorder="1" applyAlignment="1">
      <alignment horizontal="center"/>
    </xf>
    <xf numFmtId="0" fontId="0" fillId="0" borderId="31" xfId="0" applyBorder="1"/>
    <xf numFmtId="0" fontId="3" fillId="0" borderId="17" xfId="0" applyFont="1" applyBorder="1" applyAlignment="1">
      <alignment horizontal="right"/>
    </xf>
    <xf numFmtId="0" fontId="3" fillId="0" borderId="35" xfId="0" applyFont="1" applyBorder="1"/>
    <xf numFmtId="2" fontId="4" fillId="0" borderId="1" xfId="0" applyNumberFormat="1" applyFont="1" applyFill="1" applyBorder="1" applyAlignment="1">
      <alignment horizontal="center"/>
    </xf>
    <xf numFmtId="166" fontId="4" fillId="0" borderId="1" xfId="0" applyNumberFormat="1" applyFont="1" applyFill="1" applyBorder="1" applyAlignment="1">
      <alignment horizontal="center"/>
    </xf>
    <xf numFmtId="0" fontId="3" fillId="0" borderId="0" xfId="0" applyFont="1" applyFill="1" applyBorder="1" applyAlignment="1">
      <alignment horizontal="left"/>
    </xf>
    <xf numFmtId="0" fontId="3" fillId="0" borderId="32" xfId="0" applyFont="1" applyFill="1" applyBorder="1"/>
    <xf numFmtId="0" fontId="3" fillId="0" borderId="8" xfId="0" applyFont="1" applyFill="1" applyBorder="1"/>
    <xf numFmtId="0" fontId="4" fillId="0" borderId="11" xfId="0" applyFont="1" applyFill="1" applyBorder="1" applyAlignment="1">
      <alignment horizontal="center"/>
    </xf>
    <xf numFmtId="2" fontId="4" fillId="0" borderId="11" xfId="0" applyNumberFormat="1" applyFont="1" applyFill="1" applyBorder="1" applyAlignment="1">
      <alignment horizontal="center"/>
    </xf>
    <xf numFmtId="0" fontId="0" fillId="0" borderId="0" xfId="0" applyFill="1" applyBorder="1" applyAlignment="1">
      <alignment horizontal="center"/>
    </xf>
    <xf numFmtId="165" fontId="1" fillId="0" borderId="11" xfId="0" applyNumberFormat="1" applyFont="1" applyFill="1" applyBorder="1" applyAlignment="1">
      <alignment horizontal="center"/>
    </xf>
    <xf numFmtId="0" fontId="3" fillId="0" borderId="31" xfId="0" applyFont="1" applyFill="1" applyBorder="1" applyAlignment="1">
      <alignment horizontal="left"/>
    </xf>
    <xf numFmtId="2" fontId="1" fillId="0" borderId="33" xfId="0" applyNumberFormat="1" applyFont="1" applyFill="1" applyBorder="1" applyAlignment="1">
      <alignment horizontal="center"/>
    </xf>
    <xf numFmtId="0" fontId="3" fillId="0" borderId="9" xfId="0" applyFont="1" applyFill="1" applyBorder="1"/>
    <xf numFmtId="0" fontId="10" fillId="0" borderId="7" xfId="0" applyFont="1" applyFill="1" applyBorder="1"/>
    <xf numFmtId="0" fontId="4" fillId="0" borderId="7" xfId="0" applyFont="1" applyFill="1" applyBorder="1"/>
    <xf numFmtId="0" fontId="1" fillId="0" borderId="7" xfId="0" applyFont="1" applyBorder="1"/>
    <xf numFmtId="2" fontId="3" fillId="0" borderId="0" xfId="0" applyNumberFormat="1" applyFont="1" applyBorder="1"/>
    <xf numFmtId="165" fontId="3" fillId="0" borderId="0" xfId="0" applyNumberFormat="1" applyFont="1" applyBorder="1"/>
    <xf numFmtId="0" fontId="3" fillId="0" borderId="31" xfId="0" applyFont="1" applyBorder="1"/>
    <xf numFmtId="0" fontId="4" fillId="0" borderId="31" xfId="0" applyFont="1" applyBorder="1"/>
    <xf numFmtId="2" fontId="4" fillId="0" borderId="31" xfId="0" applyNumberFormat="1" applyFont="1" applyBorder="1"/>
    <xf numFmtId="0" fontId="3" fillId="0" borderId="33" xfId="0" applyFont="1" applyBorder="1"/>
    <xf numFmtId="1" fontId="3" fillId="0" borderId="0" xfId="0" applyNumberFormat="1" applyFont="1" applyBorder="1" applyAlignment="1">
      <alignment horizontal="center"/>
    </xf>
    <xf numFmtId="165" fontId="3" fillId="0" borderId="0" xfId="0" applyNumberFormat="1" applyFont="1" applyBorder="1" applyAlignment="1">
      <alignment horizontal="center"/>
    </xf>
    <xf numFmtId="0" fontId="3" fillId="0" borderId="7" xfId="0" applyFont="1" applyBorder="1" applyAlignment="1">
      <alignment horizontal="right"/>
    </xf>
    <xf numFmtId="0" fontId="0" fillId="0" borderId="0" xfId="0" applyBorder="1" applyAlignment="1">
      <alignment horizontal="center"/>
    </xf>
    <xf numFmtId="0" fontId="0" fillId="0" borderId="0" xfId="0" applyNumberFormat="1" applyBorder="1" applyAlignment="1">
      <alignment horizontal="center"/>
    </xf>
    <xf numFmtId="2" fontId="0" fillId="0" borderId="17" xfId="0" applyNumberFormat="1" applyBorder="1"/>
    <xf numFmtId="168" fontId="3" fillId="0" borderId="0" xfId="0" applyNumberFormat="1" applyFont="1" applyBorder="1"/>
    <xf numFmtId="164" fontId="3" fillId="0" borderId="0" xfId="0" applyNumberFormat="1" applyFont="1" applyBorder="1"/>
    <xf numFmtId="2" fontId="3" fillId="0" borderId="17" xfId="0" applyNumberFormat="1" applyFont="1" applyBorder="1"/>
    <xf numFmtId="166" fontId="0" fillId="0" borderId="0" xfId="0" applyNumberFormat="1" applyBorder="1" applyAlignment="1">
      <alignment horizontal="center"/>
    </xf>
    <xf numFmtId="168" fontId="0" fillId="0" borderId="0" xfId="0" applyNumberFormat="1" applyBorder="1" applyAlignment="1">
      <alignment horizontal="center"/>
    </xf>
    <xf numFmtId="2" fontId="3" fillId="0" borderId="0" xfId="0" applyNumberFormat="1" applyFont="1" applyBorder="1" applyAlignment="1">
      <alignment horizontal="center"/>
    </xf>
    <xf numFmtId="0" fontId="13" fillId="3" borderId="23" xfId="0" applyFont="1" applyFill="1" applyBorder="1" applyAlignment="1">
      <alignment horizontal="left"/>
    </xf>
    <xf numFmtId="0" fontId="13" fillId="3" borderId="21" xfId="0" applyFont="1" applyFill="1" applyBorder="1" applyAlignment="1">
      <alignment horizontal="left"/>
    </xf>
    <xf numFmtId="0" fontId="0" fillId="3" borderId="21" xfId="0" applyFill="1" applyBorder="1"/>
    <xf numFmtId="0" fontId="0" fillId="3" borderId="36" xfId="0" applyFill="1" applyBorder="1"/>
    <xf numFmtId="0" fontId="0" fillId="3" borderId="22" xfId="0" applyFill="1" applyBorder="1"/>
    <xf numFmtId="168" fontId="0" fillId="3" borderId="23" xfId="0" applyNumberFormat="1" applyFill="1" applyBorder="1"/>
    <xf numFmtId="166" fontId="0" fillId="3" borderId="23" xfId="0" applyNumberFormat="1" applyFill="1" applyBorder="1"/>
    <xf numFmtId="166" fontId="0" fillId="3" borderId="36" xfId="0" applyNumberFormat="1" applyFill="1" applyBorder="1"/>
    <xf numFmtId="2" fontId="0" fillId="3" borderId="36" xfId="0" applyNumberFormat="1" applyFill="1" applyBorder="1"/>
    <xf numFmtId="164" fontId="0" fillId="3" borderId="36" xfId="0" applyNumberFormat="1" applyFill="1" applyBorder="1"/>
    <xf numFmtId="0" fontId="10" fillId="0" borderId="37" xfId="0" applyFont="1" applyFill="1" applyBorder="1"/>
    <xf numFmtId="0" fontId="3" fillId="0" borderId="37" xfId="0" applyFont="1" applyBorder="1"/>
    <xf numFmtId="0" fontId="0" fillId="0" borderId="37" xfId="0" applyBorder="1"/>
    <xf numFmtId="0" fontId="0" fillId="3" borderId="38" xfId="0" applyFont="1" applyFill="1" applyBorder="1"/>
    <xf numFmtId="1" fontId="0" fillId="3" borderId="21" xfId="0" applyNumberFormat="1" applyFill="1" applyBorder="1"/>
    <xf numFmtId="1" fontId="0" fillId="3" borderId="36" xfId="0" applyNumberFormat="1" applyFill="1" applyBorder="1"/>
    <xf numFmtId="0" fontId="3" fillId="3" borderId="38" xfId="0" applyFont="1" applyFill="1" applyBorder="1"/>
    <xf numFmtId="0" fontId="0" fillId="3" borderId="38" xfId="0" applyFill="1" applyBorder="1"/>
    <xf numFmtId="164" fontId="0" fillId="3" borderId="38" xfId="0" applyNumberFormat="1" applyFill="1" applyBorder="1"/>
    <xf numFmtId="0" fontId="0" fillId="3" borderId="20" xfId="0" applyFill="1" applyBorder="1"/>
    <xf numFmtId="0" fontId="0" fillId="3" borderId="30" xfId="0" applyFill="1" applyBorder="1"/>
    <xf numFmtId="0" fontId="0" fillId="3" borderId="40" xfId="0" applyFont="1" applyFill="1" applyBorder="1"/>
    <xf numFmtId="0" fontId="0" fillId="3" borderId="14" xfId="0" applyFill="1" applyBorder="1"/>
    <xf numFmtId="0" fontId="0" fillId="3" borderId="40" xfId="0" applyFill="1" applyBorder="1"/>
    <xf numFmtId="0" fontId="0" fillId="0" borderId="39" xfId="0" applyBorder="1"/>
    <xf numFmtId="2" fontId="0" fillId="3" borderId="41" xfId="0" applyNumberFormat="1" applyFill="1" applyBorder="1"/>
    <xf numFmtId="2" fontId="0" fillId="3" borderId="42" xfId="0" applyNumberFormat="1" applyFill="1" applyBorder="1"/>
    <xf numFmtId="1" fontId="0" fillId="3" borderId="44" xfId="0" applyNumberFormat="1" applyFill="1" applyBorder="1"/>
    <xf numFmtId="1" fontId="0" fillId="3" borderId="41" xfId="0" applyNumberFormat="1" applyFill="1" applyBorder="1"/>
    <xf numFmtId="0" fontId="0" fillId="3" borderId="26" xfId="0" applyFill="1" applyBorder="1"/>
    <xf numFmtId="0" fontId="0" fillId="3" borderId="27" xfId="0" applyFill="1" applyBorder="1"/>
    <xf numFmtId="164" fontId="0" fillId="3" borderId="27" xfId="0" applyNumberFormat="1" applyFill="1" applyBorder="1"/>
    <xf numFmtId="164" fontId="0" fillId="3" borderId="41" xfId="0" applyNumberFormat="1" applyFill="1" applyBorder="1"/>
    <xf numFmtId="1" fontId="0" fillId="3" borderId="0" xfId="0" applyNumberFormat="1" applyFill="1"/>
    <xf numFmtId="0" fontId="3" fillId="3" borderId="2" xfId="0" applyFont="1" applyFill="1" applyBorder="1"/>
    <xf numFmtId="0" fontId="3" fillId="3" borderId="47" xfId="0" applyFont="1" applyFill="1" applyBorder="1"/>
    <xf numFmtId="166" fontId="0" fillId="3" borderId="21" xfId="0" applyNumberFormat="1" applyFill="1" applyBorder="1"/>
    <xf numFmtId="168" fontId="0" fillId="3" borderId="21" xfId="0" applyNumberFormat="1" applyFill="1" applyBorder="1"/>
    <xf numFmtId="166" fontId="0" fillId="3" borderId="44" xfId="0" applyNumberFormat="1" applyFill="1" applyBorder="1"/>
    <xf numFmtId="0" fontId="13" fillId="3" borderId="48" xfId="0" applyFont="1" applyFill="1" applyBorder="1" applyAlignment="1">
      <alignment horizontal="left"/>
    </xf>
    <xf numFmtId="0" fontId="0" fillId="3" borderId="49" xfId="0" applyFill="1" applyBorder="1"/>
    <xf numFmtId="0" fontId="3" fillId="3" borderId="49"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164" fontId="3" fillId="3" borderId="49" xfId="0" applyNumberFormat="1" applyFont="1" applyFill="1" applyBorder="1" applyAlignment="1">
      <alignment horizontal="center"/>
    </xf>
    <xf numFmtId="0" fontId="0" fillId="3" borderId="37" xfId="0" applyFill="1" applyBorder="1"/>
    <xf numFmtId="2" fontId="0" fillId="3" borderId="38" xfId="0" applyNumberFormat="1" applyFill="1" applyBorder="1"/>
    <xf numFmtId="2" fontId="0" fillId="3" borderId="43" xfId="0" applyNumberFormat="1" applyFill="1" applyBorder="1"/>
    <xf numFmtId="0" fontId="0" fillId="3" borderId="51" xfId="0" applyFill="1" applyBorder="1"/>
    <xf numFmtId="0" fontId="3" fillId="0" borderId="0" xfId="0" quotePrefix="1" applyFont="1" applyFill="1" applyBorder="1" applyAlignment="1">
      <alignment horizontal="left"/>
    </xf>
    <xf numFmtId="164" fontId="1" fillId="3" borderId="38" xfId="0" applyNumberFormat="1" applyFont="1" applyFill="1" applyBorder="1"/>
    <xf numFmtId="164" fontId="1" fillId="3" borderId="43" xfId="0" applyNumberFormat="1" applyFont="1" applyFill="1" applyBorder="1"/>
    <xf numFmtId="1" fontId="1" fillId="3" borderId="38" xfId="0" applyNumberFormat="1" applyFont="1" applyFill="1" applyBorder="1"/>
    <xf numFmtId="1" fontId="1" fillId="3" borderId="46" xfId="0" applyNumberFormat="1" applyFont="1" applyFill="1" applyBorder="1"/>
    <xf numFmtId="0" fontId="3" fillId="0" borderId="1" xfId="0" quotePrefix="1" applyFont="1" applyFill="1" applyBorder="1" applyAlignment="1">
      <alignment horizontal="left"/>
    </xf>
    <xf numFmtId="0" fontId="14" fillId="0" borderId="17" xfId="0" applyFont="1" applyBorder="1" applyAlignment="1"/>
    <xf numFmtId="0" fontId="0" fillId="0" borderId="24" xfId="0" applyBorder="1"/>
    <xf numFmtId="0" fontId="3" fillId="0" borderId="1" xfId="0" applyFont="1" applyFill="1" applyBorder="1" applyAlignment="1">
      <alignment horizontal="center"/>
    </xf>
    <xf numFmtId="0" fontId="0" fillId="3" borderId="52" xfId="0" applyFont="1" applyFill="1" applyBorder="1"/>
    <xf numFmtId="0" fontId="0" fillId="3" borderId="34" xfId="0" applyFont="1" applyFill="1" applyBorder="1"/>
    <xf numFmtId="164" fontId="1" fillId="3" borderId="34" xfId="0" applyNumberFormat="1" applyFont="1" applyFill="1" applyBorder="1"/>
    <xf numFmtId="164" fontId="1" fillId="3" borderId="53" xfId="0" applyNumberFormat="1" applyFont="1" applyFill="1" applyBorder="1"/>
    <xf numFmtId="0" fontId="2" fillId="3" borderId="1" xfId="0" applyFont="1" applyFill="1" applyBorder="1"/>
    <xf numFmtId="0" fontId="2" fillId="3" borderId="2" xfId="0" applyFont="1" applyFill="1" applyBorder="1"/>
    <xf numFmtId="164" fontId="19" fillId="3" borderId="2" xfId="0" applyNumberFormat="1" applyFont="1" applyFill="1" applyBorder="1"/>
    <xf numFmtId="164" fontId="19" fillId="3" borderId="46" xfId="0" applyNumberFormat="1" applyFont="1" applyFill="1" applyBorder="1"/>
    <xf numFmtId="0" fontId="0" fillId="3" borderId="52" xfId="0" applyFill="1" applyBorder="1"/>
    <xf numFmtId="0" fontId="3" fillId="3" borderId="34" xfId="0" applyFont="1" applyFill="1" applyBorder="1"/>
    <xf numFmtId="0" fontId="0" fillId="3" borderId="34" xfId="0" applyFill="1" applyBorder="1"/>
    <xf numFmtId="1" fontId="1" fillId="3" borderId="34" xfId="0" applyNumberFormat="1" applyFont="1" applyFill="1" applyBorder="1"/>
    <xf numFmtId="0" fontId="19" fillId="3" borderId="2" xfId="0" applyFont="1" applyFill="1" applyBorder="1" applyAlignment="1">
      <alignment horizontal="center"/>
    </xf>
    <xf numFmtId="0" fontId="13" fillId="3" borderId="55" xfId="0" applyFont="1" applyFill="1" applyBorder="1" applyAlignment="1">
      <alignment horizontal="left"/>
    </xf>
    <xf numFmtId="164" fontId="3" fillId="3" borderId="27" xfId="0" applyNumberFormat="1" applyFont="1" applyFill="1" applyBorder="1" applyAlignment="1">
      <alignment horizontal="center"/>
    </xf>
    <xf numFmtId="0" fontId="0" fillId="3" borderId="27" xfId="0" applyFill="1" applyBorder="1" applyAlignment="1">
      <alignment horizontal="center"/>
    </xf>
    <xf numFmtId="0" fontId="0" fillId="3" borderId="45" xfId="0" applyFill="1" applyBorder="1" applyAlignment="1">
      <alignment horizontal="center"/>
    </xf>
    <xf numFmtId="164" fontId="0" fillId="3" borderId="47" xfId="0" applyNumberFormat="1" applyFill="1" applyBorder="1"/>
    <xf numFmtId="0" fontId="0" fillId="3" borderId="56" xfId="0" applyFill="1" applyBorder="1"/>
    <xf numFmtId="164" fontId="0" fillId="3" borderId="34" xfId="0" applyNumberFormat="1" applyFill="1" applyBorder="1"/>
    <xf numFmtId="2" fontId="0" fillId="3" borderId="34" xfId="0" applyNumberFormat="1" applyFill="1" applyBorder="1"/>
    <xf numFmtId="2" fontId="0" fillId="3" borderId="53" xfId="0" applyNumberFormat="1" applyFill="1" applyBorder="1"/>
    <xf numFmtId="164" fontId="19" fillId="3" borderId="47" xfId="0" applyNumberFormat="1" applyFont="1" applyFill="1" applyBorder="1"/>
    <xf numFmtId="0" fontId="19" fillId="3" borderId="47" xfId="0" applyFont="1" applyFill="1" applyBorder="1"/>
    <xf numFmtId="0" fontId="2" fillId="3" borderId="51" xfId="0" applyFont="1" applyFill="1" applyBorder="1"/>
    <xf numFmtId="0" fontId="19" fillId="3" borderId="47" xfId="0" applyFont="1" applyFill="1" applyBorder="1" applyAlignment="1">
      <alignment horizontal="center"/>
    </xf>
    <xf numFmtId="164" fontId="19" fillId="3" borderId="43" xfId="0" applyNumberFormat="1" applyFont="1" applyFill="1" applyBorder="1"/>
    <xf numFmtId="0" fontId="0" fillId="3" borderId="54" xfId="0" applyFill="1" applyBorder="1"/>
    <xf numFmtId="0" fontId="0" fillId="3" borderId="35" xfId="0" applyFill="1" applyBorder="1"/>
    <xf numFmtId="0" fontId="2" fillId="3" borderId="57" xfId="0" applyFont="1" applyFill="1" applyBorder="1"/>
    <xf numFmtId="0" fontId="19" fillId="3" borderId="38" xfId="0" applyFont="1" applyFill="1" applyBorder="1" applyAlignment="1">
      <alignment horizontal="center"/>
    </xf>
    <xf numFmtId="164" fontId="19" fillId="3" borderId="38" xfId="0" applyNumberFormat="1" applyFont="1" applyFill="1" applyBorder="1"/>
    <xf numFmtId="0" fontId="19" fillId="3" borderId="37" xfId="0" applyFont="1" applyFill="1" applyBorder="1"/>
    <xf numFmtId="169" fontId="0" fillId="3" borderId="21" xfId="0" applyNumberFormat="1" applyFill="1" applyBorder="1"/>
    <xf numFmtId="0" fontId="0" fillId="3" borderId="58" xfId="0" applyFill="1" applyBorder="1"/>
    <xf numFmtId="2" fontId="0" fillId="3" borderId="27" xfId="0" applyNumberFormat="1" applyFill="1" applyBorder="1"/>
    <xf numFmtId="1" fontId="0" fillId="0" borderId="19" xfId="0" applyNumberFormat="1" applyFill="1" applyBorder="1"/>
    <xf numFmtId="2" fontId="0" fillId="3" borderId="22" xfId="0" applyNumberFormat="1" applyFill="1" applyBorder="1"/>
    <xf numFmtId="0" fontId="13" fillId="0" borderId="4" xfId="0" applyFont="1" applyFill="1" applyBorder="1" applyAlignment="1">
      <alignment horizontal="left"/>
    </xf>
    <xf numFmtId="0" fontId="0" fillId="0" borderId="0" xfId="0" applyAlignment="1">
      <alignment horizontal="left"/>
    </xf>
    <xf numFmtId="0" fontId="0" fillId="0" borderId="1" xfId="0" applyBorder="1" applyAlignment="1">
      <alignment horizontal="center"/>
    </xf>
    <xf numFmtId="0" fontId="10" fillId="0" borderId="24" xfId="0" applyFont="1" applyFill="1" applyBorder="1"/>
    <xf numFmtId="0" fontId="10" fillId="0" borderId="1" xfId="0" applyFont="1" applyFill="1" applyBorder="1"/>
    <xf numFmtId="0" fontId="4" fillId="0" borderId="1" xfId="0" applyFont="1" applyFill="1" applyBorder="1"/>
    <xf numFmtId="166" fontId="0" fillId="0" borderId="1" xfId="0" applyNumberFormat="1" applyBorder="1"/>
    <xf numFmtId="168" fontId="0" fillId="0" borderId="1" xfId="0" applyNumberFormat="1" applyBorder="1"/>
    <xf numFmtId="164" fontId="0" fillId="0" borderId="30" xfId="0" applyNumberFormat="1" applyBorder="1"/>
    <xf numFmtId="0" fontId="16" fillId="0" borderId="0" xfId="0" applyFont="1" applyAlignment="1">
      <alignment horizontal="left"/>
    </xf>
    <xf numFmtId="1" fontId="19" fillId="3" borderId="2" xfId="0" applyNumberFormat="1" applyFont="1" applyFill="1" applyBorder="1"/>
    <xf numFmtId="1" fontId="19" fillId="3" borderId="46" xfId="0" applyNumberFormat="1" applyFont="1" applyFill="1" applyBorder="1"/>
    <xf numFmtId="1" fontId="19" fillId="3" borderId="43" xfId="0" applyNumberFormat="1" applyFont="1" applyFill="1" applyBorder="1"/>
    <xf numFmtId="0" fontId="16" fillId="0" borderId="0" xfId="0" applyFont="1" applyAlignment="1"/>
    <xf numFmtId="2" fontId="1" fillId="0" borderId="31" xfId="0" applyNumberFormat="1" applyFont="1" applyBorder="1"/>
    <xf numFmtId="0" fontId="3" fillId="0" borderId="0" xfId="0" applyFont="1" applyBorder="1" applyAlignment="1">
      <alignment wrapText="1"/>
    </xf>
    <xf numFmtId="0" fontId="3" fillId="0" borderId="7" xfId="0" applyFont="1" applyBorder="1" applyAlignment="1"/>
    <xf numFmtId="0" fontId="3" fillId="0" borderId="24" xfId="0" applyFont="1" applyBorder="1" applyAlignment="1"/>
    <xf numFmtId="0" fontId="3" fillId="0" borderId="0" xfId="0" applyFont="1" applyFill="1" applyBorder="1" applyAlignment="1"/>
    <xf numFmtId="0" fontId="0" fillId="0" borderId="26" xfId="0" applyBorder="1"/>
    <xf numFmtId="0" fontId="3" fillId="0" borderId="34" xfId="0" applyFont="1" applyBorder="1"/>
    <xf numFmtId="168" fontId="0" fillId="0" borderId="0" xfId="0" applyNumberFormat="1"/>
    <xf numFmtId="0" fontId="0" fillId="0" borderId="7" xfId="0" applyFont="1" applyBorder="1"/>
    <xf numFmtId="0" fontId="0" fillId="0" borderId="35" xfId="0" applyBorder="1"/>
    <xf numFmtId="166" fontId="3" fillId="0" borderId="0" xfId="0" applyNumberFormat="1" applyFont="1" applyBorder="1"/>
    <xf numFmtId="169" fontId="3" fillId="0" borderId="0" xfId="0" applyNumberFormat="1" applyFont="1" applyBorder="1"/>
    <xf numFmtId="164" fontId="0" fillId="3" borderId="42" xfId="0" applyNumberFormat="1" applyFill="1" applyBorder="1"/>
    <xf numFmtId="164" fontId="0" fillId="0" borderId="0" xfId="0" applyNumberFormat="1" applyBorder="1"/>
    <xf numFmtId="2" fontId="1" fillId="0" borderId="0" xfId="0" applyNumberFormat="1" applyFont="1" applyBorder="1"/>
    <xf numFmtId="0" fontId="3" fillId="0" borderId="12" xfId="0" applyFont="1" applyBorder="1"/>
    <xf numFmtId="0" fontId="3" fillId="0" borderId="17" xfId="0" applyFont="1" applyFill="1" applyBorder="1"/>
    <xf numFmtId="164" fontId="0" fillId="0" borderId="17" xfId="0" applyNumberFormat="1" applyBorder="1"/>
    <xf numFmtId="2" fontId="1" fillId="0" borderId="17" xfId="0" applyNumberFormat="1" applyFont="1" applyBorder="1"/>
    <xf numFmtId="2" fontId="0" fillId="0" borderId="0" xfId="0" applyNumberFormat="1" applyFont="1" applyBorder="1"/>
    <xf numFmtId="166" fontId="0" fillId="0" borderId="0" xfId="0" applyNumberFormat="1" applyFont="1" applyBorder="1"/>
    <xf numFmtId="167" fontId="0" fillId="0" borderId="17" xfId="0" applyNumberFormat="1" applyFont="1" applyBorder="1"/>
    <xf numFmtId="0" fontId="0" fillId="0" borderId="0" xfId="0"/>
    <xf numFmtId="0" fontId="0" fillId="4" borderId="0" xfId="0" applyFill="1"/>
    <xf numFmtId="0" fontId="3" fillId="0" borderId="7" xfId="0" applyFont="1" applyFill="1" applyBorder="1" applyAlignment="1">
      <alignment horizontal="center"/>
    </xf>
    <xf numFmtId="0" fontId="0" fillId="0" borderId="0" xfId="0" applyAlignment="1">
      <alignment vertical="top"/>
    </xf>
    <xf numFmtId="0" fontId="25" fillId="0" borderId="0" xfId="0" applyFont="1"/>
    <xf numFmtId="1" fontId="30" fillId="6" borderId="11" xfId="0" applyNumberFormat="1" applyFont="1" applyFill="1" applyBorder="1"/>
    <xf numFmtId="1" fontId="30" fillId="6" borderId="0" xfId="0" applyNumberFormat="1" applyFont="1" applyFill="1" applyBorder="1"/>
    <xf numFmtId="0" fontId="26" fillId="6" borderId="0" xfId="0" applyFont="1" applyFill="1" applyBorder="1"/>
    <xf numFmtId="0" fontId="25" fillId="6" borderId="10" xfId="0" applyFont="1" applyFill="1" applyBorder="1"/>
    <xf numFmtId="1" fontId="25" fillId="6" borderId="11" xfId="0" applyNumberFormat="1" applyFont="1" applyFill="1" applyBorder="1"/>
    <xf numFmtId="1" fontId="25" fillId="6" borderId="0" xfId="0" applyNumberFormat="1" applyFont="1" applyFill="1" applyBorder="1"/>
    <xf numFmtId="0" fontId="25" fillId="6" borderId="0" xfId="0" applyFont="1" applyFill="1" applyBorder="1"/>
    <xf numFmtId="0" fontId="33" fillId="0" borderId="0" xfId="0" applyFont="1" applyFill="1" applyBorder="1" applyAlignment="1">
      <alignment vertical="center"/>
    </xf>
    <xf numFmtId="0" fontId="0" fillId="0" borderId="0" xfId="0" applyAlignment="1">
      <alignment horizontal="center" vertical="top"/>
    </xf>
    <xf numFmtId="0" fontId="3" fillId="0" borderId="0" xfId="0" applyFont="1" applyAlignment="1">
      <alignment vertical="top"/>
    </xf>
    <xf numFmtId="0" fontId="5" fillId="0" borderId="0" xfId="0" applyFont="1" applyAlignment="1">
      <alignment vertical="top"/>
    </xf>
    <xf numFmtId="0" fontId="25" fillId="0" borderId="0" xfId="0" applyFont="1" applyAlignment="1">
      <alignment vertical="center"/>
    </xf>
    <xf numFmtId="0" fontId="43" fillId="0" borderId="0" xfId="0" applyFont="1" applyBorder="1" applyAlignment="1">
      <alignment vertical="center" wrapText="1"/>
    </xf>
    <xf numFmtId="0" fontId="44" fillId="0" borderId="11" xfId="0" applyFont="1" applyBorder="1" applyAlignment="1">
      <alignment horizontal="center" vertical="center"/>
    </xf>
    <xf numFmtId="0" fontId="36" fillId="0" borderId="0" xfId="0" applyFont="1" applyAlignment="1">
      <alignment horizontal="center" vertical="center"/>
    </xf>
    <xf numFmtId="0" fontId="44" fillId="0" borderId="0" xfId="0" applyFont="1" applyAlignment="1">
      <alignment horizontal="center" vertical="center"/>
    </xf>
    <xf numFmtId="0" fontId="25" fillId="0" borderId="0" xfId="0" applyFont="1" applyFill="1" applyBorder="1" applyAlignment="1">
      <alignment vertical="center"/>
    </xf>
    <xf numFmtId="0" fontId="25" fillId="0" borderId="0" xfId="0" applyFont="1" applyAlignment="1">
      <alignment vertical="top"/>
    </xf>
    <xf numFmtId="0" fontId="0" fillId="5" borderId="60" xfId="0" applyFont="1" applyFill="1" applyBorder="1" applyAlignment="1">
      <alignment vertical="top"/>
    </xf>
    <xf numFmtId="0" fontId="0" fillId="5" borderId="61" xfId="0" applyFont="1" applyFill="1" applyBorder="1" applyAlignment="1">
      <alignment vertical="top"/>
    </xf>
    <xf numFmtId="0" fontId="0" fillId="5" borderId="61" xfId="0" applyFont="1" applyFill="1" applyBorder="1" applyAlignment="1">
      <alignment vertical="center"/>
    </xf>
    <xf numFmtId="0" fontId="1" fillId="5" borderId="62" xfId="0" applyFont="1" applyFill="1" applyBorder="1" applyAlignment="1">
      <alignment vertical="center"/>
    </xf>
    <xf numFmtId="0" fontId="25" fillId="0" borderId="15" xfId="0" applyFont="1" applyBorder="1" applyAlignment="1">
      <alignment horizontal="center" vertical="top" wrapText="1"/>
    </xf>
    <xf numFmtId="0" fontId="25" fillId="0" borderId="17" xfId="0" applyFont="1" applyBorder="1" applyAlignment="1">
      <alignment horizontal="center" vertical="top" wrapText="1"/>
    </xf>
    <xf numFmtId="0" fontId="25" fillId="0" borderId="16" xfId="0" applyFont="1" applyBorder="1" applyAlignment="1">
      <alignment horizontal="center" vertical="top" wrapText="1"/>
    </xf>
    <xf numFmtId="0" fontId="25" fillId="0" borderId="0" xfId="0" applyFont="1" applyBorder="1" applyAlignment="1">
      <alignment horizontal="center" vertical="top"/>
    </xf>
    <xf numFmtId="0" fontId="25" fillId="0" borderId="0" xfId="0" applyFont="1" applyBorder="1" applyAlignment="1">
      <alignment vertical="center"/>
    </xf>
    <xf numFmtId="165" fontId="42" fillId="0" borderId="5" xfId="0" quotePrefix="1" applyNumberFormat="1" applyFont="1" applyBorder="1"/>
    <xf numFmtId="165" fontId="47" fillId="0" borderId="1" xfId="0" quotePrefix="1" applyNumberFormat="1" applyFont="1" applyBorder="1"/>
    <xf numFmtId="165" fontId="42" fillId="0" borderId="14" xfId="0" quotePrefix="1" applyNumberFormat="1" applyFont="1" applyBorder="1"/>
    <xf numFmtId="0" fontId="42" fillId="0" borderId="0" xfId="0" applyFont="1"/>
    <xf numFmtId="165" fontId="42" fillId="0" borderId="0" xfId="0" quotePrefix="1" applyNumberFormat="1" applyFont="1"/>
    <xf numFmtId="0" fontId="42" fillId="0" borderId="0" xfId="0" quotePrefix="1" applyFont="1"/>
    <xf numFmtId="0" fontId="0" fillId="0" borderId="0" xfId="0"/>
    <xf numFmtId="0" fontId="0" fillId="0" borderId="0" xfId="0" applyBorder="1"/>
    <xf numFmtId="0" fontId="3" fillId="0" borderId="0" xfId="0" applyFont="1"/>
    <xf numFmtId="0" fontId="0" fillId="0" borderId="0" xfId="0" applyAlignment="1"/>
    <xf numFmtId="0" fontId="48" fillId="0" borderId="0" xfId="0" applyFont="1" applyFill="1" applyBorder="1"/>
    <xf numFmtId="0" fontId="25" fillId="6" borderId="10" xfId="0" applyFont="1" applyFill="1" applyBorder="1" applyAlignment="1">
      <alignment horizontal="center" vertical="center"/>
    </xf>
    <xf numFmtId="0" fontId="25" fillId="6" borderId="0" xfId="0" applyFont="1" applyFill="1" applyBorder="1" applyAlignment="1">
      <alignment horizontal="center" vertical="center"/>
    </xf>
    <xf numFmtId="0" fontId="25" fillId="6" borderId="11" xfId="0" applyFont="1" applyFill="1" applyBorder="1" applyAlignment="1">
      <alignment horizontal="center" vertical="center"/>
    </xf>
    <xf numFmtId="0" fontId="30" fillId="6" borderId="0" xfId="0" applyFont="1" applyFill="1" applyBorder="1" applyAlignment="1">
      <alignment vertical="center"/>
    </xf>
    <xf numFmtId="0" fontId="25" fillId="0" borderId="1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11" xfId="0" applyFont="1" applyFill="1" applyBorder="1" applyAlignment="1">
      <alignment horizontal="center" vertical="center"/>
    </xf>
    <xf numFmtId="0" fontId="49" fillId="6" borderId="0" xfId="0" applyFont="1" applyFill="1" applyBorder="1" applyAlignment="1">
      <alignment vertical="center"/>
    </xf>
    <xf numFmtId="0" fontId="35" fillId="4" borderId="7" xfId="0" applyFont="1" applyFill="1" applyBorder="1" applyAlignment="1">
      <alignment horizontal="center" vertical="center"/>
    </xf>
    <xf numFmtId="0" fontId="35" fillId="4" borderId="8" xfId="0" applyFont="1" applyFill="1" applyBorder="1" applyAlignment="1">
      <alignment horizontal="center" vertical="center"/>
    </xf>
    <xf numFmtId="0" fontId="25" fillId="4" borderId="6" xfId="0" applyFont="1" applyFill="1" applyBorder="1" applyAlignment="1">
      <alignment vertical="center"/>
    </xf>
    <xf numFmtId="0" fontId="29" fillId="4" borderId="7" xfId="0" applyFont="1" applyFill="1" applyBorder="1" applyAlignment="1">
      <alignment horizontal="center" vertical="center"/>
    </xf>
    <xf numFmtId="0" fontId="36" fillId="4" borderId="6" xfId="0" applyFont="1" applyFill="1" applyBorder="1" applyAlignment="1">
      <alignment vertical="center" wrapText="1"/>
    </xf>
    <xf numFmtId="0" fontId="3" fillId="0" borderId="0" xfId="0" applyFont="1" applyBorder="1" applyAlignment="1">
      <alignment vertical="top"/>
    </xf>
    <xf numFmtId="0" fontId="3" fillId="0" borderId="0" xfId="0" applyFont="1" applyBorder="1" applyAlignment="1">
      <alignment horizontal="center" vertical="top"/>
    </xf>
    <xf numFmtId="0" fontId="3" fillId="0" borderId="0" xfId="0" applyFont="1" applyBorder="1" applyAlignment="1">
      <alignment vertical="top" wrapText="1"/>
    </xf>
    <xf numFmtId="0" fontId="3" fillId="0" borderId="0" xfId="0" applyFont="1" applyFill="1" applyBorder="1" applyAlignment="1">
      <alignment horizontal="center" vertical="top"/>
    </xf>
    <xf numFmtId="0" fontId="36" fillId="0" borderId="0" xfId="0" applyFont="1" applyBorder="1" applyAlignment="1">
      <alignment horizontal="center" vertical="center"/>
    </xf>
    <xf numFmtId="0" fontId="25" fillId="9" borderId="0" xfId="0" applyFont="1" applyFill="1" applyBorder="1" applyAlignment="1">
      <alignment horizontal="center" vertical="top"/>
    </xf>
    <xf numFmtId="0" fontId="25" fillId="9" borderId="11" xfId="0" applyFont="1" applyFill="1" applyBorder="1" applyAlignment="1">
      <alignment horizontal="center" vertical="top"/>
    </xf>
    <xf numFmtId="0" fontId="25" fillId="9" borderId="0" xfId="0" applyFont="1" applyFill="1" applyBorder="1" applyAlignment="1">
      <alignment horizontal="left" vertical="top" wrapText="1"/>
    </xf>
    <xf numFmtId="0" fontId="25" fillId="9" borderId="10" xfId="0" applyFont="1" applyFill="1" applyBorder="1" applyAlignment="1">
      <alignment horizontal="center" vertical="top" wrapText="1"/>
    </xf>
    <xf numFmtId="0" fontId="25" fillId="9" borderId="0" xfId="0" applyFont="1" applyFill="1" applyBorder="1" applyAlignment="1">
      <alignment horizontal="center" vertical="top" wrapText="1"/>
    </xf>
    <xf numFmtId="0" fontId="25" fillId="9" borderId="11" xfId="0" applyFont="1" applyFill="1" applyBorder="1" applyAlignment="1">
      <alignment horizontal="center" vertical="top" wrapText="1"/>
    </xf>
    <xf numFmtId="0" fontId="28" fillId="9" borderId="0" xfId="0" applyFont="1" applyFill="1" applyBorder="1" applyAlignment="1">
      <alignment horizontal="center" vertical="top" wrapText="1"/>
    </xf>
    <xf numFmtId="0" fontId="36" fillId="0" borderId="0" xfId="0" applyFont="1" applyBorder="1" applyAlignment="1">
      <alignment horizontal="center" vertical="center"/>
    </xf>
    <xf numFmtId="0" fontId="25" fillId="0" borderId="10" xfId="0" applyFont="1" applyBorder="1" applyAlignment="1">
      <alignment horizontal="center" vertical="top" wrapText="1"/>
    </xf>
    <xf numFmtId="0" fontId="44" fillId="0" borderId="0" xfId="0" applyFont="1" applyBorder="1" applyAlignment="1">
      <alignment horizontal="center" vertical="center"/>
    </xf>
    <xf numFmtId="0" fontId="26" fillId="8" borderId="0" xfId="0" applyFont="1" applyFill="1"/>
    <xf numFmtId="0" fontId="26" fillId="8" borderId="0" xfId="0" applyFont="1" applyFill="1" applyAlignment="1">
      <alignment horizontal="center"/>
    </xf>
    <xf numFmtId="0" fontId="36" fillId="9" borderId="0" xfId="0" applyFont="1" applyFill="1" applyBorder="1" applyAlignment="1">
      <alignment horizontal="center" vertical="center"/>
    </xf>
    <xf numFmtId="0" fontId="4" fillId="0" borderId="0" xfId="0" applyFont="1" applyFill="1" applyBorder="1" applyAlignment="1">
      <alignment vertical="top"/>
    </xf>
    <xf numFmtId="0" fontId="4" fillId="4" borderId="0" xfId="0" applyFont="1" applyFill="1" applyBorder="1" applyAlignment="1">
      <alignment vertical="top" wrapText="1"/>
    </xf>
    <xf numFmtId="0" fontId="36" fillId="4" borderId="10" xfId="0" applyFont="1" applyFill="1" applyBorder="1" applyAlignment="1">
      <alignment vertical="center"/>
    </xf>
    <xf numFmtId="0" fontId="35" fillId="4" borderId="10" xfId="0" applyFont="1" applyFill="1" applyBorder="1" applyAlignment="1">
      <alignment vertical="center" wrapText="1"/>
    </xf>
    <xf numFmtId="0" fontId="3" fillId="0" borderId="0" xfId="0" applyFont="1" applyFill="1" applyBorder="1" applyAlignment="1">
      <alignment vertical="top" wrapText="1"/>
    </xf>
    <xf numFmtId="0" fontId="4" fillId="0" borderId="0" xfId="0" applyFont="1" applyBorder="1" applyAlignment="1">
      <alignment vertical="top"/>
    </xf>
    <xf numFmtId="0" fontId="3" fillId="0" borderId="0" xfId="0" applyFont="1" applyFill="1" applyBorder="1" applyAlignment="1">
      <alignment vertical="top"/>
    </xf>
    <xf numFmtId="0" fontId="3" fillId="4" borderId="0" xfId="0" applyFont="1" applyFill="1" applyBorder="1" applyAlignment="1">
      <alignment vertical="top"/>
    </xf>
    <xf numFmtId="0" fontId="3" fillId="4" borderId="0" xfId="0" applyFont="1" applyFill="1" applyBorder="1" applyAlignment="1">
      <alignment horizontal="center" vertical="top"/>
    </xf>
    <xf numFmtId="0" fontId="3" fillId="0" borderId="0" xfId="0" applyNumberFormat="1" applyFont="1" applyBorder="1" applyAlignment="1">
      <alignment horizontal="center" vertical="top"/>
    </xf>
    <xf numFmtId="0" fontId="8" fillId="0" borderId="0" xfId="0" applyNumberFormat="1" applyFont="1" applyBorder="1" applyAlignment="1">
      <alignment horizontal="center" vertical="top"/>
    </xf>
    <xf numFmtId="0" fontId="3" fillId="0" borderId="0" xfId="0" applyNumberFormat="1" applyFont="1" applyBorder="1" applyAlignment="1">
      <alignment horizontal="center" vertical="top" wrapText="1"/>
    </xf>
    <xf numFmtId="0" fontId="3" fillId="4" borderId="0" xfId="0" applyNumberFormat="1" applyFont="1" applyFill="1" applyBorder="1" applyAlignment="1">
      <alignment vertical="top"/>
    </xf>
    <xf numFmtId="0" fontId="3" fillId="4" borderId="0" xfId="0" applyNumberFormat="1" applyFont="1" applyFill="1" applyBorder="1" applyAlignment="1">
      <alignment horizontal="center" vertical="top"/>
    </xf>
    <xf numFmtId="0" fontId="3" fillId="0" borderId="0" xfId="0" quotePrefix="1" applyNumberFormat="1" applyFont="1" applyBorder="1" applyAlignment="1">
      <alignment horizontal="center" vertical="top"/>
    </xf>
    <xf numFmtId="0" fontId="43" fillId="0" borderId="0" xfId="0" applyFont="1" applyFill="1" applyBorder="1" applyAlignment="1">
      <alignment vertical="top" wrapText="1"/>
    </xf>
    <xf numFmtId="0" fontId="43" fillId="0" borderId="0" xfId="0" applyFont="1" applyBorder="1" applyAlignment="1">
      <alignment vertical="top" wrapText="1"/>
    </xf>
    <xf numFmtId="0" fontId="3" fillId="0" borderId="0" xfId="0" applyNumberFormat="1" applyFont="1" applyBorder="1" applyAlignment="1">
      <alignment horizontal="left" vertical="top" wrapText="1"/>
    </xf>
    <xf numFmtId="0" fontId="8" fillId="0" borderId="0" xfId="0" applyFont="1" applyFill="1" applyBorder="1" applyAlignment="1">
      <alignment horizontal="center" vertical="top"/>
    </xf>
    <xf numFmtId="0" fontId="8" fillId="0" borderId="0" xfId="0" applyFont="1" applyBorder="1" applyAlignment="1">
      <alignment vertical="top"/>
    </xf>
    <xf numFmtId="0" fontId="25" fillId="4" borderId="7" xfId="0" applyFont="1" applyFill="1" applyBorder="1"/>
    <xf numFmtId="0" fontId="0" fillId="4" borderId="7" xfId="0" applyFill="1" applyBorder="1" applyAlignment="1">
      <alignment vertical="center"/>
    </xf>
    <xf numFmtId="0" fontId="0" fillId="4" borderId="8" xfId="0" applyFill="1" applyBorder="1" applyAlignment="1">
      <alignment vertical="center"/>
    </xf>
    <xf numFmtId="0" fontId="4" fillId="4" borderId="63" xfId="0" applyFont="1" applyFill="1" applyBorder="1" applyAlignment="1">
      <alignment vertical="top" wrapText="1"/>
    </xf>
    <xf numFmtId="0" fontId="25" fillId="4" borderId="10" xfId="0" applyFont="1" applyFill="1" applyBorder="1"/>
    <xf numFmtId="2" fontId="3" fillId="9" borderId="23" xfId="0" applyNumberFormat="1" applyFont="1" applyFill="1" applyBorder="1" applyAlignment="1">
      <alignment horizontal="center"/>
    </xf>
    <xf numFmtId="165" fontId="3" fillId="9" borderId="23" xfId="0" applyNumberFormat="1" applyFont="1" applyFill="1" applyBorder="1" applyAlignment="1">
      <alignment horizontal="center"/>
    </xf>
    <xf numFmtId="0" fontId="3" fillId="9" borderId="23" xfId="0" applyFont="1" applyFill="1" applyBorder="1" applyAlignment="1">
      <alignment horizontal="center"/>
    </xf>
    <xf numFmtId="0" fontId="0" fillId="9" borderId="23" xfId="0" applyFill="1" applyBorder="1" applyAlignment="1">
      <alignment horizontal="center"/>
    </xf>
    <xf numFmtId="0" fontId="3" fillId="9" borderId="23" xfId="0" applyFont="1" applyFill="1" applyBorder="1"/>
    <xf numFmtId="2" fontId="3" fillId="9" borderId="23" xfId="0" applyNumberFormat="1" applyFont="1" applyFill="1" applyBorder="1" applyAlignment="1">
      <alignment horizontal="right"/>
    </xf>
    <xf numFmtId="165" fontId="3" fillId="9" borderId="23" xfId="0" applyNumberFormat="1" applyFont="1" applyFill="1" applyBorder="1" applyAlignment="1">
      <alignment horizontal="right"/>
    </xf>
    <xf numFmtId="0" fontId="3" fillId="9" borderId="23" xfId="0" applyFont="1" applyFill="1" applyBorder="1" applyAlignment="1">
      <alignment horizontal="right"/>
    </xf>
    <xf numFmtId="164" fontId="3" fillId="9" borderId="23" xfId="0" applyNumberFormat="1" applyFont="1" applyFill="1" applyBorder="1" applyAlignment="1">
      <alignment horizontal="right"/>
    </xf>
    <xf numFmtId="0" fontId="0" fillId="9" borderId="23" xfId="0" applyFill="1" applyBorder="1"/>
    <xf numFmtId="0" fontId="0" fillId="9" borderId="18" xfId="0" quotePrefix="1" applyFill="1" applyBorder="1" applyAlignment="1">
      <alignment horizontal="left"/>
    </xf>
    <xf numFmtId="0" fontId="0" fillId="9" borderId="19" xfId="0" quotePrefix="1" applyFill="1" applyBorder="1" applyAlignment="1">
      <alignment horizontal="left"/>
    </xf>
    <xf numFmtId="0" fontId="0" fillId="9" borderId="20" xfId="0" quotePrefix="1" applyFill="1" applyBorder="1" applyAlignment="1">
      <alignment horizontal="left"/>
    </xf>
    <xf numFmtId="164" fontId="3" fillId="9" borderId="0" xfId="0" applyNumberFormat="1" applyFont="1" applyFill="1" applyBorder="1" applyAlignment="1">
      <alignment horizontal="right"/>
    </xf>
    <xf numFmtId="1" fontId="3" fillId="9" borderId="23" xfId="0" applyNumberFormat="1" applyFont="1" applyFill="1" applyBorder="1" applyAlignment="1">
      <alignment horizontal="right"/>
    </xf>
    <xf numFmtId="2" fontId="3" fillId="9" borderId="0" xfId="0" applyNumberFormat="1" applyFont="1" applyFill="1" applyBorder="1" applyAlignment="1">
      <alignment horizontal="right"/>
    </xf>
    <xf numFmtId="0" fontId="54" fillId="3" borderId="0" xfId="0" applyFont="1" applyFill="1"/>
    <xf numFmtId="0" fontId="55" fillId="3" borderId="0" xfId="0" applyFont="1" applyFill="1"/>
    <xf numFmtId="0" fontId="54" fillId="3" borderId="0" xfId="0" applyFont="1" applyFill="1" applyBorder="1"/>
    <xf numFmtId="0" fontId="55" fillId="0" borderId="0" xfId="0" applyFont="1" applyFill="1" applyBorder="1"/>
    <xf numFmtId="0" fontId="55" fillId="0" borderId="0" xfId="0" applyFont="1"/>
    <xf numFmtId="0" fontId="55" fillId="0" borderId="0" xfId="0" applyFont="1" applyBorder="1"/>
    <xf numFmtId="0" fontId="56" fillId="3" borderId="0" xfId="0" applyFont="1" applyFill="1" applyBorder="1"/>
    <xf numFmtId="0" fontId="55" fillId="0" borderId="0" xfId="0" quotePrefix="1" applyFont="1"/>
    <xf numFmtId="0" fontId="55" fillId="3" borderId="0" xfId="0" applyFont="1" applyFill="1" applyBorder="1"/>
    <xf numFmtId="0" fontId="25" fillId="0" borderId="0" xfId="0" applyFont="1" applyFill="1" applyBorder="1" applyAlignment="1">
      <alignment vertical="top" wrapText="1"/>
    </xf>
    <xf numFmtId="0" fontId="25" fillId="8" borderId="0" xfId="0" applyFont="1" applyFill="1" applyBorder="1" applyAlignment="1">
      <alignment horizontal="center" vertical="top"/>
    </xf>
    <xf numFmtId="0" fontId="3" fillId="0" borderId="0" xfId="0" applyFont="1" applyFill="1" applyBorder="1" applyAlignment="1">
      <alignment horizontal="left" vertical="top"/>
    </xf>
    <xf numFmtId="2" fontId="3" fillId="4" borderId="0" xfId="0" applyNumberFormat="1" applyFont="1" applyFill="1" applyBorder="1"/>
    <xf numFmtId="0" fontId="8" fillId="0" borderId="0" xfId="0" applyNumberFormat="1" applyFont="1" applyFill="1" applyBorder="1" applyAlignment="1">
      <alignment horizontal="center" vertical="top"/>
    </xf>
    <xf numFmtId="0" fontId="38" fillId="0" borderId="0" xfId="0" applyFont="1" applyFill="1" applyBorder="1" applyAlignment="1">
      <alignment vertical="top" wrapText="1"/>
    </xf>
    <xf numFmtId="0" fontId="38" fillId="0" borderId="0" xfId="0" applyFont="1" applyBorder="1" applyAlignment="1">
      <alignment vertical="top" wrapText="1"/>
    </xf>
    <xf numFmtId="0" fontId="1" fillId="9" borderId="0" xfId="0" applyFont="1" applyFill="1" applyBorder="1" applyAlignment="1">
      <alignment vertical="top"/>
    </xf>
    <xf numFmtId="0" fontId="0" fillId="9" borderId="0" xfId="0" applyFill="1"/>
    <xf numFmtId="1" fontId="3" fillId="0" borderId="0" xfId="0" quotePrefix="1" applyNumberFormat="1" applyFont="1" applyFill="1" applyBorder="1"/>
    <xf numFmtId="1" fontId="3" fillId="0" borderId="17" xfId="0" quotePrefix="1" applyNumberFormat="1" applyFont="1" applyFill="1" applyBorder="1"/>
    <xf numFmtId="1" fontId="3" fillId="0" borderId="17" xfId="0" quotePrefix="1" applyNumberFormat="1" applyFont="1" applyBorder="1"/>
    <xf numFmtId="2" fontId="30" fillId="6" borderId="11" xfId="0" applyNumberFormat="1" applyFont="1" applyFill="1" applyBorder="1"/>
    <xf numFmtId="2" fontId="30" fillId="6" borderId="0" xfId="0" applyNumberFormat="1" applyFont="1" applyFill="1" applyBorder="1"/>
    <xf numFmtId="164" fontId="3" fillId="0" borderId="0" xfId="0" applyNumberFormat="1" applyFont="1" applyFill="1" applyBorder="1" applyAlignment="1">
      <alignment horizontal="center" vertical="top"/>
    </xf>
    <xf numFmtId="0" fontId="4" fillId="4" borderId="6" xfId="0" applyFont="1" applyFill="1" applyBorder="1" applyAlignment="1">
      <alignment vertical="top"/>
    </xf>
    <xf numFmtId="0" fontId="57" fillId="0" borderId="16" xfId="0" applyFont="1" applyBorder="1" applyAlignment="1">
      <alignment horizontal="center" vertical="center"/>
    </xf>
    <xf numFmtId="0" fontId="57" fillId="0" borderId="17" xfId="0" applyFont="1" applyBorder="1" applyAlignment="1">
      <alignment horizontal="center" vertical="center"/>
    </xf>
    <xf numFmtId="0" fontId="57" fillId="0" borderId="15" xfId="0" applyFont="1" applyBorder="1" applyAlignment="1">
      <alignment horizontal="center" vertical="center"/>
    </xf>
    <xf numFmtId="2" fontId="25" fillId="0" borderId="0" xfId="0" applyNumberFormat="1" applyFont="1" applyFill="1" applyBorder="1" applyAlignment="1">
      <alignment horizontal="center" vertical="center"/>
    </xf>
    <xf numFmtId="1" fontId="25" fillId="0" borderId="0" xfId="0" applyNumberFormat="1" applyFont="1" applyFill="1" applyBorder="1" applyAlignment="1">
      <alignment horizontal="center" vertical="center"/>
    </xf>
    <xf numFmtId="0" fontId="25" fillId="0" borderId="0" xfId="0" applyFont="1" applyAlignment="1">
      <alignment horizontal="center" vertical="center"/>
    </xf>
    <xf numFmtId="1" fontId="0" fillId="3" borderId="18" xfId="0" applyNumberFormat="1" applyFill="1" applyBorder="1"/>
    <xf numFmtId="164" fontId="0" fillId="3" borderId="18" xfId="0" applyNumberFormat="1" applyFill="1" applyBorder="1"/>
    <xf numFmtId="0" fontId="0" fillId="3" borderId="64" xfId="0" applyFill="1" applyBorder="1"/>
    <xf numFmtId="1" fontId="0" fillId="3" borderId="34" xfId="0" applyNumberFormat="1" applyFill="1" applyBorder="1"/>
    <xf numFmtId="1" fontId="0" fillId="3" borderId="65" xfId="0" applyNumberFormat="1" applyFill="1" applyBorder="1"/>
    <xf numFmtId="0" fontId="0" fillId="3" borderId="1" xfId="0" applyFill="1" applyBorder="1"/>
    <xf numFmtId="0" fontId="0" fillId="3" borderId="2" xfId="0" applyFill="1" applyBorder="1"/>
    <xf numFmtId="1" fontId="0" fillId="3" borderId="2" xfId="0" applyNumberFormat="1" applyFill="1" applyBorder="1"/>
    <xf numFmtId="1" fontId="0" fillId="3" borderId="9" xfId="0" applyNumberFormat="1" applyFill="1" applyBorder="1"/>
    <xf numFmtId="1" fontId="0" fillId="3" borderId="22" xfId="0" applyNumberFormat="1" applyFill="1" applyBorder="1"/>
    <xf numFmtId="1" fontId="1" fillId="3" borderId="65" xfId="0" applyNumberFormat="1" applyFont="1" applyFill="1" applyBorder="1"/>
    <xf numFmtId="164" fontId="0" fillId="3" borderId="2" xfId="0" applyNumberFormat="1" applyFill="1" applyBorder="1"/>
    <xf numFmtId="2" fontId="0" fillId="3" borderId="2" xfId="0" applyNumberFormat="1" applyFill="1" applyBorder="1"/>
    <xf numFmtId="1" fontId="0" fillId="3" borderId="66" xfId="0" applyNumberFormat="1" applyFill="1" applyBorder="1"/>
    <xf numFmtId="0" fontId="3" fillId="0" borderId="0" xfId="0" applyFont="1" applyFill="1" applyBorder="1" applyAlignment="1">
      <alignment horizontal="left" vertical="top" wrapText="1"/>
    </xf>
    <xf numFmtId="0" fontId="25" fillId="8" borderId="0" xfId="0" applyFont="1" applyFill="1" applyBorder="1" applyAlignment="1">
      <alignment horizontal="center" vertical="top" wrapText="1"/>
    </xf>
    <xf numFmtId="0" fontId="10" fillId="0" borderId="0" xfId="0" applyFont="1" applyFill="1" applyBorder="1" applyAlignment="1">
      <alignment vertical="top" wrapText="1"/>
    </xf>
    <xf numFmtId="0" fontId="5" fillId="0" borderId="0" xfId="0" applyFont="1" applyFill="1" applyBorder="1"/>
    <xf numFmtId="0" fontId="53" fillId="4" borderId="0" xfId="0" applyFont="1" applyFill="1" applyBorder="1" applyAlignment="1">
      <alignment vertical="top"/>
    </xf>
    <xf numFmtId="0" fontId="8" fillId="4" borderId="0" xfId="0" applyFont="1" applyFill="1" applyBorder="1" applyAlignment="1">
      <alignment horizontal="center" vertical="top"/>
    </xf>
    <xf numFmtId="0" fontId="3" fillId="0" borderId="0" xfId="0" applyFont="1" applyFill="1"/>
    <xf numFmtId="0" fontId="5" fillId="0" borderId="0" xfId="0" applyFont="1" applyFill="1"/>
    <xf numFmtId="0" fontId="30" fillId="0" borderId="0" xfId="0" applyFont="1"/>
    <xf numFmtId="1" fontId="0" fillId="0" borderId="39" xfId="0" applyNumberFormat="1" applyBorder="1"/>
    <xf numFmtId="165" fontId="0" fillId="0" borderId="39" xfId="0" applyNumberFormat="1" applyBorder="1"/>
    <xf numFmtId="0" fontId="59" fillId="0" borderId="0" xfId="0" applyFont="1" applyFill="1"/>
    <xf numFmtId="0" fontId="13" fillId="12" borderId="0" xfId="0" applyFont="1" applyFill="1" applyBorder="1" applyAlignment="1">
      <alignment vertical="top"/>
    </xf>
    <xf numFmtId="0" fontId="30" fillId="12" borderId="0" xfId="0" applyFont="1" applyFill="1" applyBorder="1" applyAlignment="1">
      <alignment vertical="top" wrapText="1"/>
    </xf>
    <xf numFmtId="0" fontId="25" fillId="12" borderId="0" xfId="0" applyFont="1" applyFill="1" applyBorder="1" applyAlignment="1">
      <alignment vertical="top" wrapText="1"/>
    </xf>
    <xf numFmtId="0" fontId="25" fillId="12" borderId="0" xfId="0" applyFont="1" applyFill="1" applyAlignment="1">
      <alignment vertical="top"/>
    </xf>
    <xf numFmtId="0" fontId="25" fillId="0" borderId="0" xfId="0" applyFont="1" applyAlignment="1">
      <alignment horizontal="center" vertical="top"/>
    </xf>
    <xf numFmtId="0" fontId="30" fillId="0" borderId="0" xfId="0" applyFont="1" applyBorder="1" applyAlignment="1">
      <alignment horizontal="center" vertical="top"/>
    </xf>
    <xf numFmtId="0" fontId="25" fillId="12" borderId="0" xfId="0" applyFont="1" applyFill="1" applyAlignment="1">
      <alignment vertical="top" wrapText="1"/>
    </xf>
    <xf numFmtId="0" fontId="3" fillId="12" borderId="0" xfId="0" applyFont="1" applyFill="1" applyBorder="1" applyAlignment="1">
      <alignment horizontal="left" vertical="top"/>
    </xf>
    <xf numFmtId="0" fontId="25" fillId="12" borderId="0" xfId="0" applyFont="1" applyFill="1" applyBorder="1" applyAlignment="1">
      <alignment horizontal="center" vertical="top"/>
    </xf>
    <xf numFmtId="2" fontId="25" fillId="0" borderId="0" xfId="0" applyNumberFormat="1" applyFont="1" applyAlignment="1">
      <alignment horizontal="center" vertical="top"/>
    </xf>
    <xf numFmtId="165" fontId="25" fillId="0" borderId="0" xfId="0" applyNumberFormat="1" applyFont="1" applyAlignment="1">
      <alignment horizontal="center" vertical="top"/>
    </xf>
    <xf numFmtId="164" fontId="25" fillId="0" borderId="0" xfId="0" applyNumberFormat="1" applyFont="1" applyAlignment="1">
      <alignment horizontal="center" vertical="top"/>
    </xf>
    <xf numFmtId="1" fontId="25" fillId="0" borderId="0" xfId="0" applyNumberFormat="1" applyFont="1" applyAlignment="1">
      <alignment horizontal="center" vertical="top"/>
    </xf>
    <xf numFmtId="1" fontId="25" fillId="12" borderId="0" xfId="0" applyNumberFormat="1" applyFont="1" applyFill="1" applyAlignment="1">
      <alignment horizontal="center" vertical="top"/>
    </xf>
    <xf numFmtId="0" fontId="25" fillId="10" borderId="0" xfId="0" applyFont="1" applyFill="1" applyAlignment="1">
      <alignment horizontal="center" vertical="top" wrapText="1"/>
    </xf>
    <xf numFmtId="0" fontId="28" fillId="0" borderId="0" xfId="0" applyFont="1" applyAlignment="1">
      <alignment horizontal="center" vertical="top"/>
    </xf>
    <xf numFmtId="0" fontId="25" fillId="0" borderId="0" xfId="0" applyFont="1" applyFill="1" applyBorder="1" applyAlignment="1">
      <alignment vertical="center" wrapText="1"/>
    </xf>
    <xf numFmtId="1" fontId="0" fillId="9" borderId="23" xfId="0" applyNumberFormat="1" applyFill="1" applyBorder="1" applyAlignment="1">
      <alignment horizontal="center"/>
    </xf>
    <xf numFmtId="2" fontId="28" fillId="0" borderId="0" xfId="0" applyNumberFormat="1" applyFont="1" applyAlignment="1">
      <alignment horizontal="center" vertical="top"/>
    </xf>
    <xf numFmtId="0" fontId="25" fillId="0" borderId="0" xfId="0" applyNumberFormat="1" applyFont="1" applyAlignment="1">
      <alignment horizontal="center" vertical="top"/>
    </xf>
    <xf numFmtId="0" fontId="28" fillId="0" borderId="0" xfId="0" applyNumberFormat="1" applyFont="1" applyAlignment="1">
      <alignment horizontal="center" vertical="top"/>
    </xf>
    <xf numFmtId="0" fontId="58" fillId="4" borderId="0" xfId="0" applyFont="1" applyFill="1" applyBorder="1" applyAlignment="1">
      <alignment vertical="center"/>
    </xf>
    <xf numFmtId="0" fontId="25" fillId="4" borderId="0" xfId="0" applyFont="1" applyFill="1" applyBorder="1" applyAlignment="1">
      <alignment horizontal="center" vertical="center"/>
    </xf>
    <xf numFmtId="0" fontId="30" fillId="4" borderId="0" xfId="0" applyFont="1" applyFill="1" applyBorder="1" applyAlignment="1">
      <alignment vertical="center"/>
    </xf>
    <xf numFmtId="0" fontId="25" fillId="0" borderId="0" xfId="0" applyNumberFormat="1" applyFont="1" applyAlignment="1">
      <alignment horizontal="left" vertical="top"/>
    </xf>
    <xf numFmtId="0" fontId="13" fillId="12" borderId="0" xfId="0" applyFont="1" applyFill="1" applyBorder="1" applyAlignment="1">
      <alignment vertical="top" wrapText="1"/>
    </xf>
    <xf numFmtId="0" fontId="19" fillId="0" borderId="0" xfId="0" applyFont="1" applyAlignment="1">
      <alignment wrapText="1"/>
    </xf>
    <xf numFmtId="0" fontId="57" fillId="0" borderId="0" xfId="0" applyFont="1" applyFill="1" applyBorder="1" applyAlignment="1">
      <alignment horizontal="center" vertical="center"/>
    </xf>
    <xf numFmtId="164" fontId="25" fillId="12" borderId="0" xfId="0" applyNumberFormat="1" applyFont="1" applyFill="1" applyAlignment="1">
      <alignment horizontal="center" vertical="top"/>
    </xf>
    <xf numFmtId="0" fontId="0" fillId="11" borderId="0" xfId="0" applyFill="1"/>
    <xf numFmtId="2" fontId="52" fillId="11" borderId="0" xfId="0" applyNumberFormat="1" applyFont="1" applyFill="1"/>
    <xf numFmtId="0" fontId="52" fillId="11" borderId="0" xfId="0" applyFont="1" applyFill="1"/>
    <xf numFmtId="164" fontId="52" fillId="11" borderId="0" xfId="0" applyNumberFormat="1" applyFont="1" applyFill="1" applyAlignment="1">
      <alignment horizontal="right"/>
    </xf>
    <xf numFmtId="0" fontId="19" fillId="11" borderId="0" xfId="0" applyFont="1" applyFill="1"/>
    <xf numFmtId="1" fontId="52" fillId="11" borderId="0" xfId="0" quotePrefix="1" applyNumberFormat="1" applyFont="1" applyFill="1"/>
    <xf numFmtId="1" fontId="52" fillId="11" borderId="0" xfId="0" applyNumberFormat="1" applyFont="1" applyFill="1"/>
    <xf numFmtId="1" fontId="3" fillId="0" borderId="0" xfId="0" applyNumberFormat="1" applyFont="1" applyBorder="1" applyAlignment="1">
      <alignment horizontal="center" vertical="top"/>
    </xf>
    <xf numFmtId="0" fontId="41" fillId="11" borderId="0" xfId="0" applyFont="1" applyFill="1" applyBorder="1" applyAlignment="1">
      <alignment vertical="center"/>
    </xf>
    <xf numFmtId="0" fontId="3" fillId="10" borderId="0" xfId="0" applyFont="1" applyFill="1" applyBorder="1" applyAlignment="1">
      <alignment vertical="top" wrapText="1"/>
    </xf>
    <xf numFmtId="0" fontId="3" fillId="10" borderId="0" xfId="0" applyFont="1" applyFill="1" applyBorder="1" applyAlignment="1">
      <alignment vertical="top"/>
    </xf>
    <xf numFmtId="0" fontId="3" fillId="10" borderId="0" xfId="0" applyFont="1" applyFill="1" applyBorder="1" applyAlignment="1">
      <alignment horizontal="center" vertical="top"/>
    </xf>
    <xf numFmtId="0" fontId="8" fillId="10" borderId="0" xfId="0" applyNumberFormat="1" applyFont="1" applyFill="1" applyBorder="1" applyAlignment="1">
      <alignment horizontal="center" vertical="top"/>
    </xf>
    <xf numFmtId="0" fontId="3" fillId="10" borderId="0" xfId="0" applyNumberFormat="1" applyFont="1" applyFill="1" applyBorder="1" applyAlignment="1">
      <alignment vertical="top"/>
    </xf>
    <xf numFmtId="0" fontId="3" fillId="10" borderId="0" xfId="0" applyNumberFormat="1" applyFont="1" applyFill="1" applyBorder="1" applyAlignment="1">
      <alignment horizontal="center" vertical="top"/>
    </xf>
    <xf numFmtId="0" fontId="3" fillId="10" borderId="0" xfId="0" quotePrefix="1" applyFont="1" applyFill="1" applyAlignment="1">
      <alignment horizontal="left" vertical="top" wrapText="1"/>
    </xf>
    <xf numFmtId="165" fontId="3" fillId="10" borderId="0" xfId="0" applyNumberFormat="1" applyFont="1" applyFill="1" applyBorder="1" applyAlignment="1">
      <alignment horizontal="center" vertical="top"/>
    </xf>
    <xf numFmtId="1" fontId="3" fillId="10" borderId="0" xfId="0" applyNumberFormat="1" applyFont="1" applyFill="1" applyBorder="1" applyAlignment="1">
      <alignment horizontal="center" vertical="top"/>
    </xf>
    <xf numFmtId="0" fontId="0" fillId="10" borderId="0" xfId="0" applyFill="1"/>
    <xf numFmtId="0" fontId="3" fillId="10" borderId="0" xfId="0" applyFont="1" applyFill="1" applyAlignment="1">
      <alignment horizontal="center"/>
    </xf>
    <xf numFmtId="2" fontId="3" fillId="10" borderId="0" xfId="0" applyNumberFormat="1" applyFont="1" applyFill="1" applyAlignment="1">
      <alignment horizontal="center"/>
    </xf>
    <xf numFmtId="0" fontId="30" fillId="10" borderId="0" xfId="0" applyFont="1" applyFill="1" applyBorder="1" applyAlignment="1">
      <alignment vertical="top" wrapText="1"/>
    </xf>
    <xf numFmtId="0" fontId="3" fillId="0" borderId="0" xfId="0" quotePrefix="1" applyFont="1" applyAlignment="1">
      <alignment vertical="top" wrapText="1"/>
    </xf>
    <xf numFmtId="0" fontId="3" fillId="0" borderId="0" xfId="0" applyNumberFormat="1" applyFont="1" applyFill="1" applyBorder="1" applyAlignment="1">
      <alignment horizontal="left" vertical="top" wrapText="1"/>
    </xf>
    <xf numFmtId="2" fontId="8" fillId="0" borderId="0" xfId="0" applyNumberFormat="1" applyFont="1" applyFill="1" applyBorder="1" applyAlignment="1">
      <alignment horizontal="center" vertical="top"/>
    </xf>
    <xf numFmtId="0" fontId="3" fillId="0" borderId="0" xfId="0" applyFont="1" applyFill="1" applyAlignment="1">
      <alignment horizontal="left"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left" vertical="center"/>
    </xf>
    <xf numFmtId="0" fontId="8" fillId="0" borderId="10" xfId="0" applyFont="1" applyBorder="1" applyAlignment="1">
      <alignment vertical="top" wrapText="1"/>
    </xf>
    <xf numFmtId="1" fontId="3" fillId="0" borderId="0" xfId="0" applyNumberFormat="1" applyFont="1" applyFill="1" applyBorder="1" applyAlignment="1">
      <alignment horizontal="center" vertical="top"/>
    </xf>
    <xf numFmtId="0" fontId="25" fillId="14" borderId="0" xfId="0" applyFont="1" applyFill="1" applyBorder="1" applyAlignment="1">
      <alignment vertical="top" wrapText="1"/>
    </xf>
    <xf numFmtId="0" fontId="25" fillId="15" borderId="0" xfId="0" applyFont="1" applyFill="1" applyBorder="1" applyAlignment="1">
      <alignment vertical="top" wrapText="1"/>
    </xf>
    <xf numFmtId="0" fontId="3" fillId="0" borderId="0" xfId="0" quotePrefix="1" applyFont="1" applyAlignment="1">
      <alignment vertical="top"/>
    </xf>
    <xf numFmtId="164" fontId="3" fillId="0" borderId="0" xfId="0" applyNumberFormat="1" applyFont="1" applyBorder="1" applyAlignment="1">
      <alignment horizontal="center" vertical="top"/>
    </xf>
    <xf numFmtId="0" fontId="3" fillId="0" borderId="0" xfId="0" applyFont="1" applyAlignment="1">
      <alignment vertical="top" wrapText="1"/>
    </xf>
    <xf numFmtId="0" fontId="3" fillId="0" borderId="0" xfId="0" applyNumberFormat="1" applyFont="1" applyFill="1" applyBorder="1" applyAlignment="1">
      <alignment horizontal="center" vertical="top"/>
    </xf>
    <xf numFmtId="9" fontId="8" fillId="0" borderId="0" xfId="0" applyNumberFormat="1" applyFont="1" applyBorder="1" applyAlignment="1">
      <alignment horizontal="center" vertical="top"/>
    </xf>
    <xf numFmtId="0" fontId="8" fillId="0" borderId="0" xfId="0" applyFont="1" applyFill="1" applyBorder="1" applyAlignment="1">
      <alignment horizontal="center"/>
    </xf>
    <xf numFmtId="2" fontId="53" fillId="0" borderId="1" xfId="0" applyNumberFormat="1" applyFont="1" applyFill="1" applyBorder="1" applyAlignment="1">
      <alignment horizontal="center"/>
    </xf>
    <xf numFmtId="0" fontId="3" fillId="7" borderId="0" xfId="0" applyFont="1" applyFill="1" applyAlignment="1">
      <alignment vertical="top"/>
    </xf>
    <xf numFmtId="164" fontId="0" fillId="0" borderId="39" xfId="0" applyNumberFormat="1" applyBorder="1"/>
    <xf numFmtId="168" fontId="0" fillId="0" borderId="39" xfId="0" applyNumberFormat="1" applyBorder="1"/>
    <xf numFmtId="171" fontId="0" fillId="0" borderId="0" xfId="0" applyNumberFormat="1"/>
    <xf numFmtId="164" fontId="8" fillId="9" borderId="23" xfId="0" applyNumberFormat="1" applyFont="1" applyFill="1" applyBorder="1" applyAlignment="1">
      <alignment horizontal="center"/>
    </xf>
    <xf numFmtId="165" fontId="0" fillId="0" borderId="0" xfId="0" quotePrefix="1" applyNumberFormat="1" applyBorder="1"/>
    <xf numFmtId="165" fontId="0" fillId="0" borderId="13" xfId="0" quotePrefix="1" applyNumberFormat="1" applyBorder="1"/>
    <xf numFmtId="0" fontId="8" fillId="0" borderId="0" xfId="0" quotePrefix="1" applyNumberFormat="1" applyFont="1" applyBorder="1" applyAlignment="1">
      <alignment horizontal="center" vertical="top"/>
    </xf>
    <xf numFmtId="164" fontId="25" fillId="0" borderId="10" xfId="0" applyNumberFormat="1" applyFont="1" applyFill="1" applyBorder="1" applyAlignment="1">
      <alignment horizontal="center" vertical="center"/>
    </xf>
    <xf numFmtId="164" fontId="25" fillId="0" borderId="11" xfId="0" applyNumberFormat="1" applyFont="1" applyFill="1" applyBorder="1" applyAlignment="1">
      <alignment horizontal="center" vertical="center"/>
    </xf>
    <xf numFmtId="1" fontId="25" fillId="0" borderId="10" xfId="0" applyNumberFormat="1" applyFont="1" applyFill="1" applyBorder="1" applyAlignment="1">
      <alignment horizontal="center" vertical="center"/>
    </xf>
    <xf numFmtId="0" fontId="25" fillId="0" borderId="11" xfId="0" applyFont="1" applyBorder="1" applyAlignment="1">
      <alignment horizontal="center" vertical="top" wrapText="1"/>
    </xf>
    <xf numFmtId="0" fontId="45" fillId="0" borderId="0" xfId="0" applyFont="1" applyBorder="1" applyAlignment="1">
      <alignment horizontal="center" vertical="top" wrapText="1"/>
    </xf>
    <xf numFmtId="0" fontId="45" fillId="0" borderId="11" xfId="0" applyFont="1" applyBorder="1" applyAlignment="1">
      <alignment horizontal="center" vertical="top" wrapText="1"/>
    </xf>
    <xf numFmtId="0" fontId="3" fillId="11" borderId="0" xfId="0" applyFont="1" applyFill="1" applyBorder="1"/>
    <xf numFmtId="0" fontId="3" fillId="0" borderId="0" xfId="0" applyFont="1" applyBorder="1" applyAlignment="1">
      <alignment horizontal="center" vertical="center"/>
    </xf>
    <xf numFmtId="0" fontId="43" fillId="11" borderId="0" xfId="0" applyFont="1" applyFill="1" applyBorder="1" applyAlignment="1">
      <alignment vertical="center" wrapText="1"/>
    </xf>
    <xf numFmtId="0" fontId="43" fillId="11" borderId="0" xfId="0" applyFont="1" applyFill="1" applyBorder="1" applyAlignment="1">
      <alignment horizontal="center" vertical="center"/>
    </xf>
    <xf numFmtId="0" fontId="51" fillId="12" borderId="19" xfId="0" applyFont="1" applyFill="1" applyBorder="1" applyAlignment="1">
      <alignment horizontal="center" vertical="center"/>
    </xf>
    <xf numFmtId="0" fontId="51" fillId="12" borderId="20" xfId="0" applyFont="1" applyFill="1" applyBorder="1" applyAlignment="1">
      <alignment horizontal="center" vertical="center"/>
    </xf>
    <xf numFmtId="0" fontId="13" fillId="12" borderId="18" xfId="0" applyFont="1" applyFill="1" applyBorder="1" applyAlignment="1">
      <alignment vertical="center"/>
    </xf>
    <xf numFmtId="0" fontId="43" fillId="16" borderId="0" xfId="0" applyFont="1" applyFill="1" applyBorder="1" applyAlignment="1">
      <alignment horizontal="center" vertical="center" wrapText="1"/>
    </xf>
    <xf numFmtId="0" fontId="43" fillId="16" borderId="0" xfId="0" applyFont="1" applyFill="1" applyBorder="1" applyAlignment="1">
      <alignment horizontal="center" vertical="center"/>
    </xf>
    <xf numFmtId="165" fontId="43" fillId="16" borderId="0" xfId="0" applyNumberFormat="1" applyFont="1" applyFill="1" applyBorder="1" applyAlignment="1">
      <alignment horizontal="center" vertical="center"/>
    </xf>
    <xf numFmtId="0" fontId="43" fillId="6" borderId="23" xfId="0" applyFont="1" applyFill="1" applyBorder="1" applyAlignment="1">
      <alignment vertical="center" wrapText="1"/>
    </xf>
    <xf numFmtId="0" fontId="8" fillId="0" borderId="21" xfId="0" applyFont="1" applyFill="1" applyBorder="1" applyAlignment="1">
      <alignment vertical="center" wrapText="1"/>
    </xf>
    <xf numFmtId="0" fontId="43" fillId="0" borderId="22" xfId="0" applyFont="1" applyFill="1" applyBorder="1" applyAlignment="1">
      <alignment vertical="center" wrapText="1"/>
    </xf>
    <xf numFmtId="0" fontId="43" fillId="0" borderId="21" xfId="0" applyFont="1" applyFill="1" applyBorder="1" applyAlignment="1">
      <alignment vertical="center" wrapText="1"/>
    </xf>
    <xf numFmtId="0" fontId="0" fillId="0" borderId="0" xfId="0" applyFill="1"/>
    <xf numFmtId="0" fontId="8" fillId="0" borderId="23" xfId="0" applyFont="1" applyFill="1" applyBorder="1" applyAlignment="1">
      <alignment vertical="center" wrapText="1"/>
    </xf>
    <xf numFmtId="0" fontId="43" fillId="0" borderId="23" xfId="0" applyFont="1" applyFill="1" applyBorder="1" applyAlignment="1">
      <alignment vertical="center" wrapText="1"/>
    </xf>
    <xf numFmtId="0" fontId="63" fillId="0" borderId="23" xfId="0" applyFont="1" applyBorder="1" applyAlignment="1">
      <alignment vertical="center" wrapText="1"/>
    </xf>
    <xf numFmtId="0" fontId="62" fillId="12" borderId="18" xfId="0" applyFont="1" applyFill="1" applyBorder="1" applyAlignment="1">
      <alignment vertical="center"/>
    </xf>
    <xf numFmtId="167" fontId="43" fillId="6" borderId="18" xfId="0" applyNumberFormat="1" applyFont="1" applyFill="1" applyBorder="1" applyAlignment="1">
      <alignment horizontal="center" vertical="center" wrapText="1"/>
    </xf>
    <xf numFmtId="167" fontId="43" fillId="6" borderId="19" xfId="0" applyNumberFormat="1" applyFont="1" applyFill="1" applyBorder="1" applyAlignment="1">
      <alignment horizontal="center" vertical="center" wrapText="1"/>
    </xf>
    <xf numFmtId="0" fontId="8" fillId="11" borderId="0" xfId="0" applyFont="1" applyFill="1" applyBorder="1" applyAlignment="1">
      <alignment vertical="center" wrapText="1"/>
    </xf>
    <xf numFmtId="0" fontId="51" fillId="11" borderId="0" xfId="0" applyFont="1" applyFill="1" applyBorder="1" applyAlignment="1">
      <alignment vertical="center" wrapText="1"/>
    </xf>
    <xf numFmtId="0" fontId="51" fillId="11" borderId="0" xfId="0" applyFont="1" applyFill="1" applyBorder="1" applyAlignment="1">
      <alignment horizontal="center" vertical="center"/>
    </xf>
    <xf numFmtId="0" fontId="3" fillId="11" borderId="0" xfId="0" applyFont="1" applyFill="1"/>
    <xf numFmtId="0" fontId="43" fillId="11" borderId="0" xfId="0" applyFont="1" applyFill="1" applyBorder="1" applyAlignment="1">
      <alignment vertical="center"/>
    </xf>
    <xf numFmtId="0" fontId="51" fillId="11" borderId="18" xfId="0" applyFont="1" applyFill="1" applyBorder="1" applyAlignment="1">
      <alignment vertical="center"/>
    </xf>
    <xf numFmtId="0" fontId="51" fillId="16" borderId="20" xfId="0" applyFont="1" applyFill="1" applyBorder="1" applyAlignment="1">
      <alignment horizontal="center" vertical="center"/>
    </xf>
    <xf numFmtId="0" fontId="43" fillId="11" borderId="0" xfId="0" applyFont="1" applyFill="1" applyBorder="1" applyAlignment="1">
      <alignment horizontal="center" vertical="center" wrapText="1"/>
    </xf>
    <xf numFmtId="0" fontId="42" fillId="11" borderId="0" xfId="0" applyFont="1" applyFill="1" applyBorder="1" applyAlignment="1">
      <alignment horizontal="center" vertical="center" wrapText="1"/>
    </xf>
    <xf numFmtId="0" fontId="43" fillId="11" borderId="0" xfId="0" applyFont="1" applyFill="1" applyBorder="1" applyAlignment="1">
      <alignment horizontal="left" vertical="top" wrapText="1"/>
    </xf>
    <xf numFmtId="0" fontId="3" fillId="11" borderId="0" xfId="0" applyFont="1" applyFill="1" applyAlignment="1">
      <alignment horizontal="left" vertical="top" wrapText="1"/>
    </xf>
    <xf numFmtId="0" fontId="3" fillId="0" borderId="0" xfId="0" applyFont="1" applyAlignment="1">
      <alignment horizontal="left" vertical="top" wrapText="1"/>
    </xf>
    <xf numFmtId="0" fontId="43" fillId="0" borderId="0" xfId="0" applyFont="1" applyBorder="1" applyAlignment="1">
      <alignment horizontal="left" vertical="top" wrapText="1"/>
    </xf>
    <xf numFmtId="0" fontId="0" fillId="0" borderId="0" xfId="0" applyAlignment="1">
      <alignment horizontal="left" vertical="top" wrapText="1"/>
    </xf>
    <xf numFmtId="0" fontId="3" fillId="11" borderId="23" xfId="0" applyFont="1" applyFill="1" applyBorder="1" applyAlignment="1">
      <alignment horizontal="left" vertical="top" wrapText="1"/>
    </xf>
    <xf numFmtId="166" fontId="43" fillId="6" borderId="19" xfId="0" applyNumberFormat="1" applyFont="1" applyFill="1" applyBorder="1" applyAlignment="1">
      <alignment horizontal="center" vertical="center" wrapText="1"/>
    </xf>
    <xf numFmtId="166" fontId="43" fillId="6" borderId="20" xfId="0" applyNumberFormat="1" applyFont="1" applyFill="1" applyBorder="1" applyAlignment="1">
      <alignment horizontal="center" vertical="center" wrapText="1"/>
    </xf>
    <xf numFmtId="0" fontId="43" fillId="11" borderId="23" xfId="0" applyFont="1" applyFill="1" applyBorder="1" applyAlignment="1">
      <alignment horizontal="left" vertical="top" wrapText="1"/>
    </xf>
    <xf numFmtId="0" fontId="43" fillId="11" borderId="22" xfId="0" applyFont="1" applyFill="1" applyBorder="1" applyAlignment="1">
      <alignment horizontal="left" vertical="top" wrapText="1"/>
    </xf>
    <xf numFmtId="0" fontId="25" fillId="0" borderId="0" xfId="0" applyFont="1" applyBorder="1" applyAlignment="1">
      <alignment horizontal="center" vertical="top" wrapText="1"/>
    </xf>
    <xf numFmtId="0" fontId="3" fillId="0" borderId="23" xfId="0" applyFont="1" applyFill="1" applyBorder="1" applyAlignment="1">
      <alignment horizontal="left" vertical="top" wrapText="1"/>
    </xf>
    <xf numFmtId="2" fontId="51" fillId="16" borderId="19" xfId="0" applyNumberFormat="1" applyFont="1" applyFill="1" applyBorder="1" applyAlignment="1">
      <alignment horizontal="center" vertical="center"/>
    </xf>
    <xf numFmtId="2" fontId="51" fillId="16" borderId="20" xfId="0" applyNumberFormat="1" applyFont="1" applyFill="1" applyBorder="1" applyAlignment="1">
      <alignment horizontal="center" vertical="center"/>
    </xf>
    <xf numFmtId="0" fontId="8" fillId="11" borderId="0" xfId="0" applyFont="1" applyFill="1" applyBorder="1" applyAlignment="1">
      <alignment vertical="center"/>
    </xf>
    <xf numFmtId="0" fontId="53" fillId="11" borderId="18" xfId="0" applyFont="1" applyFill="1" applyBorder="1" applyAlignment="1">
      <alignment vertical="center"/>
    </xf>
    <xf numFmtId="0" fontId="51" fillId="16" borderId="23" xfId="0" applyFont="1" applyFill="1" applyBorder="1" applyAlignment="1">
      <alignment horizontal="left" vertical="top" wrapText="1"/>
    </xf>
    <xf numFmtId="167" fontId="43" fillId="16" borderId="0" xfId="0" applyNumberFormat="1" applyFont="1" applyFill="1" applyBorder="1" applyAlignment="1">
      <alignment horizontal="center" vertical="center"/>
    </xf>
    <xf numFmtId="166" fontId="43" fillId="16" borderId="0" xfId="0" applyNumberFormat="1" applyFont="1" applyFill="1" applyBorder="1" applyAlignment="1">
      <alignment horizontal="center" vertical="center"/>
    </xf>
    <xf numFmtId="2" fontId="43" fillId="16" borderId="0" xfId="0" applyNumberFormat="1" applyFont="1" applyFill="1" applyBorder="1" applyAlignment="1">
      <alignment horizontal="center" vertical="center"/>
    </xf>
    <xf numFmtId="164" fontId="51" fillId="16" borderId="19" xfId="0" applyNumberFormat="1" applyFont="1" applyFill="1" applyBorder="1" applyAlignment="1">
      <alignment horizontal="center" vertical="center"/>
    </xf>
    <xf numFmtId="164" fontId="51" fillId="16" borderId="20" xfId="0" applyNumberFormat="1" applyFont="1" applyFill="1" applyBorder="1" applyAlignment="1">
      <alignment horizontal="center" vertical="center"/>
    </xf>
    <xf numFmtId="0" fontId="3" fillId="11" borderId="20" xfId="0" applyFont="1" applyFill="1" applyBorder="1" applyAlignment="1">
      <alignment horizontal="left" vertical="top" wrapText="1"/>
    </xf>
    <xf numFmtId="0" fontId="43" fillId="11" borderId="3" xfId="0" applyFont="1" applyFill="1" applyBorder="1" applyAlignment="1">
      <alignment vertical="center"/>
    </xf>
    <xf numFmtId="0" fontId="43" fillId="11" borderId="9" xfId="0" applyFont="1" applyFill="1" applyBorder="1" applyAlignment="1">
      <alignment vertical="center"/>
    </xf>
    <xf numFmtId="0" fontId="43" fillId="11" borderId="12" xfId="0" applyFont="1" applyFill="1" applyBorder="1" applyAlignment="1">
      <alignment vertical="center"/>
    </xf>
    <xf numFmtId="2" fontId="43" fillId="16" borderId="4" xfId="0" applyNumberFormat="1" applyFont="1" applyFill="1" applyBorder="1" applyAlignment="1">
      <alignment horizontal="center" vertical="center"/>
    </xf>
    <xf numFmtId="165" fontId="43" fillId="16" borderId="13" xfId="0" applyNumberFormat="1" applyFont="1" applyFill="1" applyBorder="1" applyAlignment="1">
      <alignment horizontal="center" vertical="center"/>
    </xf>
    <xf numFmtId="0" fontId="65" fillId="11" borderId="0" xfId="0" applyFont="1" applyFill="1" applyBorder="1" applyAlignment="1">
      <alignment vertical="center"/>
    </xf>
    <xf numFmtId="2" fontId="65" fillId="11" borderId="0" xfId="0" applyNumberFormat="1" applyFont="1" applyFill="1" applyBorder="1" applyAlignment="1">
      <alignment horizontal="center" vertical="center"/>
    </xf>
    <xf numFmtId="0" fontId="25" fillId="9" borderId="0" xfId="0" applyFont="1" applyFill="1" applyBorder="1" applyAlignment="1">
      <alignment horizontal="center" vertical="center"/>
    </xf>
    <xf numFmtId="0" fontId="25" fillId="9" borderId="10" xfId="0" applyFont="1" applyFill="1" applyBorder="1" applyAlignment="1">
      <alignment horizontal="center" vertical="center"/>
    </xf>
    <xf numFmtId="0" fontId="25" fillId="9" borderId="11" xfId="0" applyFont="1" applyFill="1" applyBorder="1" applyAlignment="1">
      <alignment horizontal="center" vertical="center"/>
    </xf>
    <xf numFmtId="0" fontId="1" fillId="5" borderId="61" xfId="0" applyFont="1" applyFill="1" applyBorder="1" applyAlignment="1">
      <alignment vertical="top"/>
    </xf>
    <xf numFmtId="2" fontId="3" fillId="17" borderId="23" xfId="0" applyNumberFormat="1" applyFont="1" applyFill="1" applyBorder="1" applyAlignment="1">
      <alignment horizontal="center"/>
    </xf>
    <xf numFmtId="0" fontId="3" fillId="0" borderId="0" xfId="0" quotePrefix="1" applyFont="1" applyFill="1" applyBorder="1"/>
    <xf numFmtId="165" fontId="3" fillId="17" borderId="23" xfId="0" applyNumberFormat="1" applyFont="1" applyFill="1" applyBorder="1" applyAlignment="1">
      <alignment horizontal="center"/>
    </xf>
    <xf numFmtId="164" fontId="25" fillId="17" borderId="0" xfId="0" applyNumberFormat="1" applyFont="1" applyFill="1" applyBorder="1" applyAlignment="1">
      <alignment horizontal="center" vertical="center"/>
    </xf>
    <xf numFmtId="2" fontId="3" fillId="17" borderId="23" xfId="0" applyNumberFormat="1" applyFont="1" applyFill="1" applyBorder="1" applyAlignment="1">
      <alignment horizontal="right"/>
    </xf>
    <xf numFmtId="0" fontId="4" fillId="17" borderId="1" xfId="0" applyFont="1" applyFill="1" applyBorder="1" applyAlignment="1">
      <alignment horizontal="center"/>
    </xf>
    <xf numFmtId="166" fontId="3" fillId="17" borderId="23" xfId="0" applyNumberFormat="1" applyFont="1" applyFill="1" applyBorder="1" applyAlignment="1">
      <alignment horizontal="center"/>
    </xf>
    <xf numFmtId="0" fontId="8" fillId="11" borderId="18" xfId="0" applyFont="1" applyFill="1" applyBorder="1" applyAlignment="1">
      <alignment vertical="center" wrapText="1"/>
    </xf>
    <xf numFmtId="0" fontId="8" fillId="0" borderId="0" xfId="0" applyFont="1" applyBorder="1" applyAlignment="1">
      <alignment vertical="center" wrapText="1"/>
    </xf>
    <xf numFmtId="0" fontId="9" fillId="0" borderId="0" xfId="0" applyFont="1"/>
    <xf numFmtId="0" fontId="43" fillId="11" borderId="20" xfId="0" applyFont="1" applyFill="1" applyBorder="1" applyAlignment="1">
      <alignment horizontal="left" vertical="top" wrapText="1"/>
    </xf>
    <xf numFmtId="0" fontId="3" fillId="0" borderId="5" xfId="0" applyFont="1" applyFill="1" applyBorder="1" applyAlignment="1">
      <alignment horizontal="left" vertical="top" wrapText="1"/>
    </xf>
    <xf numFmtId="0" fontId="43" fillId="6" borderId="12" xfId="0" applyFont="1" applyFill="1" applyBorder="1" applyAlignment="1">
      <alignment horizontal="center" vertical="center"/>
    </xf>
    <xf numFmtId="0" fontId="43" fillId="6" borderId="13" xfId="0" applyFont="1" applyFill="1" applyBorder="1" applyAlignment="1">
      <alignment horizontal="center" vertical="center"/>
    </xf>
    <xf numFmtId="0" fontId="43" fillId="6" borderId="14" xfId="0" applyFont="1" applyFill="1" applyBorder="1" applyAlignment="1">
      <alignment horizontal="center" vertical="center"/>
    </xf>
    <xf numFmtId="0" fontId="3" fillId="11" borderId="0" xfId="0" applyFont="1" applyFill="1" applyBorder="1" applyAlignment="1">
      <alignment horizontal="left" vertical="top" wrapText="1"/>
    </xf>
    <xf numFmtId="0" fontId="3" fillId="17" borderId="23" xfId="0" applyFont="1" applyFill="1" applyBorder="1" applyAlignment="1">
      <alignment horizontal="center"/>
    </xf>
    <xf numFmtId="167" fontId="3" fillId="17" borderId="23" xfId="0" applyNumberFormat="1" applyFont="1" applyFill="1" applyBorder="1" applyAlignment="1">
      <alignment horizontal="center"/>
    </xf>
    <xf numFmtId="2" fontId="4" fillId="17" borderId="11" xfId="0" applyNumberFormat="1" applyFont="1" applyFill="1" applyBorder="1" applyAlignment="1">
      <alignment horizontal="center"/>
    </xf>
    <xf numFmtId="0" fontId="8" fillId="11" borderId="3" xfId="0" applyFont="1" applyFill="1" applyBorder="1" applyAlignment="1">
      <alignment vertical="center" wrapText="1"/>
    </xf>
    <xf numFmtId="169" fontId="3" fillId="17" borderId="23" xfId="0" applyNumberFormat="1" applyFont="1" applyFill="1" applyBorder="1" applyAlignment="1">
      <alignment horizontal="center"/>
    </xf>
    <xf numFmtId="167" fontId="4" fillId="17" borderId="1" xfId="0" applyNumberFormat="1" applyFont="1" applyFill="1" applyBorder="1" applyAlignment="1">
      <alignment horizontal="center"/>
    </xf>
    <xf numFmtId="166" fontId="4" fillId="17" borderId="1" xfId="0" applyNumberFormat="1" applyFont="1" applyFill="1" applyBorder="1" applyAlignment="1">
      <alignment horizontal="center"/>
    </xf>
    <xf numFmtId="168" fontId="4" fillId="17" borderId="1" xfId="0" applyNumberFormat="1" applyFont="1" applyFill="1" applyBorder="1" applyAlignment="1">
      <alignment horizontal="center"/>
    </xf>
    <xf numFmtId="168" fontId="4" fillId="17" borderId="11" xfId="0" applyNumberFormat="1" applyFont="1" applyFill="1" applyBorder="1" applyAlignment="1">
      <alignment horizontal="center"/>
    </xf>
    <xf numFmtId="165" fontId="4" fillId="17" borderId="1" xfId="0" applyNumberFormat="1" applyFont="1" applyFill="1" applyBorder="1" applyAlignment="1">
      <alignment horizontal="center"/>
    </xf>
    <xf numFmtId="0" fontId="0" fillId="17" borderId="23" xfId="0" applyFill="1" applyBorder="1" applyAlignment="1">
      <alignment horizontal="center"/>
    </xf>
    <xf numFmtId="2" fontId="3" fillId="17" borderId="0" xfId="0" applyNumberFormat="1" applyFont="1" applyFill="1" applyBorder="1" applyAlignment="1">
      <alignment horizontal="right"/>
    </xf>
    <xf numFmtId="165" fontId="1" fillId="17" borderId="0" xfId="0" applyNumberFormat="1" applyFont="1" applyFill="1" applyBorder="1" applyAlignment="1">
      <alignment horizontal="center"/>
    </xf>
    <xf numFmtId="165" fontId="1" fillId="17" borderId="11" xfId="0" applyNumberFormat="1" applyFont="1" applyFill="1" applyBorder="1" applyAlignment="1">
      <alignment horizontal="center"/>
    </xf>
    <xf numFmtId="0" fontId="8" fillId="17" borderId="23" xfId="0" applyFont="1" applyFill="1" applyBorder="1" applyAlignment="1">
      <alignment horizontal="center"/>
    </xf>
    <xf numFmtId="2" fontId="4" fillId="17" borderId="0" xfId="0" applyNumberFormat="1" applyFont="1" applyFill="1" applyBorder="1" applyAlignment="1">
      <alignment horizontal="center"/>
    </xf>
    <xf numFmtId="2" fontId="3" fillId="0" borderId="0" xfId="0" applyNumberFormat="1" applyFont="1" applyFill="1" applyBorder="1"/>
    <xf numFmtId="165" fontId="4" fillId="17" borderId="0" xfId="0" applyNumberFormat="1" applyFont="1" applyFill="1" applyBorder="1" applyAlignment="1">
      <alignment horizontal="center"/>
    </xf>
    <xf numFmtId="0" fontId="3" fillId="17" borderId="1" xfId="0" applyFont="1" applyFill="1" applyBorder="1"/>
    <xf numFmtId="2" fontId="4" fillId="17" borderId="1" xfId="0" applyNumberFormat="1" applyFont="1" applyFill="1" applyBorder="1" applyAlignment="1">
      <alignment horizontal="center"/>
    </xf>
    <xf numFmtId="2" fontId="1" fillId="17" borderId="30" xfId="0" applyNumberFormat="1" applyFont="1" applyFill="1" applyBorder="1" applyAlignment="1">
      <alignment horizontal="center"/>
    </xf>
    <xf numFmtId="0" fontId="3" fillId="0" borderId="0" xfId="0" quotePrefix="1" applyFont="1" applyBorder="1"/>
    <xf numFmtId="164" fontId="3" fillId="17" borderId="0" xfId="0" applyNumberFormat="1" applyFont="1" applyFill="1" applyBorder="1" applyAlignment="1">
      <alignment horizontal="right"/>
    </xf>
    <xf numFmtId="164" fontId="3" fillId="17" borderId="23" xfId="0" applyNumberFormat="1" applyFont="1" applyFill="1" applyBorder="1" applyAlignment="1">
      <alignment horizontal="right"/>
    </xf>
    <xf numFmtId="0" fontId="0" fillId="17" borderId="0" xfId="0" applyFill="1"/>
    <xf numFmtId="0" fontId="0" fillId="13" borderId="0" xfId="0" applyFill="1" applyAlignment="1">
      <alignment wrapText="1"/>
    </xf>
    <xf numFmtId="0" fontId="3" fillId="17" borderId="23" xfId="0" applyFont="1" applyFill="1" applyBorder="1"/>
    <xf numFmtId="0" fontId="3" fillId="0" borderId="0" xfId="0" applyNumberFormat="1" applyFont="1" applyFill="1" applyBorder="1" applyAlignment="1">
      <alignment vertical="top"/>
    </xf>
    <xf numFmtId="165" fontId="4" fillId="17" borderId="11" xfId="0" applyNumberFormat="1" applyFont="1" applyFill="1" applyBorder="1" applyAlignment="1">
      <alignment horizontal="center"/>
    </xf>
    <xf numFmtId="165" fontId="4" fillId="17" borderId="59" xfId="0" applyNumberFormat="1" applyFont="1" applyFill="1" applyBorder="1" applyAlignment="1">
      <alignment horizontal="center"/>
    </xf>
    <xf numFmtId="167" fontId="4" fillId="17" borderId="0" xfId="0" applyNumberFormat="1" applyFont="1" applyFill="1" applyBorder="1" applyAlignment="1">
      <alignment horizontal="center"/>
    </xf>
    <xf numFmtId="0" fontId="3" fillId="7" borderId="0" xfId="0" applyFont="1" applyFill="1" applyAlignment="1">
      <alignment vertical="top" wrapText="1"/>
    </xf>
    <xf numFmtId="0" fontId="0" fillId="0" borderId="0" xfId="0" applyAlignment="1">
      <alignment horizontal="left" vertical="top"/>
    </xf>
    <xf numFmtId="0" fontId="0" fillId="5" borderId="0" xfId="0" applyFill="1" applyAlignment="1">
      <alignment horizontal="left" vertical="top"/>
    </xf>
    <xf numFmtId="0" fontId="1" fillId="5" borderId="0" xfId="0" applyFont="1" applyFill="1" applyAlignment="1">
      <alignment horizontal="left" vertical="top"/>
    </xf>
    <xf numFmtId="0" fontId="54" fillId="0" borderId="0" xfId="0" applyFont="1"/>
    <xf numFmtId="0" fontId="1" fillId="5" borderId="62" xfId="0" applyFont="1" applyFill="1" applyBorder="1"/>
    <xf numFmtId="0" fontId="1" fillId="5" borderId="61" xfId="0" applyFont="1" applyFill="1" applyBorder="1"/>
    <xf numFmtId="0" fontId="1" fillId="5" borderId="60" xfId="0" applyFont="1" applyFill="1" applyBorder="1"/>
    <xf numFmtId="9" fontId="0" fillId="0" borderId="0" xfId="0" applyNumberFormat="1" applyBorder="1"/>
    <xf numFmtId="165" fontId="0" fillId="0" borderId="0" xfId="0" applyNumberFormat="1" applyBorder="1"/>
    <xf numFmtId="0" fontId="1" fillId="5" borderId="6" xfId="0" applyFont="1" applyFill="1" applyBorder="1"/>
    <xf numFmtId="0" fontId="0" fillId="5" borderId="7" xfId="0" applyFill="1" applyBorder="1"/>
    <xf numFmtId="0" fontId="0" fillId="5" borderId="8" xfId="0" applyFill="1" applyBorder="1"/>
    <xf numFmtId="0" fontId="1" fillId="5" borderId="3" xfId="0" applyFont="1" applyFill="1" applyBorder="1"/>
    <xf numFmtId="0" fontId="0" fillId="5" borderId="4" xfId="0" applyFill="1" applyBorder="1"/>
    <xf numFmtId="0" fontId="0" fillId="5" borderId="5" xfId="0" applyFill="1" applyBorder="1"/>
    <xf numFmtId="0" fontId="42" fillId="0" borderId="3" xfId="0" applyFont="1" applyBorder="1"/>
    <xf numFmtId="0" fontId="42" fillId="0" borderId="4" xfId="0" applyFont="1" applyBorder="1"/>
    <xf numFmtId="0" fontId="42" fillId="0" borderId="9" xfId="0" applyFont="1" applyBorder="1"/>
    <xf numFmtId="0" fontId="42" fillId="0" borderId="0" xfId="0" applyFont="1" applyBorder="1"/>
    <xf numFmtId="0" fontId="42" fillId="0" borderId="12" xfId="0" applyFont="1" applyBorder="1"/>
    <xf numFmtId="0" fontId="42" fillId="0" borderId="13" xfId="0" applyFont="1" applyBorder="1"/>
    <xf numFmtId="0" fontId="1" fillId="5" borderId="6" xfId="0" applyFont="1" applyFill="1" applyBorder="1" applyAlignment="1">
      <alignment horizontal="left" vertical="top"/>
    </xf>
    <xf numFmtId="0" fontId="0" fillId="5" borderId="7" xfId="0"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169" fontId="0" fillId="0" borderId="0" xfId="0" applyNumberFormat="1" applyBorder="1" applyAlignment="1">
      <alignment horizontal="center" vertical="top"/>
    </xf>
    <xf numFmtId="0" fontId="0" fillId="0" borderId="0" xfId="0" applyBorder="1" applyAlignment="1">
      <alignment horizontal="center" vertical="top"/>
    </xf>
    <xf numFmtId="168" fontId="0" fillId="0" borderId="0" xfId="0" applyNumberFormat="1" applyBorder="1" applyAlignment="1">
      <alignment horizontal="center" vertical="top"/>
    </xf>
    <xf numFmtId="166" fontId="0" fillId="0" borderId="0" xfId="0" applyNumberFormat="1" applyBorder="1" applyAlignment="1">
      <alignment horizontal="center" vertical="top"/>
    </xf>
    <xf numFmtId="0" fontId="0" fillId="0" borderId="11" xfId="0" applyBorder="1" applyAlignment="1">
      <alignment horizontal="left" vertical="top"/>
    </xf>
    <xf numFmtId="0" fontId="0" fillId="0" borderId="16" xfId="0" applyBorder="1" applyAlignment="1">
      <alignment horizontal="left" vertical="top"/>
    </xf>
    <xf numFmtId="0" fontId="1" fillId="0" borderId="17" xfId="0" applyFont="1" applyBorder="1"/>
    <xf numFmtId="0" fontId="0" fillId="0" borderId="17" xfId="0" applyBorder="1" applyAlignment="1">
      <alignment horizontal="center" vertical="top"/>
    </xf>
    <xf numFmtId="165" fontId="1" fillId="0" borderId="17" xfId="0" applyNumberFormat="1" applyFont="1" applyBorder="1" applyAlignment="1">
      <alignment horizontal="center" vertical="top"/>
    </xf>
    <xf numFmtId="1" fontId="0" fillId="0" borderId="17" xfId="0" applyNumberFormat="1" applyBorder="1" applyAlignment="1">
      <alignment horizontal="center" vertical="top"/>
    </xf>
    <xf numFmtId="0" fontId="3" fillId="7" borderId="0" xfId="0" applyFont="1" applyFill="1" applyAlignment="1">
      <alignment horizontal="left" vertical="top" wrapText="1"/>
    </xf>
    <xf numFmtId="0" fontId="36" fillId="0" borderId="0" xfId="0" applyFont="1" applyBorder="1" applyAlignment="1">
      <alignment horizontal="center" vertical="center"/>
    </xf>
    <xf numFmtId="0" fontId="43" fillId="2" borderId="18" xfId="0" applyFont="1" applyFill="1" applyBorder="1" applyAlignment="1">
      <alignment horizontal="center" vertical="center"/>
    </xf>
    <xf numFmtId="0" fontId="43" fillId="2" borderId="19" xfId="0" applyFont="1" applyFill="1" applyBorder="1" applyAlignment="1">
      <alignment horizontal="center" vertical="center"/>
    </xf>
    <xf numFmtId="0" fontId="43" fillId="2" borderId="20" xfId="0" applyFont="1" applyFill="1" applyBorder="1" applyAlignment="1">
      <alignment horizontal="center" vertical="center"/>
    </xf>
    <xf numFmtId="0" fontId="43" fillId="2" borderId="12" xfId="0" applyFont="1" applyFill="1" applyBorder="1" applyAlignment="1">
      <alignment horizontal="center" vertical="center"/>
    </xf>
    <xf numFmtId="0" fontId="43" fillId="2" borderId="13" xfId="0" applyFont="1" applyFill="1" applyBorder="1" applyAlignment="1">
      <alignment horizontal="center" vertical="center"/>
    </xf>
    <xf numFmtId="0" fontId="43" fillId="2" borderId="14" xfId="0" applyFont="1" applyFill="1" applyBorder="1" applyAlignment="1">
      <alignment horizontal="center" vertical="center"/>
    </xf>
    <xf numFmtId="164" fontId="43" fillId="2" borderId="3" xfId="0" applyNumberFormat="1" applyFont="1" applyFill="1" applyBorder="1" applyAlignment="1">
      <alignment horizontal="center" vertical="center" wrapText="1"/>
    </xf>
    <xf numFmtId="164" fontId="43" fillId="2" borderId="4" xfId="0" applyNumberFormat="1" applyFont="1" applyFill="1" applyBorder="1" applyAlignment="1">
      <alignment horizontal="center" vertical="center" wrapText="1"/>
    </xf>
    <xf numFmtId="2" fontId="43" fillId="2" borderId="9" xfId="0" applyNumberFormat="1" applyFont="1" applyFill="1" applyBorder="1" applyAlignment="1">
      <alignment horizontal="center" vertical="center" wrapText="1"/>
    </xf>
    <xf numFmtId="2" fontId="43" fillId="2" borderId="0" xfId="0" applyNumberFormat="1" applyFont="1" applyFill="1" applyBorder="1" applyAlignment="1">
      <alignment horizontal="center" vertical="center" wrapText="1"/>
    </xf>
    <xf numFmtId="2" fontId="43" fillId="2" borderId="12" xfId="0" applyNumberFormat="1" applyFont="1" applyFill="1" applyBorder="1" applyAlignment="1">
      <alignment horizontal="center" vertical="center" wrapText="1"/>
    </xf>
    <xf numFmtId="2" fontId="43" fillId="2" borderId="13" xfId="0" applyNumberFormat="1" applyFont="1" applyFill="1" applyBorder="1" applyAlignment="1">
      <alignment horizontal="center" vertical="center" wrapText="1"/>
    </xf>
    <xf numFmtId="167" fontId="43" fillId="2" borderId="13" xfId="0" applyNumberFormat="1" applyFont="1" applyFill="1" applyBorder="1" applyAlignment="1">
      <alignment horizontal="center" vertical="center" wrapText="1"/>
    </xf>
    <xf numFmtId="165" fontId="8" fillId="2" borderId="12" xfId="0" applyNumberFormat="1" applyFont="1" applyFill="1" applyBorder="1" applyAlignment="1">
      <alignment horizontal="center" vertical="center" wrapText="1"/>
    </xf>
    <xf numFmtId="165" fontId="8" fillId="2" borderId="13" xfId="0" applyNumberFormat="1" applyFont="1" applyFill="1" applyBorder="1" applyAlignment="1">
      <alignment horizontal="center" vertical="center" wrapText="1"/>
    </xf>
    <xf numFmtId="164" fontId="8" fillId="2" borderId="13" xfId="0" applyNumberFormat="1" applyFont="1" applyFill="1" applyBorder="1" applyAlignment="1">
      <alignment horizontal="center" vertical="center" wrapText="1"/>
    </xf>
    <xf numFmtId="164" fontId="8" fillId="2" borderId="14" xfId="0" applyNumberFormat="1" applyFont="1" applyFill="1" applyBorder="1" applyAlignment="1">
      <alignment horizontal="center" vertical="center" wrapText="1"/>
    </xf>
    <xf numFmtId="0" fontId="43" fillId="2" borderId="0" xfId="0" applyFont="1" applyFill="1" applyBorder="1" applyAlignment="1">
      <alignment horizontal="center" vertical="center"/>
    </xf>
    <xf numFmtId="0" fontId="51" fillId="2" borderId="18" xfId="0" applyFont="1" applyFill="1" applyBorder="1" applyAlignment="1">
      <alignment horizontal="center" vertical="center"/>
    </xf>
    <xf numFmtId="0" fontId="51" fillId="2" borderId="19" xfId="0" applyFont="1" applyFill="1" applyBorder="1" applyAlignment="1">
      <alignment horizontal="center" vertical="center"/>
    </xf>
    <xf numFmtId="0" fontId="25" fillId="8" borderId="0" xfId="0" applyFont="1" applyFill="1" applyBorder="1" applyAlignment="1">
      <alignment horizontal="left" vertical="top" wrapText="1"/>
    </xf>
    <xf numFmtId="0" fontId="3" fillId="8" borderId="0" xfId="0" applyFont="1" applyFill="1" applyBorder="1" applyAlignment="1">
      <alignment horizontal="left" vertical="top" wrapText="1"/>
    </xf>
    <xf numFmtId="0" fontId="3" fillId="8" borderId="0" xfId="0" applyFont="1" applyFill="1" applyBorder="1" applyAlignment="1">
      <alignment horizontal="center" vertical="top" wrapText="1"/>
    </xf>
    <xf numFmtId="0" fontId="3" fillId="8" borderId="0" xfId="0" applyNumberFormat="1" applyFont="1" applyFill="1" applyBorder="1" applyAlignment="1">
      <alignment horizontal="center" vertical="top" wrapText="1"/>
    </xf>
    <xf numFmtId="1" fontId="3" fillId="8" borderId="0" xfId="0" applyNumberFormat="1" applyFont="1" applyFill="1" applyBorder="1" applyAlignment="1">
      <alignment horizontal="center" vertical="top" wrapText="1"/>
    </xf>
    <xf numFmtId="2" fontId="3" fillId="8" borderId="0" xfId="0" applyNumberFormat="1" applyFont="1" applyFill="1" applyBorder="1" applyAlignment="1">
      <alignment horizontal="center" vertical="top" wrapText="1"/>
    </xf>
    <xf numFmtId="164" fontId="3" fillId="8" borderId="0" xfId="0" applyNumberFormat="1" applyFont="1" applyFill="1" applyBorder="1" applyAlignment="1">
      <alignment horizontal="center" vertical="top" wrapText="1"/>
    </xf>
    <xf numFmtId="0" fontId="0" fillId="8" borderId="0" xfId="0" applyFill="1"/>
    <xf numFmtId="0" fontId="3" fillId="8" borderId="0" xfId="0" applyFont="1" applyFill="1" applyBorder="1" applyAlignment="1">
      <alignment vertical="top"/>
    </xf>
    <xf numFmtId="0" fontId="0" fillId="8" borderId="0" xfId="0" applyFill="1" applyAlignment="1">
      <alignment vertical="top"/>
    </xf>
    <xf numFmtId="0" fontId="3" fillId="0" borderId="0" xfId="0" quotePrefix="1" applyFont="1" applyFill="1" applyAlignment="1">
      <alignment vertical="top" wrapText="1"/>
    </xf>
    <xf numFmtId="0" fontId="8" fillId="0" borderId="0" xfId="0" quotePrefix="1" applyNumberFormat="1" applyFont="1" applyFill="1" applyBorder="1" applyAlignment="1">
      <alignment horizontal="center" vertical="top"/>
    </xf>
    <xf numFmtId="0" fontId="3" fillId="0" borderId="0" xfId="0" quotePrefix="1" applyNumberFormat="1" applyFont="1" applyFill="1" applyBorder="1" applyAlignment="1">
      <alignment horizontal="center" vertical="top"/>
    </xf>
    <xf numFmtId="0" fontId="8" fillId="0" borderId="0" xfId="0" applyFont="1" applyFill="1" applyBorder="1" applyAlignment="1">
      <alignment vertical="top"/>
    </xf>
    <xf numFmtId="0" fontId="3" fillId="11" borderId="0" xfId="0" applyFont="1" applyFill="1" applyBorder="1" applyAlignment="1">
      <alignment horizontal="left" vertical="top" wrapText="1"/>
    </xf>
    <xf numFmtId="0" fontId="67" fillId="0" borderId="0" xfId="0" applyFont="1" applyAlignment="1">
      <alignment vertical="center"/>
    </xf>
    <xf numFmtId="0" fontId="30" fillId="9" borderId="68" xfId="0" applyFont="1" applyFill="1" applyBorder="1" applyAlignment="1">
      <alignment vertical="top"/>
    </xf>
    <xf numFmtId="0" fontId="25" fillId="0" borderId="69" xfId="0" applyFont="1" applyBorder="1" applyAlignment="1">
      <alignment vertical="top"/>
    </xf>
    <xf numFmtId="0" fontId="30" fillId="9" borderId="69" xfId="0" applyFont="1" applyFill="1" applyBorder="1" applyAlignment="1">
      <alignment vertical="top"/>
    </xf>
    <xf numFmtId="0" fontId="25" fillId="0" borderId="69" xfId="0" applyFont="1" applyBorder="1" applyAlignment="1">
      <alignment vertical="top" wrapText="1"/>
    </xf>
    <xf numFmtId="0" fontId="25" fillId="0" borderId="67" xfId="0" applyFont="1" applyBorder="1" applyAlignment="1">
      <alignment vertical="top"/>
    </xf>
    <xf numFmtId="0" fontId="0" fillId="7" borderId="0" xfId="0" applyFill="1" applyAlignment="1">
      <alignment vertical="top"/>
    </xf>
    <xf numFmtId="0" fontId="10" fillId="7" borderId="0" xfId="0" applyFont="1" applyFill="1" applyAlignment="1">
      <alignment vertical="top"/>
    </xf>
    <xf numFmtId="0" fontId="25" fillId="7" borderId="0" xfId="0" applyFont="1" applyFill="1" applyAlignment="1">
      <alignment vertical="top"/>
    </xf>
    <xf numFmtId="0" fontId="5" fillId="7" borderId="0" xfId="0" applyFont="1" applyFill="1" applyAlignment="1">
      <alignment vertical="top" wrapText="1"/>
    </xf>
    <xf numFmtId="0" fontId="0" fillId="7" borderId="0" xfId="0" applyFill="1" applyBorder="1" applyAlignment="1">
      <alignment vertical="top"/>
    </xf>
    <xf numFmtId="0" fontId="46" fillId="7" borderId="0" xfId="0" applyFont="1" applyFill="1" applyAlignment="1">
      <alignment vertical="top"/>
    </xf>
    <xf numFmtId="0" fontId="50" fillId="7" borderId="0" xfId="0" applyFont="1" applyFill="1" applyAlignment="1">
      <alignment vertical="top"/>
    </xf>
    <xf numFmtId="0" fontId="14" fillId="7" borderId="0" xfId="0" applyFont="1" applyFill="1" applyAlignment="1">
      <alignment vertical="top"/>
    </xf>
    <xf numFmtId="0" fontId="36" fillId="9" borderId="10" xfId="0" applyFont="1" applyFill="1" applyBorder="1" applyAlignment="1">
      <alignment horizontal="center" vertical="center"/>
    </xf>
    <xf numFmtId="0" fontId="36" fillId="9" borderId="11" xfId="0" applyFont="1" applyFill="1" applyBorder="1" applyAlignment="1">
      <alignment horizontal="center" vertical="center"/>
    </xf>
    <xf numFmtId="2" fontId="25" fillId="0" borderId="10" xfId="0" applyNumberFormat="1" applyFont="1" applyFill="1" applyBorder="1" applyAlignment="1">
      <alignment horizontal="center" vertical="center"/>
    </xf>
    <xf numFmtId="0" fontId="36" fillId="2" borderId="0" xfId="0" applyFont="1" applyFill="1" applyBorder="1" applyAlignment="1">
      <alignment horizontal="center" vertical="center"/>
    </xf>
    <xf numFmtId="0" fontId="36" fillId="2" borderId="11" xfId="0" applyFont="1" applyFill="1" applyBorder="1" applyAlignment="1">
      <alignment horizontal="center" vertical="center"/>
    </xf>
    <xf numFmtId="2" fontId="25" fillId="2" borderId="10" xfId="0" applyNumberFormat="1" applyFont="1" applyFill="1" applyBorder="1" applyAlignment="1">
      <alignment horizontal="center" vertical="center"/>
    </xf>
    <xf numFmtId="2" fontId="25" fillId="2" borderId="0" xfId="0" applyNumberFormat="1" applyFont="1" applyFill="1" applyBorder="1" applyAlignment="1">
      <alignment horizontal="center" vertical="center"/>
    </xf>
    <xf numFmtId="0" fontId="0" fillId="0" borderId="0" xfId="0" applyAlignment="1">
      <alignment horizontal="left" vertical="center"/>
    </xf>
    <xf numFmtId="0" fontId="36" fillId="2" borderId="0" xfId="0" applyFont="1" applyFill="1" applyBorder="1" applyAlignment="1">
      <alignment horizontal="left" vertical="center"/>
    </xf>
    <xf numFmtId="164" fontId="36" fillId="9" borderId="10" xfId="0" applyNumberFormat="1" applyFont="1" applyFill="1" applyBorder="1" applyAlignment="1">
      <alignment horizontal="center" vertical="center"/>
    </xf>
    <xf numFmtId="164" fontId="36" fillId="9" borderId="0" xfId="0" applyNumberFormat="1" applyFont="1" applyFill="1" applyBorder="1" applyAlignment="1">
      <alignment horizontal="center" vertical="center"/>
    </xf>
    <xf numFmtId="164" fontId="36" fillId="9" borderId="11" xfId="0" applyNumberFormat="1" applyFont="1" applyFill="1" applyBorder="1" applyAlignment="1">
      <alignment horizontal="center" vertical="center"/>
    </xf>
    <xf numFmtId="2" fontId="25" fillId="0" borderId="11" xfId="0" applyNumberFormat="1" applyFont="1" applyFill="1" applyBorder="1" applyAlignment="1">
      <alignment horizontal="center" vertical="center"/>
    </xf>
    <xf numFmtId="164" fontId="25" fillId="17" borderId="10" xfId="0" applyNumberFormat="1" applyFont="1" applyFill="1" applyBorder="1" applyAlignment="1">
      <alignment horizontal="center" vertical="center"/>
    </xf>
    <xf numFmtId="0" fontId="35" fillId="18" borderId="6" xfId="0" applyFont="1" applyFill="1" applyBorder="1" applyAlignment="1">
      <alignment horizontal="center" vertical="center"/>
    </xf>
    <xf numFmtId="0" fontId="35" fillId="18" borderId="7" xfId="0" applyFont="1" applyFill="1" applyBorder="1" applyAlignment="1">
      <alignment horizontal="center" vertical="center"/>
    </xf>
    <xf numFmtId="0" fontId="35" fillId="18" borderId="8" xfId="0" applyFont="1" applyFill="1" applyBorder="1" applyAlignment="1">
      <alignment horizontal="center" vertical="center"/>
    </xf>
    <xf numFmtId="164" fontId="25" fillId="17" borderId="11" xfId="0" applyNumberFormat="1" applyFont="1" applyFill="1" applyBorder="1" applyAlignment="1">
      <alignment horizontal="center" vertical="center"/>
    </xf>
    <xf numFmtId="0" fontId="36" fillId="9" borderId="15" xfId="0" applyFont="1" applyFill="1" applyBorder="1" applyAlignment="1">
      <alignment horizontal="center" vertical="center"/>
    </xf>
    <xf numFmtId="0" fontId="45" fillId="6" borderId="6" xfId="0" applyFont="1" applyFill="1" applyBorder="1" applyAlignment="1">
      <alignment horizontal="center" vertical="center"/>
    </xf>
    <xf numFmtId="0" fontId="45" fillId="6" borderId="7" xfId="0" applyFont="1" applyFill="1" applyBorder="1" applyAlignment="1">
      <alignment horizontal="center" vertical="center"/>
    </xf>
    <xf numFmtId="0" fontId="45" fillId="6" borderId="7" xfId="0" applyFont="1" applyFill="1" applyBorder="1" applyAlignment="1">
      <alignment horizontal="center" vertical="top"/>
    </xf>
    <xf numFmtId="0" fontId="45" fillId="6" borderId="8" xfId="0" applyFont="1" applyFill="1" applyBorder="1" applyAlignment="1">
      <alignment horizontal="center" vertical="top"/>
    </xf>
    <xf numFmtId="0" fontId="33" fillId="7" borderId="0" xfId="0" applyFont="1" applyFill="1" applyAlignment="1">
      <alignment vertical="center"/>
    </xf>
    <xf numFmtId="0" fontId="50" fillId="7" borderId="0" xfId="0" applyFont="1" applyFill="1" applyAlignment="1">
      <alignment vertical="center"/>
    </xf>
    <xf numFmtId="0" fontId="25" fillId="7" borderId="0" xfId="0" applyFont="1" applyFill="1"/>
    <xf numFmtId="0" fontId="33" fillId="7" borderId="0" xfId="0" applyFont="1" applyFill="1" applyAlignment="1">
      <alignment vertical="top"/>
    </xf>
    <xf numFmtId="0" fontId="33" fillId="7" borderId="0" xfId="0" applyFont="1" applyFill="1" applyBorder="1" applyAlignment="1">
      <alignment vertical="center"/>
    </xf>
    <xf numFmtId="0" fontId="37" fillId="7" borderId="0" xfId="0" applyFont="1" applyFill="1" applyBorder="1" applyAlignment="1">
      <alignment horizontal="center" vertical="center"/>
    </xf>
    <xf numFmtId="0" fontId="25" fillId="4" borderId="8" xfId="0" applyFont="1" applyFill="1" applyBorder="1"/>
    <xf numFmtId="0" fontId="30" fillId="4" borderId="10" xfId="0" applyFont="1" applyFill="1" applyBorder="1" applyAlignment="1">
      <alignment vertical="center"/>
    </xf>
    <xf numFmtId="0" fontId="25" fillId="4" borderId="0" xfId="0" applyFont="1" applyFill="1" applyBorder="1"/>
    <xf numFmtId="0" fontId="25" fillId="4" borderId="0" xfId="0" applyFont="1" applyFill="1" applyBorder="1" applyAlignment="1">
      <alignment vertical="center"/>
    </xf>
    <xf numFmtId="0" fontId="36" fillId="11" borderId="6" xfId="0" applyFont="1" applyFill="1" applyBorder="1" applyAlignment="1">
      <alignment vertical="center" wrapText="1"/>
    </xf>
    <xf numFmtId="0" fontId="36" fillId="11" borderId="10" xfId="0" applyFont="1" applyFill="1" applyBorder="1" applyAlignment="1">
      <alignment vertical="center" wrapText="1"/>
    </xf>
    <xf numFmtId="0" fontId="36" fillId="11" borderId="16" xfId="0" applyFont="1" applyFill="1" applyBorder="1" applyAlignment="1">
      <alignment vertical="center" wrapText="1"/>
    </xf>
    <xf numFmtId="0" fontId="39" fillId="11" borderId="0" xfId="0" applyFont="1" applyFill="1" applyBorder="1" applyAlignment="1">
      <alignment vertical="center"/>
    </xf>
    <xf numFmtId="0" fontId="25" fillId="11" borderId="0" xfId="0" applyFont="1" applyFill="1"/>
    <xf numFmtId="0" fontId="33" fillId="11" borderId="0" xfId="0" applyFont="1" applyFill="1" applyBorder="1" applyAlignment="1">
      <alignment vertical="center"/>
    </xf>
    <xf numFmtId="0" fontId="38" fillId="11" borderId="0" xfId="0" applyFont="1" applyFill="1" applyBorder="1" applyAlignment="1">
      <alignment vertical="center" wrapText="1"/>
    </xf>
    <xf numFmtId="0" fontId="37" fillId="11" borderId="0" xfId="0" applyFont="1" applyFill="1" applyBorder="1" applyAlignment="1">
      <alignment horizontal="center" vertical="center"/>
    </xf>
    <xf numFmtId="0" fontId="36" fillId="11" borderId="6" xfId="0" applyFont="1" applyFill="1" applyBorder="1" applyAlignment="1">
      <alignment vertical="top" wrapText="1"/>
    </xf>
    <xf numFmtId="0" fontId="25" fillId="11" borderId="0" xfId="0" applyFont="1" applyFill="1" applyAlignment="1">
      <alignment vertical="center"/>
    </xf>
    <xf numFmtId="0" fontId="0" fillId="11" borderId="0" xfId="0" applyFill="1" applyAlignment="1">
      <alignment vertical="center"/>
    </xf>
    <xf numFmtId="0" fontId="49" fillId="4" borderId="6" xfId="0" applyFont="1" applyFill="1" applyBorder="1" applyAlignment="1">
      <alignment vertical="center"/>
    </xf>
    <xf numFmtId="0" fontId="25" fillId="4" borderId="7" xfId="0" applyFont="1" applyFill="1" applyBorder="1" applyAlignment="1">
      <alignment vertical="center"/>
    </xf>
    <xf numFmtId="0" fontId="25" fillId="4" borderId="8" xfId="0" applyFont="1" applyFill="1" applyBorder="1" applyAlignment="1">
      <alignment vertical="center"/>
    </xf>
    <xf numFmtId="0" fontId="25" fillId="4" borderId="0" xfId="0" applyFont="1" applyFill="1" applyBorder="1" applyAlignment="1">
      <alignment horizontal="right" vertical="center"/>
    </xf>
    <xf numFmtId="0" fontId="25" fillId="4" borderId="11" xfId="0" applyFont="1" applyFill="1" applyBorder="1" applyAlignment="1">
      <alignment vertical="center"/>
    </xf>
    <xf numFmtId="0" fontId="3" fillId="11" borderId="10" xfId="0" applyFont="1" applyFill="1" applyBorder="1" applyAlignment="1"/>
    <xf numFmtId="0" fontId="25" fillId="11" borderId="0" xfId="0" applyFont="1" applyFill="1" applyBorder="1" applyAlignment="1">
      <alignment horizontal="left"/>
    </xf>
    <xf numFmtId="0" fontId="25" fillId="11" borderId="0" xfId="0" applyFont="1" applyFill="1" applyBorder="1" applyAlignment="1">
      <alignment horizontal="left" vertical="center"/>
    </xf>
    <xf numFmtId="0" fontId="25" fillId="11" borderId="0" xfId="0" applyFont="1" applyFill="1" applyBorder="1" applyAlignment="1">
      <alignment horizontal="right" vertical="center"/>
    </xf>
    <xf numFmtId="0" fontId="25" fillId="11" borderId="11" xfId="0" applyFont="1" applyFill="1" applyBorder="1" applyAlignment="1">
      <alignment vertical="center"/>
    </xf>
    <xf numFmtId="0" fontId="25" fillId="11" borderId="10" xfId="0" applyFont="1" applyFill="1" applyBorder="1" applyAlignment="1">
      <alignment vertical="center"/>
    </xf>
    <xf numFmtId="0" fontId="25" fillId="11" borderId="0" xfId="0" applyFont="1" applyFill="1" applyBorder="1"/>
    <xf numFmtId="0" fontId="25" fillId="11" borderId="0" xfId="0" applyFont="1" applyFill="1" applyBorder="1" applyAlignment="1">
      <alignment vertical="center"/>
    </xf>
    <xf numFmtId="1" fontId="25" fillId="11" borderId="0" xfId="0" applyNumberFormat="1" applyFont="1" applyFill="1" applyBorder="1" applyAlignment="1">
      <alignment horizontal="right" vertical="center"/>
    </xf>
    <xf numFmtId="0" fontId="25" fillId="11" borderId="16" xfId="0" applyFont="1" applyFill="1" applyBorder="1" applyAlignment="1">
      <alignment vertical="center"/>
    </xf>
    <xf numFmtId="0" fontId="25" fillId="11" borderId="17" xfId="0" applyFont="1" applyFill="1" applyBorder="1"/>
    <xf numFmtId="0" fontId="25" fillId="11" borderId="17" xfId="0" applyFont="1" applyFill="1" applyBorder="1" applyAlignment="1">
      <alignment vertical="center"/>
    </xf>
    <xf numFmtId="164" fontId="25" fillId="11" borderId="17" xfId="0" applyNumberFormat="1" applyFont="1" applyFill="1" applyBorder="1" applyAlignment="1">
      <alignment horizontal="right" vertical="center"/>
    </xf>
    <xf numFmtId="0" fontId="25" fillId="11" borderId="15" xfId="0" applyFont="1" applyFill="1" applyBorder="1" applyAlignment="1">
      <alignment vertical="center"/>
    </xf>
    <xf numFmtId="0" fontId="33" fillId="11" borderId="0" xfId="0" applyFont="1" applyFill="1" applyAlignment="1">
      <alignment vertical="center"/>
    </xf>
    <xf numFmtId="0" fontId="30" fillId="4" borderId="6" xfId="0" applyFont="1" applyFill="1" applyBorder="1" applyAlignment="1">
      <alignment vertical="top"/>
    </xf>
    <xf numFmtId="0" fontId="25" fillId="4" borderId="11" xfId="0" applyFont="1" applyFill="1" applyBorder="1"/>
    <xf numFmtId="0" fontId="30" fillId="4" borderId="10" xfId="0" applyFont="1" applyFill="1" applyBorder="1" applyAlignment="1">
      <alignment vertical="top"/>
    </xf>
    <xf numFmtId="0" fontId="4" fillId="4" borderId="10" xfId="0" applyFont="1" applyFill="1" applyBorder="1" applyAlignment="1">
      <alignment vertical="top"/>
    </xf>
    <xf numFmtId="0" fontId="0" fillId="4" borderId="0" xfId="0" applyFill="1" applyBorder="1"/>
    <xf numFmtId="0" fontId="0" fillId="4" borderId="11" xfId="0" applyFill="1" applyBorder="1"/>
    <xf numFmtId="0" fontId="3" fillId="11" borderId="0" xfId="0" applyFont="1" applyFill="1" applyBorder="1" applyAlignment="1">
      <alignment vertical="center"/>
    </xf>
    <xf numFmtId="0" fontId="3" fillId="11" borderId="0" xfId="0" applyFont="1" applyFill="1" applyBorder="1" applyAlignment="1">
      <alignment vertical="top"/>
    </xf>
    <xf numFmtId="0" fontId="3" fillId="11" borderId="10" xfId="0" applyFont="1" applyFill="1" applyBorder="1" applyAlignment="1">
      <alignment vertical="top"/>
    </xf>
    <xf numFmtId="0" fontId="25" fillId="4" borderId="6" xfId="0" applyFont="1" applyFill="1" applyBorder="1" applyAlignment="1">
      <alignment horizontal="center" vertical="center"/>
    </xf>
    <xf numFmtId="0" fontId="25" fillId="4" borderId="7" xfId="0" applyFont="1" applyFill="1" applyBorder="1" applyAlignment="1">
      <alignment horizontal="center" vertical="center"/>
    </xf>
    <xf numFmtId="0" fontId="25" fillId="4" borderId="8" xfId="0" applyFont="1" applyFill="1" applyBorder="1" applyAlignment="1">
      <alignment horizontal="center" vertical="center"/>
    </xf>
    <xf numFmtId="1" fontId="25" fillId="0" borderId="11" xfId="0" applyNumberFormat="1" applyFont="1" applyFill="1" applyBorder="1" applyAlignment="1">
      <alignment horizontal="center" vertical="center"/>
    </xf>
    <xf numFmtId="0" fontId="25" fillId="4" borderId="10" xfId="0" applyFont="1" applyFill="1" applyBorder="1" applyAlignment="1">
      <alignment horizontal="center" vertical="center"/>
    </xf>
    <xf numFmtId="0" fontId="25" fillId="4" borderId="11" xfId="0" applyFont="1" applyFill="1" applyBorder="1" applyAlignment="1">
      <alignment horizontal="center" vertical="center"/>
    </xf>
    <xf numFmtId="0" fontId="25" fillId="0" borderId="16" xfId="0" applyFont="1" applyBorder="1" applyAlignment="1">
      <alignment horizontal="center" vertical="center"/>
    </xf>
    <xf numFmtId="0" fontId="25" fillId="0" borderId="17" xfId="0" applyFont="1" applyBorder="1" applyAlignment="1">
      <alignment horizontal="center" vertical="center"/>
    </xf>
    <xf numFmtId="0" fontId="25" fillId="0" borderId="15" xfId="0" applyFont="1" applyBorder="1" applyAlignment="1">
      <alignment horizontal="center" vertical="center"/>
    </xf>
    <xf numFmtId="0" fontId="57" fillId="0" borderId="0" xfId="0" applyFont="1" applyBorder="1" applyAlignment="1">
      <alignment horizontal="center" vertical="center"/>
    </xf>
    <xf numFmtId="0" fontId="4" fillId="4" borderId="6" xfId="0" applyFont="1" applyFill="1" applyBorder="1" applyAlignment="1">
      <alignment horizontal="left"/>
    </xf>
    <xf numFmtId="0" fontId="30" fillId="4" borderId="7" xfId="0" applyFont="1" applyFill="1" applyBorder="1"/>
    <xf numFmtId="0" fontId="30" fillId="4" borderId="7" xfId="0" applyFont="1" applyFill="1" applyBorder="1" applyAlignment="1">
      <alignment horizontal="center"/>
    </xf>
    <xf numFmtId="0" fontId="30" fillId="4" borderId="8" xfId="0" applyFont="1" applyFill="1" applyBorder="1" applyAlignment="1">
      <alignment horizontal="center"/>
    </xf>
    <xf numFmtId="0" fontId="25" fillId="11" borderId="10" xfId="0" applyFont="1" applyFill="1" applyBorder="1"/>
    <xf numFmtId="0" fontId="26" fillId="11" borderId="0" xfId="0" applyFont="1" applyFill="1" applyBorder="1"/>
    <xf numFmtId="166" fontId="25" fillId="11" borderId="0" xfId="0" applyNumberFormat="1" applyFont="1" applyFill="1" applyBorder="1"/>
    <xf numFmtId="166" fontId="25" fillId="11" borderId="11" xfId="0" applyNumberFormat="1" applyFont="1" applyFill="1" applyBorder="1"/>
    <xf numFmtId="2" fontId="25" fillId="11" borderId="0" xfId="0" applyNumberFormat="1" applyFont="1" applyFill="1" applyBorder="1"/>
    <xf numFmtId="2" fontId="25" fillId="11" borderId="11" xfId="0" applyNumberFormat="1" applyFont="1" applyFill="1" applyBorder="1"/>
    <xf numFmtId="164" fontId="30" fillId="4" borderId="7" xfId="0" applyNumberFormat="1" applyFont="1" applyFill="1" applyBorder="1" applyAlignment="1">
      <alignment horizontal="center"/>
    </xf>
    <xf numFmtId="1" fontId="25" fillId="11" borderId="0" xfId="0" applyNumberFormat="1" applyFont="1" applyFill="1" applyBorder="1"/>
    <xf numFmtId="1" fontId="25" fillId="11" borderId="11" xfId="0" applyNumberFormat="1" applyFont="1" applyFill="1" applyBorder="1"/>
    <xf numFmtId="164" fontId="25" fillId="11" borderId="0" xfId="0" applyNumberFormat="1" applyFont="1" applyFill="1" applyBorder="1"/>
    <xf numFmtId="164" fontId="25" fillId="11" borderId="11" xfId="0" applyNumberFormat="1" applyFont="1" applyFill="1" applyBorder="1"/>
    <xf numFmtId="0" fontId="28" fillId="11" borderId="16" xfId="0" applyFont="1" applyFill="1" applyBorder="1"/>
    <xf numFmtId="0" fontId="29" fillId="11" borderId="17" xfId="0" applyFont="1" applyFill="1" applyBorder="1" applyAlignment="1">
      <alignment horizontal="center"/>
    </xf>
    <xf numFmtId="164" fontId="29" fillId="11" borderId="17" xfId="0" applyNumberFormat="1" applyFont="1" applyFill="1" applyBorder="1"/>
    <xf numFmtId="164" fontId="29" fillId="11" borderId="15" xfId="0" applyNumberFormat="1" applyFont="1" applyFill="1" applyBorder="1"/>
    <xf numFmtId="164" fontId="25" fillId="4" borderId="0" xfId="0" applyNumberFormat="1" applyFont="1" applyFill="1" applyBorder="1" applyAlignment="1">
      <alignment horizontal="center"/>
    </xf>
    <xf numFmtId="0" fontId="25" fillId="4" borderId="0" xfId="0" applyFont="1" applyFill="1" applyBorder="1" applyAlignment="1">
      <alignment horizontal="center"/>
    </xf>
    <xf numFmtId="0" fontId="25" fillId="4" borderId="11" xfId="0" applyFont="1" applyFill="1" applyBorder="1" applyAlignment="1">
      <alignment horizontal="center"/>
    </xf>
    <xf numFmtId="0" fontId="29" fillId="11" borderId="17" xfId="0" applyFont="1" applyFill="1" applyBorder="1"/>
    <xf numFmtId="0" fontId="28" fillId="11" borderId="17" xfId="0" applyFont="1" applyFill="1" applyBorder="1" applyAlignment="1">
      <alignment horizontal="center"/>
    </xf>
    <xf numFmtId="2" fontId="28" fillId="11" borderId="17" xfId="0" applyNumberFormat="1" applyFont="1" applyFill="1" applyBorder="1"/>
    <xf numFmtId="2" fontId="28" fillId="11" borderId="15" xfId="0" applyNumberFormat="1" applyFont="1" applyFill="1" applyBorder="1"/>
    <xf numFmtId="0" fontId="26" fillId="11" borderId="1" xfId="0" quotePrefix="1" applyFont="1" applyFill="1" applyBorder="1" applyAlignment="1">
      <alignment horizontal="left"/>
    </xf>
    <xf numFmtId="0" fontId="26" fillId="11" borderId="0" xfId="0" quotePrefix="1" applyFont="1" applyFill="1" applyBorder="1" applyAlignment="1">
      <alignment horizontal="left"/>
    </xf>
    <xf numFmtId="0" fontId="0" fillId="11" borderId="0" xfId="0" applyFill="1" applyAlignment="1">
      <alignment vertical="top"/>
    </xf>
    <xf numFmtId="2" fontId="0" fillId="3" borderId="21" xfId="0" applyNumberFormat="1" applyFill="1" applyBorder="1"/>
    <xf numFmtId="164" fontId="25" fillId="2" borderId="10" xfId="0" applyNumberFormat="1" applyFont="1" applyFill="1" applyBorder="1" applyAlignment="1">
      <alignment horizontal="center" vertical="center"/>
    </xf>
    <xf numFmtId="164" fontId="25" fillId="2" borderId="0" xfId="0" applyNumberFormat="1" applyFont="1" applyFill="1" applyBorder="1" applyAlignment="1">
      <alignment horizontal="center" vertical="center"/>
    </xf>
    <xf numFmtId="164" fontId="25" fillId="2" borderId="11"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1" fontId="25" fillId="2" borderId="11" xfId="0" applyNumberFormat="1" applyFont="1" applyFill="1" applyBorder="1" applyAlignment="1">
      <alignment horizontal="center" vertical="center"/>
    </xf>
    <xf numFmtId="164" fontId="25" fillId="17" borderId="0" xfId="0" applyNumberFormat="1" applyFont="1" applyFill="1" applyBorder="1" applyAlignment="1">
      <alignment horizontal="left" vertical="center"/>
    </xf>
    <xf numFmtId="0" fontId="68" fillId="0" borderId="0" xfId="0" applyFont="1" applyAlignment="1">
      <alignment vertical="center"/>
    </xf>
    <xf numFmtId="0" fontId="36" fillId="11" borderId="0" xfId="0" applyFont="1" applyFill="1" applyBorder="1" applyAlignment="1">
      <alignment vertical="center" wrapText="1"/>
    </xf>
    <xf numFmtId="0" fontId="36" fillId="11" borderId="0" xfId="0" applyFont="1" applyFill="1" applyBorder="1" applyAlignment="1">
      <alignment horizontal="center" vertical="center"/>
    </xf>
    <xf numFmtId="0" fontId="36" fillId="11" borderId="0" xfId="0" applyFont="1" applyFill="1" applyBorder="1" applyAlignment="1">
      <alignment horizontal="left" vertical="center"/>
    </xf>
    <xf numFmtId="0" fontId="36" fillId="11" borderId="0" xfId="0" applyFont="1" applyFill="1" applyAlignment="1">
      <alignment horizontal="center" vertical="center"/>
    </xf>
    <xf numFmtId="0" fontId="44" fillId="11" borderId="0" xfId="0" applyFont="1" applyFill="1" applyBorder="1" applyAlignment="1">
      <alignment horizontal="center" vertical="center"/>
    </xf>
    <xf numFmtId="0" fontId="36" fillId="2" borderId="17" xfId="0" applyFont="1" applyFill="1" applyBorder="1" applyAlignment="1">
      <alignment horizontal="center" vertical="center"/>
    </xf>
    <xf numFmtId="0" fontId="36" fillId="2" borderId="15" xfId="0" applyFont="1" applyFill="1" applyBorder="1" applyAlignment="1">
      <alignment horizontal="center" vertical="center"/>
    </xf>
    <xf numFmtId="0" fontId="35" fillId="18" borderId="68" xfId="0" applyFont="1" applyFill="1" applyBorder="1" applyAlignment="1">
      <alignment horizontal="left" vertical="center"/>
    </xf>
    <xf numFmtId="0" fontId="36" fillId="9" borderId="69" xfId="0" applyFont="1" applyFill="1" applyBorder="1" applyAlignment="1">
      <alignment vertical="center" wrapText="1"/>
    </xf>
    <xf numFmtId="0" fontId="36" fillId="2" borderId="69" xfId="0" applyFont="1" applyFill="1" applyBorder="1" applyAlignment="1">
      <alignment vertical="center" wrapText="1"/>
    </xf>
    <xf numFmtId="0" fontId="36" fillId="2" borderId="67" xfId="0" applyFont="1" applyFill="1" applyBorder="1" applyAlignment="1">
      <alignment vertical="center" wrapText="1"/>
    </xf>
    <xf numFmtId="0" fontId="36" fillId="9" borderId="69" xfId="0" applyFont="1" applyFill="1" applyBorder="1" applyAlignment="1">
      <alignment horizontal="left" vertical="center"/>
    </xf>
    <xf numFmtId="164" fontId="36" fillId="9" borderId="69" xfId="0" applyNumberFormat="1" applyFont="1" applyFill="1" applyBorder="1" applyAlignment="1">
      <alignment horizontal="left" vertical="center"/>
    </xf>
    <xf numFmtId="164" fontId="25" fillId="17" borderId="69" xfId="0" applyNumberFormat="1" applyFont="1" applyFill="1" applyBorder="1" applyAlignment="1">
      <alignment horizontal="left" vertical="center"/>
    </xf>
    <xf numFmtId="0" fontId="36" fillId="9" borderId="67" xfId="0" applyFont="1" applyFill="1" applyBorder="1" applyAlignment="1">
      <alignment vertical="center" wrapText="1"/>
    </xf>
    <xf numFmtId="0" fontId="68" fillId="11" borderId="0" xfId="0" applyFont="1" applyFill="1" applyAlignment="1">
      <alignment vertical="center"/>
    </xf>
    <xf numFmtId="0" fontId="9" fillId="17" borderId="23" xfId="0" applyFont="1" applyFill="1" applyBorder="1" applyAlignment="1">
      <alignment horizontal="center"/>
    </xf>
    <xf numFmtId="2" fontId="0" fillId="0" borderId="0" xfId="0" applyNumberFormat="1" applyBorder="1"/>
    <xf numFmtId="168" fontId="0" fillId="0" borderId="0" xfId="0" applyNumberFormat="1" applyBorder="1"/>
    <xf numFmtId="2" fontId="5" fillId="0" borderId="0" xfId="0" applyNumberFormat="1" applyFont="1" applyBorder="1" applyAlignment="1">
      <alignment horizontal="right"/>
    </xf>
    <xf numFmtId="166" fontId="5" fillId="0" borderId="0" xfId="0" applyNumberFormat="1" applyFont="1" applyBorder="1" applyAlignment="1">
      <alignment horizontal="right"/>
    </xf>
    <xf numFmtId="0" fontId="28" fillId="11" borderId="17" xfId="0" applyFont="1" applyFill="1" applyBorder="1"/>
    <xf numFmtId="0" fontId="0" fillId="11" borderId="0" xfId="0" applyFill="1" applyBorder="1"/>
    <xf numFmtId="0" fontId="9" fillId="11" borderId="0" xfId="0" quotePrefix="1" applyFont="1" applyFill="1" applyBorder="1"/>
    <xf numFmtId="0" fontId="19" fillId="11" borderId="0" xfId="0" applyFont="1" applyFill="1" applyBorder="1"/>
    <xf numFmtId="0" fontId="4" fillId="11" borderId="0" xfId="0" applyFont="1" applyFill="1" applyBorder="1" applyAlignment="1">
      <alignment vertical="center"/>
    </xf>
    <xf numFmtId="0" fontId="33" fillId="0" borderId="0" xfId="0" applyFont="1" applyFill="1" applyAlignment="1">
      <alignment vertical="center"/>
    </xf>
    <xf numFmtId="0" fontId="0" fillId="0" borderId="0" xfId="0" applyFont="1" applyFill="1" applyBorder="1" applyAlignment="1">
      <alignment horizontal="left" vertical="center"/>
    </xf>
    <xf numFmtId="0" fontId="46" fillId="0" borderId="0" xfId="0" applyFont="1" applyFill="1" applyAlignment="1">
      <alignment vertical="center"/>
    </xf>
    <xf numFmtId="0" fontId="1" fillId="5" borderId="61" xfId="0" applyFont="1" applyFill="1" applyBorder="1" applyAlignment="1">
      <alignment vertical="center"/>
    </xf>
    <xf numFmtId="0" fontId="25" fillId="0" borderId="0" xfId="0" applyFont="1" applyBorder="1" applyAlignment="1">
      <alignment vertical="top"/>
    </xf>
    <xf numFmtId="0" fontId="25" fillId="0" borderId="0" xfId="0" applyFont="1" applyBorder="1" applyAlignment="1">
      <alignment horizontal="center" vertical="center"/>
    </xf>
    <xf numFmtId="0" fontId="25" fillId="11" borderId="0" xfId="0" applyFont="1" applyFill="1" applyBorder="1" applyAlignment="1">
      <alignment horizontal="center" vertical="center"/>
    </xf>
    <xf numFmtId="0" fontId="25" fillId="11" borderId="0" xfId="0" applyFont="1" applyFill="1" applyBorder="1" applyAlignment="1">
      <alignment horizontal="center" vertical="top"/>
    </xf>
    <xf numFmtId="0" fontId="1" fillId="5" borderId="61" xfId="0" applyFont="1" applyFill="1" applyBorder="1" applyAlignment="1">
      <alignment vertical="center" wrapText="1"/>
    </xf>
    <xf numFmtId="2" fontId="36" fillId="2" borderId="10" xfId="0" applyNumberFormat="1" applyFont="1" applyFill="1" applyBorder="1" applyAlignment="1">
      <alignment horizontal="center" vertical="center"/>
    </xf>
    <xf numFmtId="167" fontId="36" fillId="2" borderId="16" xfId="0" applyNumberFormat="1" applyFont="1" applyFill="1" applyBorder="1" applyAlignment="1">
      <alignment horizontal="center" vertical="center"/>
    </xf>
    <xf numFmtId="0" fontId="42" fillId="2" borderId="19" xfId="0" applyFont="1" applyFill="1" applyBorder="1" applyAlignment="1">
      <alignment horizontal="center" vertical="center"/>
    </xf>
    <xf numFmtId="164" fontId="8" fillId="2" borderId="4" xfId="0" applyNumberFormat="1" applyFont="1" applyFill="1" applyBorder="1" applyAlignment="1">
      <alignment horizontal="center" vertical="center" wrapText="1"/>
    </xf>
    <xf numFmtId="2" fontId="8" fillId="2" borderId="0" xfId="0" applyNumberFormat="1" applyFont="1" applyFill="1" applyBorder="1" applyAlignment="1">
      <alignment horizontal="center" vertical="center" wrapText="1"/>
    </xf>
    <xf numFmtId="167" fontId="8" fillId="2" borderId="3" xfId="0" applyNumberFormat="1" applyFont="1" applyFill="1" applyBorder="1" applyAlignment="1">
      <alignment horizontal="center" vertical="center" wrapText="1"/>
    </xf>
    <xf numFmtId="167" fontId="8" fillId="2" borderId="4" xfId="0" applyNumberFormat="1" applyFont="1" applyFill="1" applyBorder="1" applyAlignment="1">
      <alignment horizontal="center" vertical="center" wrapText="1"/>
    </xf>
    <xf numFmtId="2" fontId="8" fillId="2" borderId="4" xfId="0" applyNumberFormat="1" applyFont="1" applyFill="1" applyBorder="1" applyAlignment="1">
      <alignment horizontal="center" vertical="center" wrapText="1"/>
    </xf>
    <xf numFmtId="2" fontId="8" fillId="2" borderId="5" xfId="0" applyNumberFormat="1" applyFont="1" applyFill="1" applyBorder="1" applyAlignment="1">
      <alignment horizontal="center" vertical="center" wrapText="1"/>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168" fontId="8" fillId="20" borderId="3" xfId="0" applyNumberFormat="1" applyFont="1" applyFill="1" applyBorder="1" applyAlignment="1">
      <alignment horizontal="center" vertical="center" wrapText="1"/>
    </xf>
    <xf numFmtId="168" fontId="8" fillId="20" borderId="4" xfId="0" applyNumberFormat="1" applyFont="1" applyFill="1" applyBorder="1" applyAlignment="1">
      <alignment horizontal="center" vertical="center" wrapText="1"/>
    </xf>
    <xf numFmtId="167" fontId="8" fillId="20" borderId="4" xfId="0" applyNumberFormat="1" applyFont="1" applyFill="1" applyBorder="1" applyAlignment="1">
      <alignment horizontal="center" vertical="center" wrapText="1"/>
    </xf>
    <xf numFmtId="167" fontId="8" fillId="20" borderId="5" xfId="0" applyNumberFormat="1" applyFont="1" applyFill="1" applyBorder="1" applyAlignment="1">
      <alignment horizontal="center" vertical="center" wrapText="1"/>
    </xf>
    <xf numFmtId="168" fontId="8" fillId="20" borderId="9" xfId="0" applyNumberFormat="1" applyFont="1" applyFill="1" applyBorder="1" applyAlignment="1">
      <alignment horizontal="center" vertical="center" wrapText="1"/>
    </xf>
    <xf numFmtId="168" fontId="8" fillId="20" borderId="0" xfId="0" applyNumberFormat="1" applyFont="1" applyFill="1" applyBorder="1" applyAlignment="1">
      <alignment horizontal="center" vertical="center" wrapText="1"/>
    </xf>
    <xf numFmtId="166" fontId="8" fillId="20" borderId="0" xfId="0" applyNumberFormat="1" applyFont="1" applyFill="1" applyBorder="1" applyAlignment="1">
      <alignment horizontal="center" vertical="center" wrapText="1"/>
    </xf>
    <xf numFmtId="166" fontId="8" fillId="20" borderId="1" xfId="0" applyNumberFormat="1" applyFont="1" applyFill="1" applyBorder="1" applyAlignment="1">
      <alignment horizontal="center" vertical="center" wrapText="1"/>
    </xf>
    <xf numFmtId="0" fontId="8" fillId="20" borderId="9" xfId="0" applyFont="1" applyFill="1" applyBorder="1" applyAlignment="1">
      <alignment horizontal="center" vertical="center"/>
    </xf>
    <xf numFmtId="0" fontId="8" fillId="20" borderId="0" xfId="0" applyFont="1" applyFill="1" applyBorder="1" applyAlignment="1">
      <alignment horizontal="center" vertical="center"/>
    </xf>
    <xf numFmtId="0" fontId="8" fillId="20" borderId="1" xfId="0" applyFont="1" applyFill="1" applyBorder="1" applyAlignment="1">
      <alignment horizontal="center" vertical="center"/>
    </xf>
    <xf numFmtId="0" fontId="8" fillId="2" borderId="18" xfId="0" applyFont="1" applyFill="1" applyBorder="1" applyAlignment="1">
      <alignment horizontal="center" vertical="center"/>
    </xf>
    <xf numFmtId="168" fontId="43" fillId="16" borderId="0" xfId="0" applyNumberFormat="1" applyFont="1" applyFill="1" applyBorder="1" applyAlignment="1">
      <alignment horizontal="center" vertical="center"/>
    </xf>
    <xf numFmtId="2" fontId="25" fillId="17" borderId="10" xfId="0" applyNumberFormat="1" applyFont="1" applyFill="1" applyBorder="1" applyAlignment="1">
      <alignment horizontal="center" vertical="center"/>
    </xf>
    <xf numFmtId="165" fontId="36" fillId="9" borderId="10" xfId="0" applyNumberFormat="1" applyFont="1" applyFill="1" applyBorder="1" applyAlignment="1">
      <alignment horizontal="center" vertical="center"/>
    </xf>
    <xf numFmtId="2" fontId="36" fillId="9" borderId="10" xfId="0" applyNumberFormat="1" applyFont="1" applyFill="1" applyBorder="1" applyAlignment="1">
      <alignment horizontal="center" vertical="center"/>
    </xf>
    <xf numFmtId="165" fontId="36" fillId="9" borderId="16" xfId="0" applyNumberFormat="1" applyFont="1" applyFill="1" applyBorder="1" applyAlignment="1">
      <alignment horizontal="center" vertical="center"/>
    </xf>
    <xf numFmtId="167" fontId="36" fillId="2" borderId="0" xfId="0" applyNumberFormat="1" applyFont="1" applyFill="1" applyBorder="1" applyAlignment="1">
      <alignment horizontal="center" vertical="center"/>
    </xf>
    <xf numFmtId="165" fontId="36" fillId="2" borderId="0" xfId="0" applyNumberFormat="1" applyFont="1" applyFill="1" applyBorder="1" applyAlignment="1">
      <alignment horizontal="center" vertical="center"/>
    </xf>
    <xf numFmtId="2" fontId="36" fillId="2" borderId="0" xfId="0" applyNumberFormat="1" applyFont="1" applyFill="1" applyBorder="1" applyAlignment="1">
      <alignment horizontal="center" vertical="center"/>
    </xf>
    <xf numFmtId="164" fontId="36" fillId="2" borderId="0" xfId="0" applyNumberFormat="1" applyFont="1" applyFill="1" applyBorder="1" applyAlignment="1">
      <alignment horizontal="center" vertical="center"/>
    </xf>
    <xf numFmtId="164" fontId="36" fillId="2" borderId="10" xfId="0" applyNumberFormat="1" applyFont="1" applyFill="1" applyBorder="1" applyAlignment="1">
      <alignment horizontal="center" vertical="center"/>
    </xf>
    <xf numFmtId="167" fontId="36" fillId="2" borderId="17" xfId="0" applyNumberFormat="1" applyFont="1" applyFill="1" applyBorder="1" applyAlignment="1">
      <alignment horizontal="center" vertical="center"/>
    </xf>
    <xf numFmtId="165" fontId="36" fillId="2" borderId="17" xfId="0" applyNumberFormat="1" applyFont="1" applyFill="1" applyBorder="1" applyAlignment="1">
      <alignment horizontal="center" vertical="center"/>
    </xf>
    <xf numFmtId="165" fontId="36" fillId="2" borderId="10" xfId="0" applyNumberFormat="1" applyFont="1" applyFill="1" applyBorder="1" applyAlignment="1">
      <alignment horizontal="center" vertical="center"/>
    </xf>
    <xf numFmtId="165" fontId="36" fillId="9" borderId="0" xfId="0" applyNumberFormat="1" applyFont="1" applyFill="1" applyBorder="1" applyAlignment="1">
      <alignment horizontal="center" vertical="center"/>
    </xf>
    <xf numFmtId="2" fontId="36" fillId="9" borderId="0" xfId="0" applyNumberFormat="1" applyFont="1" applyFill="1" applyBorder="1" applyAlignment="1">
      <alignment horizontal="center" vertical="center"/>
    </xf>
    <xf numFmtId="165" fontId="36" fillId="9" borderId="17" xfId="0" applyNumberFormat="1" applyFont="1" applyFill="1" applyBorder="1" applyAlignment="1">
      <alignment horizontal="center" vertical="center"/>
    </xf>
    <xf numFmtId="165" fontId="43" fillId="2" borderId="13" xfId="0" applyNumberFormat="1" applyFont="1" applyFill="1" applyBorder="1" applyAlignment="1">
      <alignment horizontal="center" vertical="center" wrapText="1"/>
    </xf>
    <xf numFmtId="0" fontId="8" fillId="11" borderId="18" xfId="0" applyFont="1" applyFill="1" applyBorder="1" applyAlignment="1">
      <alignment vertical="center"/>
    </xf>
    <xf numFmtId="0" fontId="8" fillId="0" borderId="18" xfId="0" applyFont="1" applyFill="1" applyBorder="1" applyAlignment="1">
      <alignment vertical="center"/>
    </xf>
    <xf numFmtId="0" fontId="8" fillId="2" borderId="19" xfId="0" applyFont="1" applyFill="1" applyBorder="1" applyAlignment="1">
      <alignment horizontal="center" vertical="center"/>
    </xf>
    <xf numFmtId="165" fontId="43" fillId="2" borderId="19" xfId="0" applyNumberFormat="1" applyFont="1" applyFill="1" applyBorder="1" applyAlignment="1">
      <alignment horizontal="center" vertical="center"/>
    </xf>
    <xf numFmtId="2" fontId="45" fillId="2" borderId="0" xfId="0" applyNumberFormat="1" applyFont="1" applyFill="1" applyBorder="1" applyAlignment="1">
      <alignment horizontal="center" vertical="center"/>
    </xf>
    <xf numFmtId="164" fontId="45" fillId="2" borderId="0" xfId="0" applyNumberFormat="1" applyFont="1" applyFill="1" applyBorder="1" applyAlignment="1">
      <alignment horizontal="center" vertical="center"/>
    </xf>
    <xf numFmtId="1" fontId="36" fillId="2" borderId="11" xfId="0" applyNumberFormat="1" applyFont="1" applyFill="1" applyBorder="1" applyAlignment="1">
      <alignment horizontal="center" vertical="center"/>
    </xf>
    <xf numFmtId="164" fontId="45" fillId="2" borderId="11" xfId="0" applyNumberFormat="1" applyFont="1" applyFill="1" applyBorder="1" applyAlignment="1">
      <alignment horizontal="center" vertical="center"/>
    </xf>
    <xf numFmtId="0" fontId="25" fillId="19" borderId="0" xfId="0" applyFont="1" applyFill="1" applyBorder="1" applyAlignment="1">
      <alignment vertical="top" wrapText="1"/>
    </xf>
    <xf numFmtId="0" fontId="3" fillId="19" borderId="0" xfId="0" applyFont="1" applyFill="1" applyBorder="1" applyAlignment="1">
      <alignment vertical="top"/>
    </xf>
    <xf numFmtId="0" fontId="3" fillId="19" borderId="0" xfId="0" applyFont="1" applyFill="1" applyBorder="1" applyAlignment="1">
      <alignment vertical="top" wrapText="1"/>
    </xf>
    <xf numFmtId="0" fontId="3" fillId="19" borderId="0" xfId="0" applyFont="1" applyFill="1" applyBorder="1" applyAlignment="1">
      <alignment horizontal="center" vertical="top"/>
    </xf>
    <xf numFmtId="0" fontId="3" fillId="19" borderId="0" xfId="0" applyFont="1" applyFill="1" applyAlignment="1">
      <alignment vertical="top"/>
    </xf>
    <xf numFmtId="0" fontId="0" fillId="19" borderId="0" xfId="0" applyFill="1"/>
    <xf numFmtId="0" fontId="42" fillId="0" borderId="0" xfId="0" applyFont="1" applyBorder="1" applyAlignment="1">
      <alignment vertical="top"/>
    </xf>
    <xf numFmtId="0" fontId="42" fillId="0" borderId="0" xfId="0" applyFont="1" applyBorder="1" applyAlignment="1">
      <alignment vertical="top" wrapText="1"/>
    </xf>
    <xf numFmtId="0" fontId="42" fillId="0" borderId="0" xfId="0" applyFont="1" applyFill="1" applyBorder="1" applyAlignment="1">
      <alignment vertical="top" wrapText="1"/>
    </xf>
    <xf numFmtId="0" fontId="42" fillId="10" borderId="0" xfId="0" applyFont="1" applyFill="1" applyBorder="1" applyAlignment="1">
      <alignment vertical="top" wrapText="1"/>
    </xf>
    <xf numFmtId="0" fontId="8" fillId="0" borderId="0" xfId="0" applyFont="1" applyBorder="1" applyAlignment="1">
      <alignment vertical="top" wrapText="1"/>
    </xf>
    <xf numFmtId="2" fontId="63" fillId="11" borderId="0" xfId="0" applyNumberFormat="1" applyFont="1" applyFill="1"/>
    <xf numFmtId="0" fontId="63" fillId="11" borderId="0" xfId="0" applyFont="1" applyFill="1"/>
    <xf numFmtId="2" fontId="63" fillId="11" borderId="0" xfId="0" applyNumberFormat="1" applyFont="1" applyFill="1" applyAlignment="1">
      <alignment horizontal="right"/>
    </xf>
    <xf numFmtId="165" fontId="63" fillId="11" borderId="0" xfId="0" applyNumberFormat="1" applyFont="1" applyFill="1" applyAlignment="1">
      <alignment horizontal="center"/>
    </xf>
    <xf numFmtId="2" fontId="63" fillId="11" borderId="0" xfId="0" applyNumberFormat="1" applyFont="1" applyFill="1" applyAlignment="1">
      <alignment horizontal="center"/>
    </xf>
    <xf numFmtId="0" fontId="63" fillId="11" borderId="0" xfId="0" applyFont="1" applyFill="1" applyAlignment="1">
      <alignment horizontal="center"/>
    </xf>
    <xf numFmtId="164" fontId="63" fillId="11" borderId="0" xfId="0" applyNumberFormat="1" applyFont="1" applyFill="1"/>
    <xf numFmtId="0" fontId="0" fillId="7" borderId="0" xfId="0" applyFill="1" applyBorder="1"/>
    <xf numFmtId="0" fontId="30" fillId="4" borderId="6" xfId="0" applyFont="1" applyFill="1" applyBorder="1" applyAlignment="1">
      <alignment vertical="center"/>
    </xf>
    <xf numFmtId="0" fontId="25" fillId="7" borderId="10" xfId="0" applyFont="1" applyFill="1" applyBorder="1" applyAlignment="1">
      <alignment vertical="center"/>
    </xf>
    <xf numFmtId="0" fontId="25" fillId="7" borderId="10" xfId="0" applyFont="1" applyFill="1" applyBorder="1" applyAlignment="1">
      <alignment vertical="center" wrapText="1"/>
    </xf>
    <xf numFmtId="0" fontId="25" fillId="4" borderId="0" xfId="0" applyFont="1" applyFill="1" applyBorder="1" applyAlignment="1">
      <alignment horizontal="left" vertical="center" wrapText="1"/>
    </xf>
    <xf numFmtId="0" fontId="25" fillId="4" borderId="11" xfId="0" applyFont="1" applyFill="1" applyBorder="1" applyAlignment="1">
      <alignment horizontal="left" vertical="center" wrapText="1"/>
    </xf>
    <xf numFmtId="0" fontId="25" fillId="7" borderId="16" xfId="0" applyFont="1" applyFill="1" applyBorder="1" applyAlignment="1">
      <alignment vertical="center"/>
    </xf>
    <xf numFmtId="0" fontId="26" fillId="2" borderId="28"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6" fillId="2" borderId="5" xfId="0" applyFont="1" applyFill="1" applyBorder="1" applyAlignment="1">
      <alignment horizontal="center" vertical="center" wrapText="1"/>
    </xf>
    <xf numFmtId="2" fontId="36" fillId="9" borderId="11" xfId="0" applyNumberFormat="1" applyFont="1" applyFill="1" applyBorder="1" applyAlignment="1">
      <alignment horizontal="center" vertical="center"/>
    </xf>
    <xf numFmtId="2" fontId="25" fillId="2" borderId="11" xfId="0" applyNumberFormat="1" applyFont="1" applyFill="1" applyBorder="1" applyAlignment="1">
      <alignment horizontal="center" vertical="center"/>
    </xf>
    <xf numFmtId="0" fontId="63" fillId="20" borderId="23" xfId="0" applyFont="1" applyFill="1" applyBorder="1" applyAlignment="1">
      <alignment vertical="center" wrapText="1"/>
    </xf>
    <xf numFmtId="165" fontId="43" fillId="2" borderId="12" xfId="0" applyNumberFormat="1" applyFont="1" applyFill="1" applyBorder="1" applyAlignment="1">
      <alignment horizontal="center" vertical="center" wrapText="1"/>
    </xf>
    <xf numFmtId="167" fontId="43" fillId="20" borderId="18" xfId="0" applyNumberFormat="1" applyFont="1" applyFill="1" applyBorder="1" applyAlignment="1">
      <alignment horizontal="center" vertical="center" wrapText="1"/>
    </xf>
    <xf numFmtId="167" fontId="43" fillId="2" borderId="18" xfId="0" applyNumberFormat="1" applyFont="1" applyFill="1" applyBorder="1" applyAlignment="1">
      <alignment horizontal="center" vertical="center" wrapText="1"/>
    </xf>
    <xf numFmtId="165" fontId="43" fillId="2" borderId="18" xfId="0" applyNumberFormat="1" applyFont="1" applyFill="1" applyBorder="1" applyAlignment="1">
      <alignment horizontal="center" vertical="center" wrapText="1"/>
    </xf>
    <xf numFmtId="0" fontId="43" fillId="12" borderId="19" xfId="0" applyFont="1" applyFill="1" applyBorder="1" applyAlignment="1">
      <alignment horizontal="center" vertical="center"/>
    </xf>
    <xf numFmtId="167" fontId="43" fillId="2" borderId="9" xfId="0" applyNumberFormat="1" applyFont="1" applyFill="1" applyBorder="1" applyAlignment="1">
      <alignment horizontal="center" vertical="center" wrapText="1"/>
    </xf>
    <xf numFmtId="2" fontId="43" fillId="2" borderId="18" xfId="0" applyNumberFormat="1" applyFont="1" applyFill="1" applyBorder="1" applyAlignment="1">
      <alignment horizontal="center" vertical="center" wrapText="1"/>
    </xf>
    <xf numFmtId="165" fontId="43" fillId="2" borderId="9" xfId="0" applyNumberFormat="1" applyFont="1" applyFill="1" applyBorder="1" applyAlignment="1">
      <alignment horizontal="center" vertical="center" wrapText="1"/>
    </xf>
    <xf numFmtId="1" fontId="43" fillId="2" borderId="18" xfId="0" applyNumberFormat="1" applyFont="1" applyFill="1" applyBorder="1" applyAlignment="1">
      <alignment horizontal="center" vertical="center" wrapText="1"/>
    </xf>
    <xf numFmtId="0" fontId="25" fillId="11" borderId="0" xfId="0" applyFont="1" applyFill="1" applyAlignment="1"/>
    <xf numFmtId="0" fontId="35" fillId="11" borderId="0" xfId="0" applyFont="1" applyFill="1" applyBorder="1" applyAlignment="1">
      <alignment vertical="center" wrapText="1"/>
    </xf>
    <xf numFmtId="0" fontId="35" fillId="12" borderId="19" xfId="0" applyFont="1" applyFill="1" applyBorder="1" applyAlignment="1">
      <alignment vertical="center" wrapText="1"/>
    </xf>
    <xf numFmtId="0" fontId="30" fillId="12" borderId="12" xfId="0" applyFont="1" applyFill="1" applyBorder="1" applyAlignment="1">
      <alignment vertical="center"/>
    </xf>
    <xf numFmtId="0" fontId="30" fillId="12" borderId="18" xfId="0" applyFont="1" applyFill="1" applyBorder="1" applyAlignment="1">
      <alignment vertical="center"/>
    </xf>
    <xf numFmtId="0" fontId="30" fillId="12" borderId="9" xfId="0" applyFont="1" applyFill="1" applyBorder="1" applyAlignment="1">
      <alignment vertical="center"/>
    </xf>
    <xf numFmtId="0" fontId="30" fillId="12" borderId="22" xfId="0" applyFont="1" applyFill="1" applyBorder="1" applyAlignment="1">
      <alignment vertical="center"/>
    </xf>
    <xf numFmtId="0" fontId="49" fillId="12" borderId="21" xfId="0" applyFont="1" applyFill="1" applyBorder="1" applyAlignment="1">
      <alignment vertical="center"/>
    </xf>
    <xf numFmtId="0" fontId="49" fillId="12" borderId="22" xfId="0" applyFont="1" applyFill="1" applyBorder="1" applyAlignment="1">
      <alignment vertical="center"/>
    </xf>
    <xf numFmtId="0" fontId="49" fillId="12" borderId="2" xfId="0" applyFont="1" applyFill="1" applyBorder="1" applyAlignment="1">
      <alignment vertical="center"/>
    </xf>
    <xf numFmtId="0" fontId="35" fillId="11" borderId="19" xfId="0" applyFont="1" applyFill="1" applyBorder="1" applyAlignment="1">
      <alignment vertical="center" wrapText="1"/>
    </xf>
    <xf numFmtId="0" fontId="35" fillId="11" borderId="20" xfId="0" applyFont="1" applyFill="1" applyBorder="1" applyAlignment="1">
      <alignment vertical="center" wrapText="1"/>
    </xf>
    <xf numFmtId="0" fontId="35" fillId="11" borderId="5" xfId="0" applyFont="1" applyFill="1" applyBorder="1" applyAlignment="1">
      <alignment vertical="center" wrapText="1"/>
    </xf>
    <xf numFmtId="0" fontId="36" fillId="11" borderId="19" xfId="0" applyFont="1" applyFill="1" applyBorder="1" applyAlignment="1">
      <alignment vertical="center" wrapText="1"/>
    </xf>
    <xf numFmtId="0" fontId="36" fillId="11" borderId="4" xfId="0" applyFont="1" applyFill="1" applyBorder="1" applyAlignment="1">
      <alignment vertical="center" wrapText="1"/>
    </xf>
    <xf numFmtId="0" fontId="36" fillId="11" borderId="13" xfId="0" applyFont="1" applyFill="1" applyBorder="1" applyAlignment="1">
      <alignment vertical="center" wrapText="1"/>
    </xf>
    <xf numFmtId="0" fontId="39" fillId="11" borderId="0" xfId="0" applyFont="1" applyFill="1" applyBorder="1" applyAlignment="1">
      <alignment vertical="center" wrapText="1"/>
    </xf>
    <xf numFmtId="0" fontId="25" fillId="4" borderId="0" xfId="0" applyFont="1" applyFill="1"/>
    <xf numFmtId="0" fontId="71" fillId="0" borderId="0" xfId="0" applyFont="1" applyFill="1"/>
    <xf numFmtId="0" fontId="35" fillId="11" borderId="23" xfId="0" applyFont="1" applyFill="1" applyBorder="1" applyAlignment="1">
      <alignment vertical="center" wrapText="1"/>
    </xf>
    <xf numFmtId="0" fontId="45" fillId="0" borderId="21" xfId="0" applyFont="1" applyFill="1" applyBorder="1" applyAlignment="1">
      <alignment vertical="center" wrapText="1"/>
    </xf>
    <xf numFmtId="0" fontId="35" fillId="12" borderId="20" xfId="0" applyFont="1" applyFill="1" applyBorder="1" applyAlignment="1">
      <alignment vertical="center" wrapText="1"/>
    </xf>
    <xf numFmtId="165" fontId="43" fillId="2" borderId="0" xfId="0" applyNumberFormat="1" applyFont="1" applyFill="1" applyBorder="1" applyAlignment="1">
      <alignment horizontal="center" vertical="center" wrapText="1"/>
    </xf>
    <xf numFmtId="167" fontId="43" fillId="2" borderId="0" xfId="0" applyNumberFormat="1" applyFont="1" applyFill="1" applyBorder="1" applyAlignment="1">
      <alignment horizontal="center" vertical="center" wrapText="1"/>
    </xf>
    <xf numFmtId="167" fontId="43" fillId="2" borderId="1" xfId="0" applyNumberFormat="1" applyFont="1" applyFill="1" applyBorder="1" applyAlignment="1">
      <alignment horizontal="center" vertical="center" wrapText="1"/>
    </xf>
    <xf numFmtId="2" fontId="43" fillId="20" borderId="19" xfId="0" applyNumberFormat="1" applyFont="1" applyFill="1" applyBorder="1" applyAlignment="1">
      <alignment horizontal="center" vertical="center" wrapText="1"/>
    </xf>
    <xf numFmtId="2" fontId="43" fillId="2" borderId="19" xfId="0" applyNumberFormat="1" applyFont="1" applyFill="1" applyBorder="1" applyAlignment="1">
      <alignment horizontal="center" vertical="center" wrapText="1"/>
    </xf>
    <xf numFmtId="167" fontId="43" fillId="2" borderId="19" xfId="0" applyNumberFormat="1" applyFont="1" applyFill="1" applyBorder="1" applyAlignment="1">
      <alignment horizontal="center" vertical="center" wrapText="1"/>
    </xf>
    <xf numFmtId="165" fontId="43" fillId="2" borderId="19"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0" fontId="43" fillId="2" borderId="13" xfId="0" applyFont="1" applyFill="1" applyBorder="1" applyAlignment="1">
      <alignment horizontal="center" vertical="center" wrapText="1"/>
    </xf>
    <xf numFmtId="2" fontId="8" fillId="20" borderId="19" xfId="0" applyNumberFormat="1" applyFont="1" applyFill="1" applyBorder="1" applyAlignment="1">
      <alignment horizontal="center" vertical="center" wrapText="1"/>
    </xf>
    <xf numFmtId="0" fontId="43" fillId="20" borderId="19" xfId="0" applyFont="1" applyFill="1" applyBorder="1" applyAlignment="1">
      <alignment horizontal="center" vertical="center" wrapText="1"/>
    </xf>
    <xf numFmtId="0" fontId="43" fillId="20" borderId="20" xfId="0" applyFont="1" applyFill="1" applyBorder="1" applyAlignment="1">
      <alignment horizontal="center" vertical="center" wrapText="1"/>
    </xf>
    <xf numFmtId="2" fontId="8" fillId="2" borderId="19" xfId="0" applyNumberFormat="1" applyFont="1" applyFill="1" applyBorder="1" applyAlignment="1">
      <alignment horizontal="center" vertical="center" wrapText="1"/>
    </xf>
    <xf numFmtId="0" fontId="43" fillId="2" borderId="19" xfId="0" applyFont="1" applyFill="1" applyBorder="1" applyAlignment="1">
      <alignment horizontal="center" vertical="center" wrapText="1"/>
    </xf>
    <xf numFmtId="0" fontId="43" fillId="12" borderId="20" xfId="0" applyFont="1" applyFill="1" applyBorder="1" applyAlignment="1">
      <alignment horizontal="center" vertical="center"/>
    </xf>
    <xf numFmtId="167" fontId="43" fillId="2" borderId="20" xfId="0" applyNumberFormat="1" applyFont="1" applyFill="1" applyBorder="1" applyAlignment="1">
      <alignment horizontal="center" vertical="center" wrapText="1"/>
    </xf>
    <xf numFmtId="2" fontId="43" fillId="2" borderId="20" xfId="0" applyNumberFormat="1" applyFont="1" applyFill="1" applyBorder="1" applyAlignment="1">
      <alignment horizontal="center" vertical="center" wrapText="1"/>
    </xf>
    <xf numFmtId="1" fontId="43" fillId="2" borderId="19" xfId="0" applyNumberFormat="1" applyFont="1" applyFill="1" applyBorder="1" applyAlignment="1">
      <alignment horizontal="center" vertical="center" wrapText="1"/>
    </xf>
    <xf numFmtId="1" fontId="43" fillId="2" borderId="20" xfId="0" applyNumberFormat="1" applyFont="1" applyFill="1" applyBorder="1" applyAlignment="1">
      <alignment horizontal="center" vertical="center" wrapText="1"/>
    </xf>
    <xf numFmtId="165" fontId="43" fillId="8" borderId="19" xfId="0" applyNumberFormat="1" applyFont="1" applyFill="1" applyBorder="1" applyAlignment="1">
      <alignment horizontal="center" vertical="center" wrapText="1"/>
    </xf>
    <xf numFmtId="2" fontId="43" fillId="2" borderId="4" xfId="0" applyNumberFormat="1" applyFont="1" applyFill="1" applyBorder="1" applyAlignment="1">
      <alignment horizontal="center" vertical="center" wrapText="1"/>
    </xf>
    <xf numFmtId="165" fontId="64" fillId="2" borderId="19" xfId="0" applyNumberFormat="1" applyFont="1" applyFill="1" applyBorder="1" applyAlignment="1">
      <alignment horizontal="center" vertical="center" wrapText="1"/>
    </xf>
    <xf numFmtId="164" fontId="3" fillId="19" borderId="23" xfId="0" applyNumberFormat="1" applyFont="1" applyFill="1" applyBorder="1"/>
    <xf numFmtId="2" fontId="3" fillId="19" borderId="23" xfId="0" applyNumberFormat="1" applyFont="1" applyFill="1" applyBorder="1" applyAlignment="1">
      <alignment horizontal="right"/>
    </xf>
    <xf numFmtId="166" fontId="4" fillId="17" borderId="0" xfId="0" applyNumberFormat="1" applyFont="1" applyFill="1" applyBorder="1" applyAlignment="1">
      <alignment horizontal="center"/>
    </xf>
    <xf numFmtId="168" fontId="4" fillId="17" borderId="0" xfId="0" applyNumberFormat="1" applyFont="1" applyFill="1" applyBorder="1" applyAlignment="1">
      <alignment horizontal="center"/>
    </xf>
    <xf numFmtId="166" fontId="43" fillId="2" borderId="0" xfId="0" applyNumberFormat="1" applyFont="1" applyFill="1" applyBorder="1" applyAlignment="1">
      <alignment horizontal="center" vertical="center" wrapText="1"/>
    </xf>
    <xf numFmtId="166" fontId="43" fillId="2" borderId="19" xfId="0" applyNumberFormat="1" applyFont="1" applyFill="1" applyBorder="1" applyAlignment="1">
      <alignment horizontal="center" vertical="center" wrapText="1"/>
    </xf>
    <xf numFmtId="168" fontId="43" fillId="2" borderId="0" xfId="0" applyNumberFormat="1" applyFont="1" applyFill="1" applyBorder="1" applyAlignment="1">
      <alignment horizontal="center" vertical="center" wrapText="1"/>
    </xf>
    <xf numFmtId="165" fontId="8" fillId="2" borderId="19" xfId="0" applyNumberFormat="1" applyFont="1" applyFill="1" applyBorder="1" applyAlignment="1">
      <alignment horizontal="center" vertical="center" wrapText="1"/>
    </xf>
    <xf numFmtId="165" fontId="8" fillId="2" borderId="13" xfId="0" applyNumberFormat="1" applyFont="1" applyFill="1" applyBorder="1" applyAlignment="1">
      <alignment horizontal="center" vertical="center"/>
    </xf>
    <xf numFmtId="165" fontId="43" fillId="2" borderId="4" xfId="0" applyNumberFormat="1" applyFont="1" applyFill="1" applyBorder="1" applyAlignment="1">
      <alignment horizontal="center" vertical="center" wrapText="1"/>
    </xf>
    <xf numFmtId="166" fontId="8" fillId="20" borderId="0" xfId="0" applyNumberFormat="1" applyFont="1" applyFill="1" applyBorder="1" applyAlignment="1">
      <alignment horizontal="center" vertical="center"/>
    </xf>
    <xf numFmtId="167" fontId="43" fillId="8" borderId="19" xfId="0" applyNumberFormat="1" applyFont="1" applyFill="1" applyBorder="1" applyAlignment="1">
      <alignment horizontal="center" vertical="center" wrapText="1"/>
    </xf>
    <xf numFmtId="165" fontId="8" fillId="20" borderId="0" xfId="0" applyNumberFormat="1" applyFont="1" applyFill="1" applyBorder="1" applyAlignment="1">
      <alignment horizontal="center" vertical="center"/>
    </xf>
    <xf numFmtId="2" fontId="43" fillId="2" borderId="19" xfId="0" applyNumberFormat="1" applyFont="1" applyFill="1" applyBorder="1" applyAlignment="1">
      <alignment horizontal="center" vertical="center"/>
    </xf>
    <xf numFmtId="2" fontId="43" fillId="2" borderId="14" xfId="0" applyNumberFormat="1" applyFont="1" applyFill="1" applyBorder="1" applyAlignment="1">
      <alignment horizontal="center" vertical="center" wrapText="1"/>
    </xf>
    <xf numFmtId="165" fontId="43" fillId="2" borderId="14" xfId="0" applyNumberFormat="1" applyFont="1" applyFill="1" applyBorder="1" applyAlignment="1">
      <alignment horizontal="center" vertical="center" wrapText="1"/>
    </xf>
    <xf numFmtId="165" fontId="43" fillId="2" borderId="5" xfId="0" applyNumberFormat="1" applyFont="1" applyFill="1" applyBorder="1" applyAlignment="1">
      <alignment horizontal="center" vertical="center" wrapText="1"/>
    </xf>
    <xf numFmtId="165" fontId="43" fillId="2" borderId="1" xfId="0" applyNumberFormat="1" applyFont="1" applyFill="1" applyBorder="1" applyAlignment="1">
      <alignment horizontal="center" vertical="center" wrapText="1"/>
    </xf>
    <xf numFmtId="0" fontId="72" fillId="2" borderId="13" xfId="0" applyFont="1" applyFill="1" applyBorder="1" applyAlignment="1">
      <alignment horizontal="center" vertical="center"/>
    </xf>
    <xf numFmtId="0" fontId="72" fillId="2" borderId="14" xfId="0" applyFont="1" applyFill="1" applyBorder="1" applyAlignment="1">
      <alignment horizontal="center" vertical="center"/>
    </xf>
    <xf numFmtId="165" fontId="72" fillId="2" borderId="20" xfId="0" applyNumberFormat="1" applyFont="1" applyFill="1" applyBorder="1" applyAlignment="1">
      <alignment horizontal="center" vertical="center" wrapText="1"/>
    </xf>
    <xf numFmtId="165" fontId="43" fillId="2" borderId="20" xfId="0" applyNumberFormat="1" applyFont="1" applyFill="1" applyBorder="1" applyAlignment="1">
      <alignment horizontal="center" vertical="center"/>
    </xf>
    <xf numFmtId="0" fontId="8" fillId="2" borderId="20" xfId="0" applyFont="1" applyFill="1" applyBorder="1" applyAlignment="1">
      <alignment horizontal="center" vertical="center"/>
    </xf>
    <xf numFmtId="2" fontId="43" fillId="15" borderId="12" xfId="0" applyNumberFormat="1" applyFont="1" applyFill="1" applyBorder="1" applyAlignment="1">
      <alignment horizontal="center" vertical="center" wrapText="1"/>
    </xf>
    <xf numFmtId="2" fontId="43" fillId="15" borderId="13" xfId="0" applyNumberFormat="1" applyFont="1" applyFill="1" applyBorder="1" applyAlignment="1">
      <alignment horizontal="center" vertical="center" wrapText="1"/>
    </xf>
    <xf numFmtId="165" fontId="43" fillId="15" borderId="13" xfId="0" applyNumberFormat="1" applyFont="1" applyFill="1" applyBorder="1" applyAlignment="1">
      <alignment horizontal="center" vertical="center" wrapText="1"/>
    </xf>
    <xf numFmtId="165" fontId="43" fillId="15" borderId="14" xfId="0" applyNumberFormat="1" applyFont="1" applyFill="1" applyBorder="1" applyAlignment="1">
      <alignment horizontal="center" vertical="center" wrapText="1"/>
    </xf>
    <xf numFmtId="2" fontId="43" fillId="15" borderId="14" xfId="0" applyNumberFormat="1" applyFont="1" applyFill="1" applyBorder="1" applyAlignment="1">
      <alignment horizontal="center" vertical="center" wrapText="1"/>
    </xf>
    <xf numFmtId="166" fontId="43" fillId="15" borderId="13" xfId="0" applyNumberFormat="1" applyFont="1" applyFill="1" applyBorder="1" applyAlignment="1">
      <alignment horizontal="center" vertical="center" wrapText="1"/>
    </xf>
    <xf numFmtId="166" fontId="43" fillId="15" borderId="14" xfId="0" applyNumberFormat="1" applyFont="1" applyFill="1" applyBorder="1" applyAlignment="1">
      <alignment horizontal="center" vertical="center" wrapText="1"/>
    </xf>
    <xf numFmtId="164" fontId="43" fillId="15" borderId="13" xfId="0" applyNumberFormat="1" applyFont="1" applyFill="1" applyBorder="1" applyAlignment="1">
      <alignment horizontal="center" vertical="center" wrapText="1"/>
    </xf>
    <xf numFmtId="1" fontId="43" fillId="15" borderId="13" xfId="0" applyNumberFormat="1" applyFont="1" applyFill="1" applyBorder="1" applyAlignment="1">
      <alignment horizontal="center" vertical="center" wrapText="1"/>
    </xf>
    <xf numFmtId="1" fontId="43" fillId="15" borderId="14" xfId="0" applyNumberFormat="1" applyFont="1" applyFill="1" applyBorder="1" applyAlignment="1">
      <alignment horizontal="center" vertical="center" wrapText="1"/>
    </xf>
    <xf numFmtId="0" fontId="0" fillId="0" borderId="0" xfId="0" applyFont="1"/>
    <xf numFmtId="0" fontId="0" fillId="0" borderId="0" xfId="0" applyFont="1" applyBorder="1"/>
    <xf numFmtId="0" fontId="25" fillId="0" borderId="0" xfId="0" applyFont="1" applyFill="1" applyBorder="1" applyAlignment="1">
      <alignment horizontal="center" vertical="top" wrapText="1"/>
    </xf>
    <xf numFmtId="0" fontId="3" fillId="11" borderId="0" xfId="0" applyFont="1" applyFill="1" applyBorder="1" applyAlignment="1">
      <alignment horizontal="left" vertical="top" wrapText="1"/>
    </xf>
    <xf numFmtId="0" fontId="45" fillId="0" borderId="0" xfId="0" applyFont="1" applyFill="1" applyBorder="1" applyAlignment="1">
      <alignment horizontal="center" vertical="top" wrapText="1"/>
    </xf>
    <xf numFmtId="0" fontId="25" fillId="11" borderId="0" xfId="0" applyFont="1" applyFill="1" applyBorder="1" applyAlignment="1">
      <alignment horizontal="center" vertical="top" wrapText="1"/>
    </xf>
    <xf numFmtId="0" fontId="10" fillId="2" borderId="0" xfId="0" applyFont="1" applyFill="1" applyBorder="1" applyAlignment="1">
      <alignment horizontal="left" vertical="top"/>
    </xf>
    <xf numFmtId="0" fontId="10" fillId="2" borderId="0" xfId="0" applyFont="1" applyFill="1" applyBorder="1" applyAlignment="1">
      <alignment vertical="top" wrapText="1"/>
    </xf>
    <xf numFmtId="0" fontId="10" fillId="7" borderId="0" xfId="0" applyFont="1" applyFill="1" applyBorder="1" applyAlignment="1"/>
    <xf numFmtId="0" fontId="10" fillId="7" borderId="0" xfId="0" applyFont="1" applyFill="1" applyBorder="1" applyAlignment="1">
      <alignment vertical="top"/>
    </xf>
    <xf numFmtId="0" fontId="10" fillId="0" borderId="0" xfId="0" applyFont="1" applyFill="1" applyBorder="1" applyAlignment="1">
      <alignment horizontal="left" vertical="top"/>
    </xf>
    <xf numFmtId="0" fontId="8" fillId="7" borderId="0" xfId="0" applyFont="1" applyFill="1" applyBorder="1" applyAlignment="1">
      <alignment vertical="top" wrapText="1"/>
    </xf>
    <xf numFmtId="0" fontId="52" fillId="11" borderId="0" xfId="0" applyFont="1" applyFill="1" applyAlignment="1">
      <alignment vertical="center"/>
    </xf>
    <xf numFmtId="2" fontId="52" fillId="11" borderId="0" xfId="0" applyNumberFormat="1" applyFont="1" applyFill="1" applyAlignment="1">
      <alignment vertical="center"/>
    </xf>
    <xf numFmtId="164" fontId="52" fillId="11" borderId="0" xfId="0" applyNumberFormat="1" applyFont="1" applyFill="1" applyAlignment="1">
      <alignment horizontal="right" vertical="center"/>
    </xf>
    <xf numFmtId="0" fontId="19" fillId="11" borderId="0" xfId="0" applyFont="1" applyFill="1" applyAlignment="1">
      <alignment vertical="center"/>
    </xf>
    <xf numFmtId="0" fontId="8" fillId="7" borderId="0" xfId="0" applyFont="1" applyFill="1" applyAlignment="1">
      <alignment horizontal="left" vertical="top" wrapText="1"/>
    </xf>
    <xf numFmtId="0" fontId="3" fillId="7" borderId="0" xfId="0" applyFont="1" applyFill="1" applyBorder="1" applyAlignment="1">
      <alignment vertical="top"/>
    </xf>
    <xf numFmtId="0" fontId="3" fillId="11" borderId="0" xfId="0" applyFont="1" applyFill="1" applyBorder="1" applyAlignment="1">
      <alignment horizontal="left" vertical="top"/>
    </xf>
    <xf numFmtId="0" fontId="3" fillId="11" borderId="11" xfId="0" applyFont="1" applyFill="1" applyBorder="1" applyAlignment="1">
      <alignment horizontal="left" vertical="top"/>
    </xf>
    <xf numFmtId="2" fontId="3" fillId="0" borderId="11" xfId="0" applyNumberFormat="1" applyFont="1" applyBorder="1"/>
    <xf numFmtId="0" fontId="3" fillId="9" borderId="23" xfId="0" quotePrefix="1" applyFont="1" applyFill="1" applyBorder="1"/>
    <xf numFmtId="0" fontId="3" fillId="11" borderId="0" xfId="0" applyFont="1" applyFill="1" applyAlignment="1">
      <alignment vertical="top" wrapText="1"/>
    </xf>
    <xf numFmtId="0" fontId="3" fillId="11" borderId="0" xfId="0" applyFont="1" applyFill="1" applyAlignment="1">
      <alignment vertical="top"/>
    </xf>
    <xf numFmtId="0" fontId="43" fillId="20" borderId="12" xfId="0" applyFont="1" applyFill="1" applyBorder="1" applyAlignment="1">
      <alignment horizontal="center" vertical="center"/>
    </xf>
    <xf numFmtId="0" fontId="43" fillId="20" borderId="13" xfId="0" applyFont="1" applyFill="1" applyBorder="1" applyAlignment="1">
      <alignment horizontal="center" vertical="center"/>
    </xf>
    <xf numFmtId="1" fontId="43" fillId="20" borderId="13" xfId="0" applyNumberFormat="1" applyFont="1" applyFill="1" applyBorder="1" applyAlignment="1">
      <alignment horizontal="center" vertical="center" wrapText="1"/>
    </xf>
    <xf numFmtId="0" fontId="43" fillId="20" borderId="14" xfId="0" applyFont="1" applyFill="1" applyBorder="1" applyAlignment="1">
      <alignment horizontal="center" vertical="center"/>
    </xf>
    <xf numFmtId="164" fontId="43" fillId="20" borderId="13" xfId="0" applyNumberFormat="1" applyFont="1" applyFill="1" applyBorder="1" applyAlignment="1">
      <alignment horizontal="center" vertical="center" wrapText="1"/>
    </xf>
    <xf numFmtId="0" fontId="30" fillId="4" borderId="6" xfId="0" applyFont="1" applyFill="1" applyBorder="1" applyAlignment="1">
      <alignment vertical="top" wrapText="1"/>
    </xf>
    <xf numFmtId="0" fontId="25" fillId="11" borderId="16" xfId="0" quotePrefix="1" applyFont="1" applyFill="1" applyBorder="1" applyAlignment="1">
      <alignment vertical="top" wrapText="1"/>
    </xf>
    <xf numFmtId="0" fontId="8" fillId="11" borderId="10" xfId="0" applyFont="1" applyFill="1" applyBorder="1" applyAlignment="1">
      <alignment vertical="top" wrapText="1"/>
    </xf>
    <xf numFmtId="0" fontId="8" fillId="11" borderId="0" xfId="0" applyFont="1" applyFill="1" applyBorder="1" applyAlignment="1">
      <alignment vertical="top" wrapText="1"/>
    </xf>
    <xf numFmtId="0" fontId="3" fillId="11" borderId="10" xfId="0" applyFont="1" applyFill="1" applyBorder="1" applyAlignment="1">
      <alignment wrapText="1"/>
    </xf>
    <xf numFmtId="0" fontId="3" fillId="11" borderId="0" xfId="0" applyFont="1" applyFill="1" applyBorder="1" applyAlignment="1">
      <alignment horizontal="center" vertical="top"/>
    </xf>
    <xf numFmtId="0" fontId="3" fillId="11" borderId="0" xfId="0" applyNumberFormat="1" applyFont="1" applyFill="1" applyBorder="1" applyAlignment="1">
      <alignment horizontal="center" vertical="top"/>
    </xf>
    <xf numFmtId="0" fontId="3" fillId="11" borderId="0" xfId="0" applyNumberFormat="1" applyFont="1" applyFill="1" applyBorder="1" applyAlignment="1">
      <alignment horizontal="left" vertical="top"/>
    </xf>
    <xf numFmtId="0" fontId="3" fillId="11" borderId="16" xfId="0" quotePrefix="1" applyFont="1" applyFill="1" applyBorder="1" applyAlignment="1">
      <alignment vertical="top" wrapText="1"/>
    </xf>
    <xf numFmtId="0" fontId="3" fillId="11" borderId="11" xfId="0" applyNumberFormat="1" applyFont="1" applyFill="1" applyBorder="1" applyAlignment="1">
      <alignment horizontal="left" vertical="top"/>
    </xf>
    <xf numFmtId="0" fontId="30" fillId="11" borderId="0" xfId="0" applyFont="1" applyFill="1" applyBorder="1" applyAlignment="1">
      <alignment vertical="top" wrapText="1"/>
    </xf>
    <xf numFmtId="0" fontId="3" fillId="11" borderId="0" xfId="0" applyFont="1" applyFill="1" applyBorder="1" applyAlignment="1">
      <alignment vertical="top" wrapText="1"/>
    </xf>
    <xf numFmtId="0" fontId="8" fillId="11" borderId="0" xfId="0" applyNumberFormat="1" applyFont="1" applyFill="1" applyBorder="1" applyAlignment="1">
      <alignment horizontal="center" vertical="top"/>
    </xf>
    <xf numFmtId="0" fontId="3" fillId="11" borderId="0" xfId="0" applyNumberFormat="1" applyFont="1" applyFill="1" applyBorder="1" applyAlignment="1">
      <alignment vertical="top"/>
    </xf>
    <xf numFmtId="0" fontId="3" fillId="11" borderId="0" xfId="0" quotePrefix="1" applyFont="1" applyFill="1" applyAlignment="1">
      <alignment horizontal="left" vertical="top" wrapText="1"/>
    </xf>
    <xf numFmtId="165" fontId="3" fillId="11" borderId="0" xfId="0" applyNumberFormat="1" applyFont="1" applyFill="1" applyBorder="1" applyAlignment="1">
      <alignment horizontal="center" vertical="top"/>
    </xf>
    <xf numFmtId="1" fontId="3" fillId="11" borderId="0" xfId="0" applyNumberFormat="1" applyFont="1" applyFill="1" applyBorder="1" applyAlignment="1">
      <alignment horizontal="center" vertical="top"/>
    </xf>
    <xf numFmtId="0" fontId="3" fillId="11" borderId="0" xfId="0" applyFont="1" applyFill="1" applyAlignment="1">
      <alignment horizontal="center"/>
    </xf>
    <xf numFmtId="2" fontId="3" fillId="11" borderId="0" xfId="0" applyNumberFormat="1" applyFont="1" applyFill="1" applyAlignment="1">
      <alignment horizontal="center"/>
    </xf>
    <xf numFmtId="0" fontId="8" fillId="0" borderId="0" xfId="0" applyFont="1" applyFill="1" applyBorder="1" applyAlignment="1">
      <alignment vertical="top" wrapText="1"/>
    </xf>
    <xf numFmtId="0" fontId="25" fillId="11" borderId="0" xfId="0" applyFont="1" applyFill="1" applyBorder="1" applyAlignment="1">
      <alignment vertical="top" wrapText="1"/>
    </xf>
    <xf numFmtId="0" fontId="3" fillId="0" borderId="0" xfId="0" applyFont="1" applyBorder="1" applyAlignment="1">
      <alignment horizontal="left" vertical="top" wrapText="1"/>
    </xf>
    <xf numFmtId="167" fontId="3" fillId="0" borderId="0" xfId="0" applyNumberFormat="1" applyFont="1" applyBorder="1" applyAlignment="1">
      <alignment horizontal="center" vertical="top"/>
    </xf>
    <xf numFmtId="164" fontId="52" fillId="11" borderId="0" xfId="0" quotePrefix="1" applyNumberFormat="1" applyFont="1" applyFill="1" applyAlignment="1">
      <alignment horizontal="right" vertical="center"/>
    </xf>
    <xf numFmtId="164" fontId="52" fillId="11" borderId="0" xfId="0" quotePrefix="1" applyNumberFormat="1" applyFont="1" applyFill="1" applyAlignment="1">
      <alignment vertical="center"/>
    </xf>
    <xf numFmtId="2" fontId="8" fillId="0" borderId="0" xfId="0" applyNumberFormat="1" applyFont="1" applyBorder="1" applyAlignment="1">
      <alignment horizontal="center" vertical="top"/>
    </xf>
    <xf numFmtId="164" fontId="8" fillId="0" borderId="0" xfId="0" applyNumberFormat="1" applyFont="1" applyBorder="1" applyAlignment="1">
      <alignment horizontal="center" vertical="top"/>
    </xf>
    <xf numFmtId="164" fontId="8" fillId="0" borderId="0" xfId="0" applyNumberFormat="1" applyFont="1" applyFill="1" applyBorder="1" applyAlignment="1">
      <alignment horizontal="center" vertical="top"/>
    </xf>
    <xf numFmtId="0" fontId="25" fillId="11" borderId="0" xfId="0" applyFont="1" applyFill="1" applyBorder="1" applyAlignment="1">
      <alignment horizontal="center" vertical="top" wrapText="1"/>
    </xf>
    <xf numFmtId="0" fontId="25" fillId="21" borderId="0" xfId="0" applyFont="1" applyFill="1" applyBorder="1" applyAlignment="1">
      <alignment vertical="top" wrapText="1"/>
    </xf>
    <xf numFmtId="0" fontId="45" fillId="21" borderId="0" xfId="0" applyFont="1" applyFill="1" applyBorder="1" applyAlignment="1">
      <alignment vertical="top" wrapText="1"/>
    </xf>
    <xf numFmtId="2" fontId="25" fillId="11" borderId="0" xfId="0" applyNumberFormat="1" applyFont="1" applyFill="1" applyBorder="1" applyAlignment="1">
      <alignment horizontal="right" vertical="center"/>
    </xf>
    <xf numFmtId="164" fontId="3" fillId="11" borderId="0" xfId="0" applyNumberFormat="1" applyFont="1" applyFill="1" applyBorder="1" applyAlignment="1">
      <alignment horizontal="left" vertical="top"/>
    </xf>
    <xf numFmtId="0" fontId="0" fillId="11" borderId="0" xfId="0" applyFill="1" applyBorder="1" applyAlignment="1">
      <alignment vertical="top"/>
    </xf>
    <xf numFmtId="0" fontId="66" fillId="11" borderId="0" xfId="0" applyFont="1" applyFill="1" applyBorder="1" applyAlignment="1">
      <alignment horizontal="center" vertical="top"/>
    </xf>
    <xf numFmtId="0" fontId="4" fillId="11" borderId="0" xfId="0" applyFont="1" applyFill="1" applyBorder="1" applyAlignment="1">
      <alignment horizontal="center" vertical="top"/>
    </xf>
    <xf numFmtId="0" fontId="3" fillId="11" borderId="0" xfId="0" applyFont="1" applyFill="1" applyBorder="1" applyAlignment="1">
      <alignment horizontal="center" vertical="top" wrapText="1"/>
    </xf>
    <xf numFmtId="0" fontId="25" fillId="7" borderId="10" xfId="0" applyFont="1" applyFill="1" applyBorder="1" applyAlignment="1">
      <alignment horizontal="left" vertical="top" wrapText="1"/>
    </xf>
    <xf numFmtId="0" fontId="25" fillId="7" borderId="0" xfId="0" applyFont="1" applyFill="1" applyBorder="1" applyAlignment="1">
      <alignment horizontal="left" vertical="top" wrapText="1"/>
    </xf>
    <xf numFmtId="0" fontId="25" fillId="7" borderId="11" xfId="0" applyFont="1" applyFill="1" applyBorder="1" applyAlignment="1">
      <alignment horizontal="left" vertical="top" wrapText="1"/>
    </xf>
    <xf numFmtId="2" fontId="25" fillId="11" borderId="0" xfId="0" applyNumberFormat="1" applyFont="1" applyFill="1" applyBorder="1" applyAlignment="1">
      <alignment horizontal="center" vertical="center"/>
    </xf>
    <xf numFmtId="2" fontId="25" fillId="11" borderId="11" xfId="0" applyNumberFormat="1" applyFont="1" applyFill="1" applyBorder="1" applyAlignment="1">
      <alignment horizontal="center" vertical="center"/>
    </xf>
    <xf numFmtId="164" fontId="25" fillId="11" borderId="0" xfId="0" applyNumberFormat="1" applyFont="1" applyFill="1" applyBorder="1" applyAlignment="1">
      <alignment horizontal="center" vertical="center"/>
    </xf>
    <xf numFmtId="164" fontId="25" fillId="11" borderId="11" xfId="0" applyNumberFormat="1" applyFont="1" applyFill="1" applyBorder="1" applyAlignment="1">
      <alignment horizontal="center" vertical="center"/>
    </xf>
    <xf numFmtId="0" fontId="25" fillId="7" borderId="16" xfId="0" applyFont="1" applyFill="1" applyBorder="1" applyAlignment="1">
      <alignment horizontal="left" vertical="top" wrapText="1"/>
    </xf>
    <xf numFmtId="0" fontId="25" fillId="7" borderId="17" xfId="0" applyFont="1" applyFill="1" applyBorder="1" applyAlignment="1">
      <alignment horizontal="left" vertical="top" wrapText="1"/>
    </xf>
    <xf numFmtId="0" fontId="25" fillId="7" borderId="15" xfId="0" applyFont="1" applyFill="1" applyBorder="1" applyAlignment="1">
      <alignment horizontal="left" vertical="top" wrapText="1"/>
    </xf>
    <xf numFmtId="0" fontId="25" fillId="11" borderId="17" xfId="0" applyFont="1" applyFill="1" applyBorder="1" applyAlignment="1">
      <alignment horizontal="left" vertical="top" wrapText="1"/>
    </xf>
    <xf numFmtId="0" fontId="25" fillId="11" borderId="15" xfId="0" applyFont="1" applyFill="1" applyBorder="1" applyAlignment="1">
      <alignment horizontal="left" vertical="top" wrapText="1"/>
    </xf>
    <xf numFmtId="0" fontId="35" fillId="4" borderId="0" xfId="0" applyFont="1" applyFill="1" applyBorder="1" applyAlignment="1">
      <alignment horizontal="center" vertical="center"/>
    </xf>
    <xf numFmtId="0" fontId="35" fillId="4" borderId="0" xfId="0" applyFont="1" applyFill="1" applyBorder="1" applyAlignment="1">
      <alignment horizontal="center" vertical="center" wrapText="1"/>
    </xf>
    <xf numFmtId="0" fontId="35" fillId="4" borderId="11" xfId="0" applyFont="1" applyFill="1" applyBorder="1" applyAlignment="1">
      <alignment horizontal="center" vertical="center" wrapText="1"/>
    </xf>
    <xf numFmtId="0" fontId="3" fillId="11" borderId="17" xfId="0" applyFont="1" applyFill="1" applyBorder="1" applyAlignment="1">
      <alignment horizontal="center" vertical="top" wrapText="1"/>
    </xf>
    <xf numFmtId="0" fontId="25" fillId="11" borderId="0" xfId="0" applyFont="1" applyFill="1" applyBorder="1" applyAlignment="1">
      <alignment horizontal="center" vertical="top" wrapText="1"/>
    </xf>
    <xf numFmtId="0" fontId="25" fillId="11" borderId="11" xfId="0" applyFont="1" applyFill="1" applyBorder="1" applyAlignment="1">
      <alignment horizontal="center" vertical="top" wrapText="1"/>
    </xf>
    <xf numFmtId="0" fontId="1" fillId="7" borderId="0" xfId="0" applyFont="1" applyFill="1" applyAlignment="1">
      <alignment horizontal="left" vertical="top" wrapText="1"/>
    </xf>
    <xf numFmtId="0" fontId="36" fillId="11" borderId="7" xfId="0" applyFont="1" applyFill="1" applyBorder="1" applyAlignment="1">
      <alignment horizontal="center" vertical="center"/>
    </xf>
    <xf numFmtId="0" fontId="3" fillId="11" borderId="15" xfId="0" applyFont="1" applyFill="1" applyBorder="1" applyAlignment="1">
      <alignment horizontal="center" vertical="top" wrapText="1"/>
    </xf>
    <xf numFmtId="0" fontId="25" fillId="4" borderId="0" xfId="0" applyFont="1" applyFill="1" applyBorder="1" applyAlignment="1">
      <alignment horizontal="left" vertical="top" wrapText="1"/>
    </xf>
    <xf numFmtId="0" fontId="25" fillId="4" borderId="11" xfId="0" applyFont="1" applyFill="1" applyBorder="1" applyAlignment="1">
      <alignment horizontal="left" vertical="top" wrapText="1"/>
    </xf>
    <xf numFmtId="0" fontId="35" fillId="4" borderId="11" xfId="0" applyFont="1" applyFill="1" applyBorder="1" applyAlignment="1">
      <alignment horizontal="center" vertical="center"/>
    </xf>
    <xf numFmtId="2" fontId="36" fillId="11" borderId="17" xfId="0" applyNumberFormat="1" applyFont="1" applyFill="1" applyBorder="1" applyAlignment="1">
      <alignment horizontal="center" vertical="center"/>
    </xf>
    <xf numFmtId="2" fontId="36" fillId="11" borderId="15" xfId="0" applyNumberFormat="1" applyFont="1" applyFill="1" applyBorder="1" applyAlignment="1">
      <alignment horizontal="center" vertical="center"/>
    </xf>
    <xf numFmtId="0" fontId="25" fillId="11" borderId="0" xfId="0" applyFont="1" applyFill="1" applyBorder="1" applyAlignment="1">
      <alignment horizontal="left" vertical="center"/>
    </xf>
    <xf numFmtId="0" fontId="25" fillId="11" borderId="11" xfId="0" applyFont="1" applyFill="1" applyBorder="1" applyAlignment="1">
      <alignment horizontal="left" vertical="center"/>
    </xf>
    <xf numFmtId="0" fontId="25" fillId="11" borderId="0"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7" xfId="0" applyFont="1" applyFill="1" applyBorder="1" applyAlignment="1">
      <alignment horizontal="left" vertical="center" wrapText="1"/>
    </xf>
    <xf numFmtId="0" fontId="25" fillId="11" borderId="15" xfId="0" applyFont="1" applyFill="1" applyBorder="1" applyAlignment="1">
      <alignment horizontal="left" vertical="center" wrapText="1"/>
    </xf>
    <xf numFmtId="165" fontId="36" fillId="11" borderId="7" xfId="0" applyNumberFormat="1" applyFont="1" applyFill="1" applyBorder="1" applyAlignment="1">
      <alignment horizontal="center" vertical="center"/>
    </xf>
    <xf numFmtId="165" fontId="36" fillId="11" borderId="8" xfId="0" applyNumberFormat="1" applyFont="1" applyFill="1" applyBorder="1" applyAlignment="1">
      <alignment horizontal="center" vertical="center"/>
    </xf>
    <xf numFmtId="167" fontId="36" fillId="11" borderId="7" xfId="0" applyNumberFormat="1" applyFont="1" applyFill="1" applyBorder="1" applyAlignment="1">
      <alignment horizontal="center" vertical="center"/>
    </xf>
    <xf numFmtId="167" fontId="36" fillId="11" borderId="0" xfId="0" applyNumberFormat="1" applyFont="1" applyFill="1" applyBorder="1" applyAlignment="1">
      <alignment horizontal="center" vertical="center"/>
    </xf>
    <xf numFmtId="167" fontId="36" fillId="11" borderId="17" xfId="0" applyNumberFormat="1" applyFont="1" applyFill="1" applyBorder="1" applyAlignment="1">
      <alignment horizontal="center" vertical="center"/>
    </xf>
    <xf numFmtId="167" fontId="36" fillId="11" borderId="0" xfId="0" quotePrefix="1" applyNumberFormat="1" applyFont="1" applyFill="1" applyBorder="1" applyAlignment="1">
      <alignment horizontal="center" vertical="center"/>
    </xf>
    <xf numFmtId="167" fontId="36" fillId="11" borderId="17" xfId="0" quotePrefix="1" applyNumberFormat="1" applyFont="1" applyFill="1" applyBorder="1" applyAlignment="1">
      <alignment horizontal="center" vertical="center"/>
    </xf>
    <xf numFmtId="167" fontId="36" fillId="11" borderId="7" xfId="0" quotePrefix="1" applyNumberFormat="1" applyFont="1" applyFill="1" applyBorder="1" applyAlignment="1">
      <alignment horizontal="center" vertical="center"/>
    </xf>
    <xf numFmtId="0" fontId="36" fillId="11" borderId="17" xfId="0" applyFont="1" applyFill="1" applyBorder="1" applyAlignment="1">
      <alignment horizontal="center" vertical="center"/>
    </xf>
    <xf numFmtId="0" fontId="36" fillId="11" borderId="15" xfId="0" applyFont="1" applyFill="1" applyBorder="1" applyAlignment="1">
      <alignment horizontal="center" vertical="center"/>
    </xf>
    <xf numFmtId="0" fontId="36" fillId="11" borderId="8" xfId="0" applyFont="1" applyFill="1" applyBorder="1" applyAlignment="1">
      <alignment horizontal="center" vertical="center"/>
    </xf>
    <xf numFmtId="164" fontId="36" fillId="11" borderId="0" xfId="0" applyNumberFormat="1" applyFont="1" applyFill="1" applyBorder="1" applyAlignment="1">
      <alignment horizontal="center" vertical="center"/>
    </xf>
    <xf numFmtId="164" fontId="36" fillId="11" borderId="11" xfId="0" applyNumberFormat="1" applyFont="1" applyFill="1" applyBorder="1" applyAlignment="1">
      <alignment horizontal="center" vertical="center"/>
    </xf>
    <xf numFmtId="1" fontId="36" fillId="11" borderId="0" xfId="0" applyNumberFormat="1" applyFont="1" applyFill="1" applyBorder="1" applyAlignment="1">
      <alignment horizontal="center" vertical="center"/>
    </xf>
    <xf numFmtId="1" fontId="36" fillId="11" borderId="11" xfId="0" applyNumberFormat="1" applyFont="1" applyFill="1" applyBorder="1" applyAlignment="1">
      <alignment horizontal="center" vertical="center"/>
    </xf>
    <xf numFmtId="0" fontId="43" fillId="11" borderId="22" xfId="0" applyFont="1" applyFill="1" applyBorder="1" applyAlignment="1">
      <alignment horizontal="left" vertical="top" wrapText="1"/>
    </xf>
    <xf numFmtId="0" fontId="43" fillId="11" borderId="21" xfId="0" applyFont="1" applyFill="1" applyBorder="1" applyAlignment="1">
      <alignment horizontal="left" vertical="top" wrapText="1"/>
    </xf>
    <xf numFmtId="0" fontId="3" fillId="11" borderId="0" xfId="0" applyFont="1" applyFill="1" applyBorder="1" applyAlignment="1">
      <alignment horizontal="left" vertical="top" wrapText="1"/>
    </xf>
    <xf numFmtId="0" fontId="3" fillId="0" borderId="7" xfId="0" applyFont="1" applyFill="1" applyBorder="1" applyAlignment="1">
      <alignment horizontal="center"/>
    </xf>
    <xf numFmtId="0" fontId="3" fillId="0" borderId="24" xfId="0" applyFont="1" applyFill="1" applyBorder="1" applyAlignment="1">
      <alignment horizontal="center"/>
    </xf>
    <xf numFmtId="0" fontId="3" fillId="0" borderId="7" xfId="0" applyFont="1" applyBorder="1" applyAlignment="1">
      <alignment horizontal="center"/>
    </xf>
    <xf numFmtId="0" fontId="3" fillId="0" borderId="24" xfId="0" applyFont="1" applyBorder="1" applyAlignment="1">
      <alignment horizontal="center"/>
    </xf>
    <xf numFmtId="0" fontId="0" fillId="7" borderId="17" xfId="0" applyFill="1" applyBorder="1" applyAlignment="1">
      <alignment vertical="top"/>
    </xf>
  </cellXfs>
  <cellStyles count="8">
    <cellStyle name="Euro" xfId="5"/>
    <cellStyle name="Hyperlink 2" xfId="6"/>
    <cellStyle name="Hyperlink 3" xfId="7"/>
    <cellStyle name="Normal" xfId="0" builtinId="0"/>
    <cellStyle name="Normal 2" xfId="1"/>
    <cellStyle name="Normal 3" xfId="3"/>
    <cellStyle name="Percent 2" xfId="2"/>
    <cellStyle name="Percent 3" xfId="4"/>
  </cellStyles>
  <dxfs count="0"/>
  <tableStyles count="0" defaultTableStyle="TableStyleMedium9" defaultPivotStyle="PivotStyleLight16"/>
  <colors>
    <mruColors>
      <color rgb="FFFFCC00"/>
      <color rgb="FFFFCC66"/>
      <color rgb="FF99CCFF"/>
      <color rgb="FF00FF00"/>
      <color rgb="FFFF66FF"/>
      <color rgb="FF99FF99"/>
      <color rgb="FFFFFFFF"/>
      <color rgb="FF00FFFF"/>
      <color rgb="FFFFFF99"/>
      <color rgb="FF66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NH</a:t>
            </a:r>
            <a:r>
              <a:rPr lang="da-DK" baseline="-25000"/>
              <a:t>3</a:t>
            </a:r>
            <a:r>
              <a:rPr lang="da-DK"/>
              <a:t>-N</a:t>
            </a:r>
          </a:p>
        </c:rich>
      </c:tx>
      <c:layout>
        <c:manualLayout>
          <c:xMode val="edge"/>
          <c:yMode val="edge"/>
          <c:x val="0.18295313105152833"/>
          <c:y val="3.6493483853788519E-2"/>
        </c:manualLayout>
      </c:layout>
      <c:overlay val="0"/>
    </c:title>
    <c:autoTitleDeleted val="0"/>
    <c:plotArea>
      <c:layout>
        <c:manualLayout>
          <c:layoutTarget val="inner"/>
          <c:xMode val="edge"/>
          <c:yMode val="edge"/>
          <c:x val="8.6071669278919419E-2"/>
          <c:y val="0.19617402698410569"/>
          <c:w val="0.87785447828287355"/>
          <c:h val="0.58772433342057873"/>
        </c:manualLayout>
      </c:layout>
      <c:barChart>
        <c:barDir val="col"/>
        <c:grouping val="stacked"/>
        <c:varyColors val="0"/>
        <c:ser>
          <c:idx val="0"/>
          <c:order val="0"/>
          <c:tx>
            <c:strRef>
              <c:f>'Calculations - Techn'!$B$69</c:f>
              <c:strCache>
                <c:ptCount val="1"/>
                <c:pt idx="0">
                  <c:v>Other (energy etc)</c:v>
                </c:pt>
              </c:strCache>
            </c:strRef>
          </c:tx>
          <c:spPr>
            <a:solidFill>
              <a:srgbClr val="C00000"/>
            </a:solidFill>
          </c:spPr>
          <c:invertIfNegative val="0"/>
          <c:val>
            <c:numRef>
              <c:f>'Calculations - Techn'!$E$141:$J$141</c:f>
              <c:numCache>
                <c:formatCode>0.00000</c:formatCode>
                <c:ptCount val="6"/>
                <c:pt idx="0" formatCode="0.0000000">
                  <c:v>2.9122922164393443E-4</c:v>
                </c:pt>
                <c:pt idx="1">
                  <c:v>9.969000279350063E-4</c:v>
                </c:pt>
                <c:pt idx="2" formatCode="0.000000">
                  <c:v>9.4806312769010032E-5</c:v>
                </c:pt>
                <c:pt idx="3" formatCode="0.000000">
                  <c:v>9.4806312769010032E-5</c:v>
                </c:pt>
              </c:numCache>
            </c:numRef>
          </c:val>
        </c:ser>
        <c:ser>
          <c:idx val="4"/>
          <c:order val="1"/>
          <c:tx>
            <c:v>Avoided systems</c:v>
          </c:tx>
          <c:spPr>
            <a:solidFill>
              <a:srgbClr val="FFFF00"/>
            </a:solidFill>
          </c:spPr>
          <c:invertIfNegative val="0"/>
          <c:val>
            <c:numRef>
              <c:f>'Calculations - Techn'!$E$143:$J$143</c:f>
              <c:numCache>
                <c:formatCode>General</c:formatCode>
                <c:ptCount val="6"/>
                <c:pt idx="4" formatCode="0.00">
                  <c:v>-2.8238037773903806E-2</c:v>
                </c:pt>
                <c:pt idx="5" formatCode="0.00">
                  <c:v>-2.9669615777535373E-2</c:v>
                </c:pt>
              </c:numCache>
            </c:numRef>
          </c:val>
        </c:ser>
        <c:ser>
          <c:idx val="3"/>
          <c:order val="2"/>
          <c:tx>
            <c:v>Emissions in-house, storage and field</c:v>
          </c:tx>
          <c:spPr>
            <a:solidFill>
              <a:srgbClr val="00B050"/>
            </a:solidFill>
          </c:spPr>
          <c:invertIfNegative val="0"/>
          <c:val>
            <c:numRef>
              <c:f>'Calculations - Techn'!$E$142:$J$142</c:f>
              <c:numCache>
                <c:formatCode>0.00</c:formatCode>
                <c:ptCount val="6"/>
                <c:pt idx="0">
                  <c:v>0.71399999999999997</c:v>
                </c:pt>
                <c:pt idx="1">
                  <c:v>0.49979999999999997</c:v>
                </c:pt>
                <c:pt idx="2">
                  <c:v>9.8703825000000009E-2</c:v>
                </c:pt>
                <c:pt idx="3">
                  <c:v>5.1360037500000011E-2</c:v>
                </c:pt>
                <c:pt idx="4">
                  <c:v>0.63156991468007906</c:v>
                </c:pt>
                <c:pt idx="5">
                  <c:v>0.39815309098833779</c:v>
                </c:pt>
              </c:numCache>
            </c:numRef>
          </c:val>
        </c:ser>
        <c:dLbls>
          <c:showLegendKey val="0"/>
          <c:showVal val="0"/>
          <c:showCatName val="0"/>
          <c:showSerName val="0"/>
          <c:showPercent val="0"/>
          <c:showBubbleSize val="0"/>
        </c:dLbls>
        <c:gapWidth val="40"/>
        <c:overlap val="100"/>
        <c:axId val="100181888"/>
        <c:axId val="100183424"/>
      </c:barChart>
      <c:catAx>
        <c:axId val="100181888"/>
        <c:scaling>
          <c:orientation val="minMax"/>
        </c:scaling>
        <c:delete val="1"/>
        <c:axPos val="b"/>
        <c:majorTickMark val="out"/>
        <c:minorTickMark val="none"/>
        <c:tickLblPos val="none"/>
        <c:crossAx val="100183424"/>
        <c:crosses val="autoZero"/>
        <c:auto val="1"/>
        <c:lblAlgn val="ctr"/>
        <c:lblOffset val="100"/>
        <c:noMultiLvlLbl val="0"/>
      </c:catAx>
      <c:valAx>
        <c:axId val="100183424"/>
        <c:scaling>
          <c:orientation val="minMax"/>
        </c:scaling>
        <c:delete val="0"/>
        <c:axPos val="l"/>
        <c:majorGridlines/>
        <c:title>
          <c:tx>
            <c:rich>
              <a:bodyPr rot="0" vert="horz"/>
              <a:lstStyle/>
              <a:p>
                <a:pPr>
                  <a:defRPr/>
                </a:pPr>
                <a:r>
                  <a:rPr lang="da-DK"/>
                  <a:t>kg/ton manure</a:t>
                </a:r>
              </a:p>
            </c:rich>
          </c:tx>
          <c:layout>
            <c:manualLayout>
              <c:xMode val="edge"/>
              <c:yMode val="edge"/>
              <c:x val="1.4349045563296638E-2"/>
              <c:y val="2.1313398272681871E-2"/>
            </c:manualLayout>
          </c:layout>
          <c:overlay val="0"/>
        </c:title>
        <c:numFmt formatCode="0.0" sourceLinked="0"/>
        <c:majorTickMark val="out"/>
        <c:minorTickMark val="none"/>
        <c:tickLblPos val="nextTo"/>
        <c:txPr>
          <a:bodyPr/>
          <a:lstStyle/>
          <a:p>
            <a:pPr>
              <a:defRPr sz="900"/>
            </a:pPr>
            <a:endParaRPr lang="en-US"/>
          </a:p>
        </c:txPr>
        <c:crossAx val="100181888"/>
        <c:crosses val="autoZero"/>
        <c:crossBetween val="between"/>
      </c:valAx>
      <c:spPr>
        <a:noFill/>
      </c:spPr>
    </c:plotArea>
    <c:legend>
      <c:legendPos val="r"/>
      <c:layout>
        <c:manualLayout>
          <c:xMode val="edge"/>
          <c:yMode val="edge"/>
          <c:x val="2.6291439013210995E-2"/>
          <c:y val="0.89644260407363474"/>
          <c:w val="0.96375949654615745"/>
          <c:h val="8.6028253199230506E-2"/>
        </c:manualLayout>
      </c:layout>
      <c:overlay val="0"/>
      <c:spPr>
        <a:solidFill>
          <a:sysClr val="window" lastClr="FFFFFF"/>
        </a:solidFill>
      </c:spPr>
      <c:txPr>
        <a:bodyPr/>
        <a:lstStyle/>
        <a:p>
          <a:pPr>
            <a:defRPr sz="900"/>
          </a:pPr>
          <a:endParaRPr lang="en-US"/>
        </a:p>
      </c:txPr>
    </c:legend>
    <c:plotVisOnly val="1"/>
    <c:dispBlanksAs val="gap"/>
    <c:showDLblsOverMax val="0"/>
  </c:chart>
  <c:spPr>
    <a:noFill/>
  </c:spPr>
  <c:printSettings>
    <c:headerFooter/>
    <c:pageMargins b="0.75000000000000144" l="0.70000000000000062" r="0.70000000000000062" t="0.750000000000001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 - including feed</a:t>
            </a:r>
          </a:p>
        </c:rich>
      </c:tx>
      <c:overlay val="0"/>
    </c:title>
    <c:autoTitleDeleted val="0"/>
    <c:plotArea>
      <c:layout>
        <c:manualLayout>
          <c:layoutTarget val="inner"/>
          <c:xMode val="edge"/>
          <c:yMode val="edge"/>
          <c:x val="8.6071741032370933E-2"/>
          <c:y val="0.15359833750500829"/>
          <c:w val="0.86119881063100934"/>
          <c:h val="0.74995438768694445"/>
        </c:manualLayout>
      </c:layout>
      <c:barChart>
        <c:barDir val="col"/>
        <c:grouping val="stacked"/>
        <c:varyColors val="0"/>
        <c:ser>
          <c:idx val="6"/>
          <c:order val="0"/>
          <c:tx>
            <c:strRef>
              <c:f>'Calculations - Ref system'!$C$71</c:f>
              <c:strCache>
                <c:ptCount val="1"/>
                <c:pt idx="0">
                  <c:v>LUC from feed</c:v>
                </c:pt>
              </c:strCache>
            </c:strRef>
          </c:tx>
          <c:spPr>
            <a:solidFill>
              <a:srgbClr val="C00000"/>
            </a:solidFill>
          </c:spPr>
          <c:invertIfNegative val="0"/>
          <c:val>
            <c:numRef>
              <c:f>'Calculations - Ref system'!$E$71:$G$71</c:f>
              <c:numCache>
                <c:formatCode>0</c:formatCode>
                <c:ptCount val="3"/>
              </c:numCache>
            </c:numRef>
          </c:val>
        </c:ser>
        <c:ser>
          <c:idx val="0"/>
          <c:order val="1"/>
          <c:tx>
            <c:v>Feed excl. LUC</c:v>
          </c:tx>
          <c:spPr>
            <a:solidFill>
              <a:srgbClr val="FF66FF"/>
            </a:solidFill>
          </c:spPr>
          <c:invertIfNegative val="0"/>
          <c:val>
            <c:numRef>
              <c:f>'Calculations - Ref system'!$E$70:$G$70</c:f>
              <c:numCache>
                <c:formatCode>0</c:formatCode>
                <c:ptCount val="3"/>
              </c:numCache>
            </c:numRef>
          </c:val>
        </c:ser>
        <c:ser>
          <c:idx val="1"/>
          <c:order val="2"/>
          <c:tx>
            <c:strRef>
              <c:f>'Calculations - Ref system'!$C$72</c:f>
              <c:strCache>
                <c:ptCount val="1"/>
                <c:pt idx="0">
                  <c:v>Electricity</c:v>
                </c:pt>
              </c:strCache>
            </c:strRef>
          </c:tx>
          <c:spPr>
            <a:solidFill>
              <a:schemeClr val="tx2"/>
            </a:solidFill>
          </c:spPr>
          <c:invertIfNegative val="0"/>
          <c:val>
            <c:numRef>
              <c:f>'Calculations - Ref system'!$E$72:$G$72</c:f>
              <c:numCache>
                <c:formatCode>0</c:formatCode>
                <c:ptCount val="3"/>
                <c:pt idx="0">
                  <c:v>15.002332192391304</c:v>
                </c:pt>
                <c:pt idx="1">
                  <c:v>4.8838361413999989</c:v>
                </c:pt>
              </c:numCache>
            </c:numRef>
          </c:val>
        </c:ser>
        <c:ser>
          <c:idx val="2"/>
          <c:order val="3"/>
          <c:tx>
            <c:strRef>
              <c:f>'Calculations - Ref system'!$C$73</c:f>
              <c:strCache>
                <c:ptCount val="1"/>
                <c:pt idx="0">
                  <c:v>Heat</c:v>
                </c:pt>
              </c:strCache>
            </c:strRef>
          </c:tx>
          <c:spPr>
            <a:solidFill>
              <a:schemeClr val="tx2">
                <a:lumMod val="40000"/>
                <a:lumOff val="60000"/>
              </a:schemeClr>
            </a:solidFill>
          </c:spPr>
          <c:invertIfNegative val="0"/>
          <c:val>
            <c:numRef>
              <c:f>'Calculations - Ref system'!$E$73:$G$73</c:f>
              <c:numCache>
                <c:formatCode>0</c:formatCode>
                <c:ptCount val="3"/>
                <c:pt idx="0">
                  <c:v>9.1274706714130431</c:v>
                </c:pt>
              </c:numCache>
            </c:numRef>
          </c:val>
        </c:ser>
        <c:ser>
          <c:idx val="5"/>
          <c:order val="4"/>
          <c:tx>
            <c:v>Fuel</c:v>
          </c:tx>
          <c:spPr>
            <a:solidFill>
              <a:srgbClr val="FFC000"/>
            </a:solidFill>
          </c:spPr>
          <c:invertIfNegative val="0"/>
          <c:val>
            <c:numRef>
              <c:f>'Calculations - Ref system'!$E$75:$G$75</c:f>
              <c:numCache>
                <c:formatCode>General</c:formatCode>
                <c:ptCount val="3"/>
                <c:pt idx="2" formatCode="0.00">
                  <c:v>0.8231292517006803</c:v>
                </c:pt>
              </c:numCache>
            </c:numRef>
          </c:val>
        </c:ser>
        <c:ser>
          <c:idx val="3"/>
          <c:order val="5"/>
          <c:tx>
            <c:v>System emissions</c:v>
          </c:tx>
          <c:spPr>
            <a:solidFill>
              <a:srgbClr val="00B050"/>
            </a:solidFill>
          </c:spPr>
          <c:invertIfNegative val="0"/>
          <c:val>
            <c:numRef>
              <c:f>'Calculations - Ref system'!$E$76:$G$76</c:f>
              <c:numCache>
                <c:formatCode>0</c:formatCode>
                <c:ptCount val="3"/>
                <c:pt idx="0">
                  <c:v>21.253905534791318</c:v>
                </c:pt>
                <c:pt idx="1">
                  <c:v>51.751211003380163</c:v>
                </c:pt>
                <c:pt idx="2">
                  <c:v>33.812042839898552</c:v>
                </c:pt>
              </c:numCache>
            </c:numRef>
          </c:val>
        </c:ser>
        <c:ser>
          <c:idx val="4"/>
          <c:order val="6"/>
          <c:tx>
            <c:v>Avoided fertilizer</c:v>
          </c:tx>
          <c:spPr>
            <a:solidFill>
              <a:srgbClr val="FFFF00"/>
            </a:solidFill>
          </c:spPr>
          <c:invertIfNegative val="0"/>
          <c:val>
            <c:numRef>
              <c:f>'Calculations - Ref system'!$E$80:$G$80</c:f>
              <c:numCache>
                <c:formatCode>0</c:formatCode>
                <c:ptCount val="3"/>
                <c:pt idx="2">
                  <c:v>-28.081607885219231</c:v>
                </c:pt>
              </c:numCache>
            </c:numRef>
          </c:val>
        </c:ser>
        <c:dLbls>
          <c:showLegendKey val="0"/>
          <c:showVal val="0"/>
          <c:showCatName val="0"/>
          <c:showSerName val="0"/>
          <c:showPercent val="0"/>
          <c:showBubbleSize val="0"/>
        </c:dLbls>
        <c:gapWidth val="150"/>
        <c:overlap val="100"/>
        <c:axId val="118108544"/>
        <c:axId val="118110080"/>
      </c:barChart>
      <c:catAx>
        <c:axId val="118108544"/>
        <c:scaling>
          <c:orientation val="minMax"/>
        </c:scaling>
        <c:delete val="1"/>
        <c:axPos val="b"/>
        <c:majorTickMark val="out"/>
        <c:minorTickMark val="none"/>
        <c:tickLblPos val="none"/>
        <c:crossAx val="118110080"/>
        <c:crosses val="autoZero"/>
        <c:auto val="1"/>
        <c:lblAlgn val="ctr"/>
        <c:lblOffset val="100"/>
        <c:noMultiLvlLbl val="0"/>
      </c:catAx>
      <c:valAx>
        <c:axId val="118110080"/>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00" sourceLinked="1"/>
        <c:majorTickMark val="out"/>
        <c:minorTickMark val="none"/>
        <c:tickLblPos val="nextTo"/>
        <c:crossAx val="118108544"/>
        <c:crosses val="autoZero"/>
        <c:crossBetween val="between"/>
      </c:valAx>
    </c:plotArea>
    <c:legend>
      <c:legendPos val="r"/>
      <c:layout>
        <c:manualLayout>
          <c:xMode val="edge"/>
          <c:yMode val="edge"/>
          <c:x val="0.69555889662369108"/>
          <c:y val="9.8489327604127069E-2"/>
          <c:w val="0.25692745305341591"/>
          <c:h val="0.52181430883729352"/>
        </c:manualLayout>
      </c:layout>
      <c:overlay val="0"/>
      <c:spPr>
        <a:solidFill>
          <a:schemeClr val="bg1"/>
        </a:solidFill>
      </c:spPr>
    </c:legend>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NH</a:t>
            </a:r>
            <a:r>
              <a:rPr lang="da-DK" baseline="-25000"/>
              <a:t>3</a:t>
            </a:r>
            <a:r>
              <a:rPr lang="da-DK"/>
              <a:t>-N</a:t>
            </a:r>
          </a:p>
        </c:rich>
      </c:tx>
      <c:overlay val="0"/>
    </c:title>
    <c:autoTitleDeleted val="0"/>
    <c:plotArea>
      <c:layout>
        <c:manualLayout>
          <c:layoutTarget val="inner"/>
          <c:xMode val="edge"/>
          <c:yMode val="edge"/>
          <c:x val="8.6071741032370933E-2"/>
          <c:y val="0.15359833750500876"/>
          <c:w val="0.87785447828287355"/>
          <c:h val="0.74995438768694445"/>
        </c:manualLayout>
      </c:layout>
      <c:barChart>
        <c:barDir val="col"/>
        <c:grouping val="stacked"/>
        <c:varyColors val="0"/>
        <c:ser>
          <c:idx val="0"/>
          <c:order val="0"/>
          <c:tx>
            <c:strRef>
              <c:f>'Calculations - Techn'!$B$69</c:f>
              <c:strCache>
                <c:ptCount val="1"/>
                <c:pt idx="0">
                  <c:v>Other (energy etc)</c:v>
                </c:pt>
              </c:strCache>
            </c:strRef>
          </c:tx>
          <c:spPr>
            <a:solidFill>
              <a:srgbClr val="C00000"/>
            </a:solidFill>
          </c:spPr>
          <c:invertIfNegative val="0"/>
          <c:val>
            <c:numRef>
              <c:f>'Calculations - Techn'!$E$141:$J$141</c:f>
              <c:numCache>
                <c:formatCode>0.00000</c:formatCode>
                <c:ptCount val="6"/>
                <c:pt idx="0" formatCode="0.0000000">
                  <c:v>2.9122922164393443E-4</c:v>
                </c:pt>
                <c:pt idx="1">
                  <c:v>9.969000279350063E-4</c:v>
                </c:pt>
                <c:pt idx="2" formatCode="0.000000">
                  <c:v>9.4806312769010032E-5</c:v>
                </c:pt>
                <c:pt idx="3" formatCode="0.000000">
                  <c:v>9.4806312769010032E-5</c:v>
                </c:pt>
              </c:numCache>
            </c:numRef>
          </c:val>
        </c:ser>
        <c:ser>
          <c:idx val="3"/>
          <c:order val="1"/>
          <c:tx>
            <c:v>System emissions</c:v>
          </c:tx>
          <c:spPr>
            <a:solidFill>
              <a:srgbClr val="00B050"/>
            </a:solidFill>
          </c:spPr>
          <c:invertIfNegative val="0"/>
          <c:val>
            <c:numRef>
              <c:f>'Calculations - Techn'!$E$142:$J$142</c:f>
              <c:numCache>
                <c:formatCode>0.00</c:formatCode>
                <c:ptCount val="6"/>
                <c:pt idx="0">
                  <c:v>0.71399999999999997</c:v>
                </c:pt>
                <c:pt idx="1">
                  <c:v>0.49979999999999997</c:v>
                </c:pt>
                <c:pt idx="2">
                  <c:v>9.8703825000000009E-2</c:v>
                </c:pt>
                <c:pt idx="3">
                  <c:v>5.1360037500000011E-2</c:v>
                </c:pt>
                <c:pt idx="4">
                  <c:v>0.63156991468007906</c:v>
                </c:pt>
                <c:pt idx="5">
                  <c:v>0.39815309098833779</c:v>
                </c:pt>
              </c:numCache>
            </c:numRef>
          </c:val>
        </c:ser>
        <c:ser>
          <c:idx val="4"/>
          <c:order val="2"/>
          <c:tx>
            <c:v>Avoided systems</c:v>
          </c:tx>
          <c:spPr>
            <a:solidFill>
              <a:srgbClr val="FFFF00"/>
            </a:solidFill>
          </c:spPr>
          <c:invertIfNegative val="0"/>
          <c:val>
            <c:numRef>
              <c:f>'Calculations - Techn'!$E$143:$J$143</c:f>
              <c:numCache>
                <c:formatCode>General</c:formatCode>
                <c:ptCount val="6"/>
                <c:pt idx="4" formatCode="0.00">
                  <c:v>-2.8238037773903806E-2</c:v>
                </c:pt>
                <c:pt idx="5" formatCode="0.00">
                  <c:v>-2.9669615777535373E-2</c:v>
                </c:pt>
              </c:numCache>
            </c:numRef>
          </c:val>
        </c:ser>
        <c:dLbls>
          <c:showLegendKey val="0"/>
          <c:showVal val="0"/>
          <c:showCatName val="0"/>
          <c:showSerName val="0"/>
          <c:showPercent val="0"/>
          <c:showBubbleSize val="0"/>
        </c:dLbls>
        <c:gapWidth val="150"/>
        <c:overlap val="100"/>
        <c:axId val="115660672"/>
        <c:axId val="115662208"/>
      </c:barChart>
      <c:catAx>
        <c:axId val="115660672"/>
        <c:scaling>
          <c:orientation val="minMax"/>
        </c:scaling>
        <c:delete val="1"/>
        <c:axPos val="b"/>
        <c:majorTickMark val="out"/>
        <c:minorTickMark val="none"/>
        <c:tickLblPos val="none"/>
        <c:crossAx val="115662208"/>
        <c:crosses val="autoZero"/>
        <c:auto val="1"/>
        <c:lblAlgn val="ctr"/>
        <c:lblOffset val="100"/>
        <c:noMultiLvlLbl val="0"/>
      </c:catAx>
      <c:valAx>
        <c:axId val="115662208"/>
        <c:scaling>
          <c:orientation val="minMax"/>
        </c:scaling>
        <c:delete val="0"/>
        <c:axPos val="l"/>
        <c:majorGridlines/>
        <c:title>
          <c:tx>
            <c:rich>
              <a:bodyPr rot="0" vert="horz"/>
              <a:lstStyle/>
              <a:p>
                <a:pPr>
                  <a:defRPr/>
                </a:pPr>
                <a:r>
                  <a:rPr lang="da-DK"/>
                  <a:t>kg/ton manure</a:t>
                </a:r>
              </a:p>
            </c:rich>
          </c:tx>
          <c:layout>
            <c:manualLayout>
              <c:xMode val="edge"/>
              <c:yMode val="edge"/>
              <c:x val="1.4349045563296638E-2"/>
              <c:y val="2.1313398272681871E-2"/>
            </c:manualLayout>
          </c:layout>
          <c:overlay val="0"/>
        </c:title>
        <c:numFmt formatCode="0.0" sourceLinked="0"/>
        <c:majorTickMark val="out"/>
        <c:minorTickMark val="none"/>
        <c:tickLblPos val="nextTo"/>
        <c:crossAx val="115660672"/>
        <c:crosses val="autoZero"/>
        <c:crossBetween val="between"/>
      </c:valAx>
    </c:plotArea>
    <c:legend>
      <c:legendPos val="r"/>
      <c:layout>
        <c:manualLayout>
          <c:xMode val="edge"/>
          <c:yMode val="edge"/>
          <c:x val="0.71222534075104948"/>
          <c:y val="0.1418101661299512"/>
          <c:w val="0.26389405662100279"/>
          <c:h val="0.21204721455253725"/>
        </c:manualLayout>
      </c:layout>
      <c:overlay val="0"/>
      <c:spPr>
        <a:solidFill>
          <a:sysClr val="window" lastClr="FFFFFF"/>
        </a:solidFill>
      </c:spPr>
    </c:legend>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Eutrophication</a:t>
            </a:r>
          </a:p>
          <a:p>
            <a:pPr>
              <a:defRPr/>
            </a:pPr>
            <a:r>
              <a:rPr lang="da-DK"/>
              <a:t>-from field</a:t>
            </a:r>
          </a:p>
        </c:rich>
      </c:tx>
      <c:overlay val="0"/>
    </c:title>
    <c:autoTitleDeleted val="0"/>
    <c:plotArea>
      <c:layout>
        <c:manualLayout>
          <c:layoutTarget val="inner"/>
          <c:xMode val="edge"/>
          <c:yMode val="edge"/>
          <c:x val="0.15055435789378074"/>
          <c:y val="0.25016452790639315"/>
          <c:w val="0.81236603355507664"/>
          <c:h val="0.70647329665950076"/>
        </c:manualLayout>
      </c:layout>
      <c:barChart>
        <c:barDir val="col"/>
        <c:grouping val="stacked"/>
        <c:varyColors val="0"/>
        <c:ser>
          <c:idx val="0"/>
          <c:order val="0"/>
          <c:tx>
            <c:v>Tot-N</c:v>
          </c:tx>
          <c:invertIfNegative val="0"/>
          <c:dPt>
            <c:idx val="2"/>
            <c:invertIfNegative val="0"/>
            <c:bubble3D val="0"/>
            <c:spPr>
              <a:solidFill>
                <a:schemeClr val="accent5">
                  <a:lumMod val="40000"/>
                  <a:lumOff val="60000"/>
                </a:schemeClr>
              </a:solidFill>
            </c:spPr>
          </c:dPt>
          <c:dPt>
            <c:idx val="3"/>
            <c:invertIfNegative val="0"/>
            <c:bubble3D val="0"/>
            <c:spPr>
              <a:solidFill>
                <a:schemeClr val="accent5">
                  <a:lumMod val="40000"/>
                  <a:lumOff val="60000"/>
                </a:schemeClr>
              </a:solidFill>
            </c:spPr>
          </c:dPt>
          <c:val>
            <c:numRef>
              <c:f>'Calculations - Techn'!$F$161:$I$161</c:f>
              <c:numCache>
                <c:formatCode>0.00</c:formatCode>
                <c:ptCount val="4"/>
                <c:pt idx="0">
                  <c:v>1.9999999656101073</c:v>
                </c:pt>
                <c:pt idx="1">
                  <c:v>2.2208394805544476</c:v>
                </c:pt>
                <c:pt idx="2">
                  <c:v>0.12127659574468085</c:v>
                </c:pt>
                <c:pt idx="3">
                  <c:v>0.12127659574468085</c:v>
                </c:pt>
              </c:numCache>
            </c:numRef>
          </c:val>
        </c:ser>
        <c:ser>
          <c:idx val="1"/>
          <c:order val="1"/>
          <c:tx>
            <c:v>Tot-P</c:v>
          </c:tx>
          <c:spPr>
            <a:solidFill>
              <a:schemeClr val="accent5">
                <a:lumMod val="40000"/>
                <a:lumOff val="60000"/>
              </a:schemeClr>
            </a:solidFill>
          </c:spPr>
          <c:invertIfNegative val="0"/>
          <c:val>
            <c:numRef>
              <c:f>'Calculations - Techn'!$I$163:$J$163</c:f>
              <c:numCache>
                <c:formatCode>General</c:formatCode>
                <c:ptCount val="2"/>
              </c:numCache>
            </c:numRef>
          </c:val>
        </c:ser>
        <c:dLbls>
          <c:showLegendKey val="0"/>
          <c:showVal val="0"/>
          <c:showCatName val="0"/>
          <c:showSerName val="0"/>
          <c:showPercent val="0"/>
          <c:showBubbleSize val="0"/>
        </c:dLbls>
        <c:gapWidth val="55"/>
        <c:overlap val="100"/>
        <c:axId val="115729536"/>
        <c:axId val="115731072"/>
      </c:barChart>
      <c:catAx>
        <c:axId val="115729536"/>
        <c:scaling>
          <c:orientation val="minMax"/>
        </c:scaling>
        <c:delete val="0"/>
        <c:axPos val="b"/>
        <c:majorTickMark val="none"/>
        <c:minorTickMark val="none"/>
        <c:tickLblPos val="none"/>
        <c:crossAx val="115731072"/>
        <c:crosses val="autoZero"/>
        <c:auto val="1"/>
        <c:lblAlgn val="ctr"/>
        <c:lblOffset val="100"/>
        <c:noMultiLvlLbl val="0"/>
      </c:catAx>
      <c:valAx>
        <c:axId val="115731072"/>
        <c:scaling>
          <c:orientation val="minMax"/>
          <c:min val="-0.5"/>
        </c:scaling>
        <c:delete val="0"/>
        <c:axPos val="l"/>
        <c:majorGridlines/>
        <c:title>
          <c:tx>
            <c:rich>
              <a:bodyPr rot="0" vert="horz"/>
              <a:lstStyle/>
              <a:p>
                <a:pPr>
                  <a:defRPr/>
                </a:pPr>
                <a:r>
                  <a:rPr lang="da-DK"/>
                  <a:t>kg/ton manure</a:t>
                </a:r>
              </a:p>
            </c:rich>
          </c:tx>
          <c:layout>
            <c:manualLayout>
              <c:xMode val="edge"/>
              <c:yMode val="edge"/>
              <c:x val="2.0600863938593211E-2"/>
              <c:y val="0.1050346154413901"/>
            </c:manualLayout>
          </c:layout>
          <c:overlay val="0"/>
        </c:title>
        <c:numFmt formatCode="0.00" sourceLinked="1"/>
        <c:majorTickMark val="none"/>
        <c:minorTickMark val="none"/>
        <c:tickLblPos val="nextTo"/>
        <c:crossAx val="115729536"/>
        <c:crosses val="autoZero"/>
        <c:crossBetween val="between"/>
      </c:valAx>
    </c:plotArea>
    <c:legend>
      <c:legendPos val="r"/>
      <c:layout>
        <c:manualLayout>
          <c:xMode val="edge"/>
          <c:yMode val="edge"/>
          <c:x val="0.80635382551554879"/>
          <c:y val="0.20861000674103145"/>
          <c:w val="0.16480496497042071"/>
          <c:h val="0.14124982163329791"/>
        </c:manualLayout>
      </c:layout>
      <c:overlay val="0"/>
      <c:spPr>
        <a:solidFill>
          <a:sysClr val="window" lastClr="FFFFFF"/>
        </a:solidFill>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 - excluding feed</a:t>
            </a:r>
          </a:p>
        </c:rich>
      </c:tx>
      <c:overlay val="0"/>
    </c:title>
    <c:autoTitleDeleted val="0"/>
    <c:plotArea>
      <c:layout>
        <c:manualLayout>
          <c:layoutTarget val="inner"/>
          <c:xMode val="edge"/>
          <c:yMode val="edge"/>
          <c:x val="8.6071741032370933E-2"/>
          <c:y val="0.15359833750500876"/>
          <c:w val="0.66898368667581209"/>
          <c:h val="0.74995438768694445"/>
        </c:manualLayout>
      </c:layout>
      <c:barChart>
        <c:barDir val="col"/>
        <c:grouping val="stacked"/>
        <c:varyColors val="0"/>
        <c:ser>
          <c:idx val="1"/>
          <c:order val="0"/>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1"/>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2"/>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3"/>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4"/>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5"/>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6"/>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7"/>
          <c:tx>
            <c:v>Avoided S-fertilizer</c:v>
          </c:tx>
          <c:invertIfNegative val="0"/>
          <c:val>
            <c:numRef>
              <c:f>'Calculations - Techn'!$E$157:$J$157</c:f>
              <c:numCache>
                <c:formatCode>General</c:formatCode>
                <c:ptCount val="6"/>
                <c:pt idx="5" formatCode="0.0">
                  <c:v>0</c:v>
                </c:pt>
              </c:numCache>
            </c:numRef>
          </c:val>
        </c:ser>
        <c:ser>
          <c:idx val="9"/>
          <c:order val="8"/>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150"/>
        <c:overlap val="100"/>
        <c:axId val="115854336"/>
        <c:axId val="115864320"/>
      </c:barChart>
      <c:catAx>
        <c:axId val="115854336"/>
        <c:scaling>
          <c:orientation val="minMax"/>
        </c:scaling>
        <c:delete val="1"/>
        <c:axPos val="b"/>
        <c:majorTickMark val="out"/>
        <c:minorTickMark val="none"/>
        <c:tickLblPos val="none"/>
        <c:crossAx val="115864320"/>
        <c:crosses val="autoZero"/>
        <c:auto val="1"/>
        <c:lblAlgn val="ctr"/>
        <c:lblOffset val="100"/>
        <c:noMultiLvlLbl val="0"/>
      </c:catAx>
      <c:valAx>
        <c:axId val="115864320"/>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5854336"/>
        <c:crosses val="autoZero"/>
        <c:crossBetween val="between"/>
      </c:valAx>
    </c:plotArea>
    <c:legend>
      <c:legendPos val="r"/>
      <c:layout>
        <c:manualLayout>
          <c:xMode val="edge"/>
          <c:yMode val="edge"/>
          <c:x val="0.7627053911924756"/>
          <c:y val="0.12194209873985982"/>
          <c:w val="0.23729470076520079"/>
          <c:h val="0.70682404850845626"/>
        </c:manualLayout>
      </c:layout>
      <c:overlay val="0"/>
      <c:spPr>
        <a:solidFill>
          <a:sysClr val="window" lastClr="FFFFFF"/>
        </a:solidFill>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 - including feed</a:t>
            </a:r>
          </a:p>
        </c:rich>
      </c:tx>
      <c:overlay val="0"/>
    </c:title>
    <c:autoTitleDeleted val="0"/>
    <c:plotArea>
      <c:layout>
        <c:manualLayout>
          <c:layoutTarget val="inner"/>
          <c:xMode val="edge"/>
          <c:yMode val="edge"/>
          <c:x val="8.6071741032370933E-2"/>
          <c:y val="0.15359833750500862"/>
          <c:w val="0.67144825749991222"/>
          <c:h val="0.74995438768694445"/>
        </c:manualLayout>
      </c:layout>
      <c:barChart>
        <c:barDir val="col"/>
        <c:grouping val="stacked"/>
        <c:varyColors val="0"/>
        <c:ser>
          <c:idx val="10"/>
          <c:order val="0"/>
          <c:tx>
            <c:strRef>
              <c:f>'Calculations - Techn'!$C$146</c:f>
              <c:strCache>
                <c:ptCount val="1"/>
                <c:pt idx="0">
                  <c:v>LUC from feed</c:v>
                </c:pt>
              </c:strCache>
            </c:strRef>
          </c:tx>
          <c:spPr>
            <a:solidFill>
              <a:srgbClr val="C00000"/>
            </a:solidFill>
          </c:spPr>
          <c:invertIfNegative val="0"/>
          <c:val>
            <c:numRef>
              <c:f>'Calculations - Techn'!$E$146:$J$146</c:f>
              <c:numCache>
                <c:formatCode>0</c:formatCode>
                <c:ptCount val="6"/>
                <c:pt idx="0">
                  <c:v>0</c:v>
                </c:pt>
                <c:pt idx="1">
                  <c:v>0</c:v>
                </c:pt>
              </c:numCache>
            </c:numRef>
          </c:val>
        </c:ser>
        <c:ser>
          <c:idx val="0"/>
          <c:order val="1"/>
          <c:tx>
            <c:strRef>
              <c:f>'Calculations - Techn'!$C$145</c:f>
              <c:strCache>
                <c:ptCount val="1"/>
                <c:pt idx="0">
                  <c:v>Feed excl LUC</c:v>
                </c:pt>
              </c:strCache>
            </c:strRef>
          </c:tx>
          <c:spPr>
            <a:solidFill>
              <a:srgbClr val="FF66FF"/>
            </a:solidFill>
          </c:spPr>
          <c:invertIfNegative val="0"/>
          <c:val>
            <c:numRef>
              <c:f>'Calculations - Techn'!$E$145:$J$145</c:f>
              <c:numCache>
                <c:formatCode>0</c:formatCode>
                <c:ptCount val="6"/>
                <c:pt idx="0">
                  <c:v>0</c:v>
                </c:pt>
                <c:pt idx="1">
                  <c:v>0</c:v>
                </c:pt>
              </c:numCache>
            </c:numRef>
          </c:val>
        </c:ser>
        <c:ser>
          <c:idx val="1"/>
          <c:order val="2"/>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3"/>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4"/>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5"/>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6"/>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7"/>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8"/>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9"/>
          <c:tx>
            <c:v>Avoided S-fertilizer</c:v>
          </c:tx>
          <c:invertIfNegative val="0"/>
          <c:val>
            <c:numRef>
              <c:f>'Calculations - Techn'!$E$157:$J$157</c:f>
              <c:numCache>
                <c:formatCode>General</c:formatCode>
                <c:ptCount val="6"/>
                <c:pt idx="5" formatCode="0.0">
                  <c:v>0</c:v>
                </c:pt>
              </c:numCache>
            </c:numRef>
          </c:val>
        </c:ser>
        <c:ser>
          <c:idx val="9"/>
          <c:order val="10"/>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150"/>
        <c:overlap val="100"/>
        <c:axId val="118629120"/>
        <c:axId val="118630656"/>
      </c:barChart>
      <c:catAx>
        <c:axId val="118629120"/>
        <c:scaling>
          <c:orientation val="minMax"/>
        </c:scaling>
        <c:delete val="1"/>
        <c:axPos val="b"/>
        <c:majorTickMark val="out"/>
        <c:minorTickMark val="none"/>
        <c:tickLblPos val="none"/>
        <c:crossAx val="118630656"/>
        <c:crosses val="autoZero"/>
        <c:auto val="1"/>
        <c:lblAlgn val="ctr"/>
        <c:lblOffset val="100"/>
        <c:noMultiLvlLbl val="0"/>
      </c:catAx>
      <c:valAx>
        <c:axId val="118630656"/>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8629120"/>
        <c:crosses val="autoZero"/>
        <c:crossBetween val="between"/>
      </c:valAx>
    </c:plotArea>
    <c:legend>
      <c:legendPos val="r"/>
      <c:layout>
        <c:manualLayout>
          <c:xMode val="edge"/>
          <c:yMode val="edge"/>
          <c:x val="0.76270539119247516"/>
          <c:y val="0.12194209873985982"/>
          <c:w val="0.21839693734820415"/>
          <c:h val="0.77750645335930169"/>
        </c:manualLayout>
      </c:layout>
      <c:overlay val="0"/>
      <c:spPr>
        <a:solidFill>
          <a:sysClr val="window" lastClr="FFFFFF"/>
        </a:solidFill>
      </c:spPr>
    </c:legend>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 - including feed</a:t>
            </a:r>
          </a:p>
        </c:rich>
      </c:tx>
      <c:overlay val="0"/>
    </c:title>
    <c:autoTitleDeleted val="0"/>
    <c:plotArea>
      <c:layout>
        <c:manualLayout>
          <c:layoutTarget val="inner"/>
          <c:xMode val="edge"/>
          <c:yMode val="edge"/>
          <c:x val="8.6071741032370933E-2"/>
          <c:y val="0.15359833750500862"/>
          <c:w val="0.67144825749991222"/>
          <c:h val="0.74995438768694445"/>
        </c:manualLayout>
      </c:layout>
      <c:barChart>
        <c:barDir val="col"/>
        <c:grouping val="stacked"/>
        <c:varyColors val="0"/>
        <c:ser>
          <c:idx val="10"/>
          <c:order val="0"/>
          <c:tx>
            <c:strRef>
              <c:f>'Calculations - Techn'!$C$146</c:f>
              <c:strCache>
                <c:ptCount val="1"/>
                <c:pt idx="0">
                  <c:v>LUC from feed</c:v>
                </c:pt>
              </c:strCache>
            </c:strRef>
          </c:tx>
          <c:spPr>
            <a:solidFill>
              <a:srgbClr val="C00000"/>
            </a:solidFill>
          </c:spPr>
          <c:invertIfNegative val="0"/>
          <c:val>
            <c:numRef>
              <c:f>'Calculations - Techn'!$E$146:$J$146</c:f>
              <c:numCache>
                <c:formatCode>0</c:formatCode>
                <c:ptCount val="6"/>
                <c:pt idx="0">
                  <c:v>0</c:v>
                </c:pt>
                <c:pt idx="1">
                  <c:v>0</c:v>
                </c:pt>
              </c:numCache>
            </c:numRef>
          </c:val>
        </c:ser>
        <c:ser>
          <c:idx val="0"/>
          <c:order val="1"/>
          <c:tx>
            <c:strRef>
              <c:f>'Calculations - Techn'!$C$145</c:f>
              <c:strCache>
                <c:ptCount val="1"/>
                <c:pt idx="0">
                  <c:v>Feed excl LUC</c:v>
                </c:pt>
              </c:strCache>
            </c:strRef>
          </c:tx>
          <c:spPr>
            <a:solidFill>
              <a:srgbClr val="FF66FF"/>
            </a:solidFill>
          </c:spPr>
          <c:invertIfNegative val="0"/>
          <c:val>
            <c:numRef>
              <c:f>'Calculations - Techn'!$E$145:$J$145</c:f>
              <c:numCache>
                <c:formatCode>0</c:formatCode>
                <c:ptCount val="6"/>
                <c:pt idx="0">
                  <c:v>0</c:v>
                </c:pt>
                <c:pt idx="1">
                  <c:v>0</c:v>
                </c:pt>
              </c:numCache>
            </c:numRef>
          </c:val>
        </c:ser>
        <c:ser>
          <c:idx val="1"/>
          <c:order val="2"/>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3"/>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4"/>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5"/>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6"/>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7"/>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8"/>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9"/>
          <c:tx>
            <c:v>Avoided S-fertilizer</c:v>
          </c:tx>
          <c:invertIfNegative val="0"/>
          <c:val>
            <c:numRef>
              <c:f>'Calculations - Techn'!$E$157:$J$157</c:f>
              <c:numCache>
                <c:formatCode>General</c:formatCode>
                <c:ptCount val="6"/>
                <c:pt idx="5" formatCode="0.0">
                  <c:v>0</c:v>
                </c:pt>
              </c:numCache>
            </c:numRef>
          </c:val>
        </c:ser>
        <c:ser>
          <c:idx val="9"/>
          <c:order val="10"/>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150"/>
        <c:overlap val="100"/>
        <c:axId val="118283648"/>
        <c:axId val="118289536"/>
      </c:barChart>
      <c:catAx>
        <c:axId val="118283648"/>
        <c:scaling>
          <c:orientation val="minMax"/>
        </c:scaling>
        <c:delete val="1"/>
        <c:axPos val="b"/>
        <c:majorTickMark val="out"/>
        <c:minorTickMark val="none"/>
        <c:tickLblPos val="none"/>
        <c:crossAx val="118289536"/>
        <c:crosses val="autoZero"/>
        <c:auto val="1"/>
        <c:lblAlgn val="ctr"/>
        <c:lblOffset val="100"/>
        <c:noMultiLvlLbl val="0"/>
      </c:catAx>
      <c:valAx>
        <c:axId val="118289536"/>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8283648"/>
        <c:crosses val="autoZero"/>
        <c:crossBetween val="between"/>
      </c:valAx>
      <c:spPr>
        <a:noFill/>
      </c:spPr>
    </c:plotArea>
    <c:legend>
      <c:legendPos val="r"/>
      <c:layout>
        <c:manualLayout>
          <c:xMode val="edge"/>
          <c:yMode val="edge"/>
          <c:x val="0.76270539119247516"/>
          <c:y val="0.12194209873985982"/>
          <c:w val="0.21839693734820415"/>
          <c:h val="0.77750645335930169"/>
        </c:manualLayout>
      </c:layout>
      <c:overlay val="0"/>
      <c:spPr>
        <a:solidFill>
          <a:sysClr val="window" lastClr="FFFFFF"/>
        </a:solidFill>
      </c:spPr>
    </c:legend>
    <c:plotVisOnly val="1"/>
    <c:dispBlanksAs val="gap"/>
    <c:showDLblsOverMax val="0"/>
  </c:chart>
  <c:spPr>
    <a:noFill/>
  </c:spPr>
  <c:printSettings>
    <c:headerFooter/>
    <c:pageMargins b="0.75000000000000144" l="0.70000000000000062" r="0.70000000000000062" t="0.75000000000000144"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NH</a:t>
            </a:r>
            <a:r>
              <a:rPr lang="da-DK" baseline="-25000"/>
              <a:t>3</a:t>
            </a:r>
            <a:r>
              <a:rPr lang="da-DK"/>
              <a:t>-N</a:t>
            </a:r>
          </a:p>
        </c:rich>
      </c:tx>
      <c:overlay val="0"/>
    </c:title>
    <c:autoTitleDeleted val="0"/>
    <c:plotArea>
      <c:layout>
        <c:manualLayout>
          <c:layoutTarget val="inner"/>
          <c:xMode val="edge"/>
          <c:yMode val="edge"/>
          <c:x val="8.6071741032370933E-2"/>
          <c:y val="0.15359833750500876"/>
          <c:w val="0.87785447828287355"/>
          <c:h val="0.74995438768694445"/>
        </c:manualLayout>
      </c:layout>
      <c:barChart>
        <c:barDir val="col"/>
        <c:grouping val="stacked"/>
        <c:varyColors val="0"/>
        <c:ser>
          <c:idx val="0"/>
          <c:order val="0"/>
          <c:tx>
            <c:strRef>
              <c:f>'Calculations - Techn'!$B$69</c:f>
              <c:strCache>
                <c:ptCount val="1"/>
                <c:pt idx="0">
                  <c:v>Other (energy etc)</c:v>
                </c:pt>
              </c:strCache>
            </c:strRef>
          </c:tx>
          <c:spPr>
            <a:solidFill>
              <a:srgbClr val="C00000"/>
            </a:solidFill>
          </c:spPr>
          <c:invertIfNegative val="0"/>
          <c:val>
            <c:numRef>
              <c:f>'Calculations - Techn'!$E$141:$J$141</c:f>
              <c:numCache>
                <c:formatCode>0.00000</c:formatCode>
                <c:ptCount val="6"/>
                <c:pt idx="0" formatCode="0.0000000">
                  <c:v>2.9122922164393443E-4</c:v>
                </c:pt>
                <c:pt idx="1">
                  <c:v>9.969000279350063E-4</c:v>
                </c:pt>
                <c:pt idx="2" formatCode="0.000000">
                  <c:v>9.4806312769010032E-5</c:v>
                </c:pt>
                <c:pt idx="3" formatCode="0.000000">
                  <c:v>9.4806312769010032E-5</c:v>
                </c:pt>
              </c:numCache>
            </c:numRef>
          </c:val>
        </c:ser>
        <c:ser>
          <c:idx val="3"/>
          <c:order val="1"/>
          <c:tx>
            <c:v>System emissions</c:v>
          </c:tx>
          <c:spPr>
            <a:solidFill>
              <a:srgbClr val="00B050"/>
            </a:solidFill>
          </c:spPr>
          <c:invertIfNegative val="0"/>
          <c:val>
            <c:numRef>
              <c:f>'Calculations - Techn'!$E$142:$J$142</c:f>
              <c:numCache>
                <c:formatCode>0.00</c:formatCode>
                <c:ptCount val="6"/>
                <c:pt idx="0">
                  <c:v>0.71399999999999997</c:v>
                </c:pt>
                <c:pt idx="1">
                  <c:v>0.49979999999999997</c:v>
                </c:pt>
                <c:pt idx="2">
                  <c:v>9.8703825000000009E-2</c:v>
                </c:pt>
                <c:pt idx="3">
                  <c:v>5.1360037500000011E-2</c:v>
                </c:pt>
                <c:pt idx="4">
                  <c:v>0.63156991468007906</c:v>
                </c:pt>
                <c:pt idx="5">
                  <c:v>0.39815309098833779</c:v>
                </c:pt>
              </c:numCache>
            </c:numRef>
          </c:val>
        </c:ser>
        <c:ser>
          <c:idx val="4"/>
          <c:order val="2"/>
          <c:tx>
            <c:v>Avoided systems</c:v>
          </c:tx>
          <c:spPr>
            <a:solidFill>
              <a:srgbClr val="FFFF00"/>
            </a:solidFill>
          </c:spPr>
          <c:invertIfNegative val="0"/>
          <c:val>
            <c:numRef>
              <c:f>'Calculations - Techn'!$E$143:$J$143</c:f>
              <c:numCache>
                <c:formatCode>General</c:formatCode>
                <c:ptCount val="6"/>
                <c:pt idx="4" formatCode="0.00">
                  <c:v>-2.8238037773903806E-2</c:v>
                </c:pt>
                <c:pt idx="5" formatCode="0.00">
                  <c:v>-2.9669615777535373E-2</c:v>
                </c:pt>
              </c:numCache>
            </c:numRef>
          </c:val>
        </c:ser>
        <c:dLbls>
          <c:showLegendKey val="0"/>
          <c:showVal val="0"/>
          <c:showCatName val="0"/>
          <c:showSerName val="0"/>
          <c:showPercent val="0"/>
          <c:showBubbleSize val="0"/>
        </c:dLbls>
        <c:gapWidth val="150"/>
        <c:overlap val="100"/>
        <c:axId val="118455296"/>
        <c:axId val="118461184"/>
      </c:barChart>
      <c:catAx>
        <c:axId val="118455296"/>
        <c:scaling>
          <c:orientation val="minMax"/>
        </c:scaling>
        <c:delete val="1"/>
        <c:axPos val="b"/>
        <c:majorTickMark val="out"/>
        <c:minorTickMark val="none"/>
        <c:tickLblPos val="none"/>
        <c:crossAx val="118461184"/>
        <c:crosses val="autoZero"/>
        <c:auto val="1"/>
        <c:lblAlgn val="ctr"/>
        <c:lblOffset val="100"/>
        <c:noMultiLvlLbl val="0"/>
      </c:catAx>
      <c:valAx>
        <c:axId val="118461184"/>
        <c:scaling>
          <c:orientation val="minMax"/>
        </c:scaling>
        <c:delete val="0"/>
        <c:axPos val="l"/>
        <c:majorGridlines/>
        <c:title>
          <c:tx>
            <c:rich>
              <a:bodyPr rot="0" vert="horz"/>
              <a:lstStyle/>
              <a:p>
                <a:pPr>
                  <a:defRPr/>
                </a:pPr>
                <a:r>
                  <a:rPr lang="da-DK"/>
                  <a:t>kg/ton manure</a:t>
                </a:r>
              </a:p>
            </c:rich>
          </c:tx>
          <c:layout>
            <c:manualLayout>
              <c:xMode val="edge"/>
              <c:yMode val="edge"/>
              <c:x val="1.4349045563296638E-2"/>
              <c:y val="2.1313398272681871E-2"/>
            </c:manualLayout>
          </c:layout>
          <c:overlay val="0"/>
        </c:title>
        <c:numFmt formatCode="0.0" sourceLinked="0"/>
        <c:majorTickMark val="out"/>
        <c:minorTickMark val="none"/>
        <c:tickLblPos val="nextTo"/>
        <c:crossAx val="118455296"/>
        <c:crosses val="autoZero"/>
        <c:crossBetween val="between"/>
      </c:valAx>
      <c:spPr>
        <a:noFill/>
      </c:spPr>
    </c:plotArea>
    <c:legend>
      <c:legendPos val="r"/>
      <c:layout>
        <c:manualLayout>
          <c:xMode val="edge"/>
          <c:yMode val="edge"/>
          <c:x val="0.71222534075104948"/>
          <c:y val="0.1418101661299512"/>
          <c:w val="0.26389405662100279"/>
          <c:h val="0.21204721455253725"/>
        </c:manualLayout>
      </c:layout>
      <c:overlay val="0"/>
      <c:spPr>
        <a:solidFill>
          <a:sysClr val="window" lastClr="FFFFFF"/>
        </a:solidFill>
      </c:spPr>
    </c:legend>
    <c:plotVisOnly val="1"/>
    <c:dispBlanksAs val="gap"/>
    <c:showDLblsOverMax val="0"/>
  </c:chart>
  <c:spPr>
    <a:noFill/>
  </c:spPr>
  <c:printSettings>
    <c:headerFooter/>
    <c:pageMargins b="0.75000000000000144" l="0.70000000000000062" r="0.70000000000000062" t="0.750000000000001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a-DK" sz="1200"/>
              <a:t>Eutrophication</a:t>
            </a:r>
          </a:p>
          <a:p>
            <a:pPr>
              <a:defRPr sz="1200"/>
            </a:pPr>
            <a:r>
              <a:rPr lang="da-DK" sz="1200"/>
              <a:t>-from field</a:t>
            </a:r>
          </a:p>
        </c:rich>
      </c:tx>
      <c:overlay val="0"/>
    </c:title>
    <c:autoTitleDeleted val="0"/>
    <c:plotArea>
      <c:layout>
        <c:manualLayout>
          <c:layoutTarget val="inner"/>
          <c:xMode val="edge"/>
          <c:yMode val="edge"/>
          <c:x val="0.15055435789378074"/>
          <c:y val="0.25016452790639315"/>
          <c:w val="0.81236603355507664"/>
          <c:h val="0.70647329665950076"/>
        </c:manualLayout>
      </c:layout>
      <c:barChart>
        <c:barDir val="col"/>
        <c:grouping val="stacked"/>
        <c:varyColors val="0"/>
        <c:ser>
          <c:idx val="0"/>
          <c:order val="0"/>
          <c:tx>
            <c:v>Tot-N</c:v>
          </c:tx>
          <c:invertIfNegative val="0"/>
          <c:dPt>
            <c:idx val="2"/>
            <c:invertIfNegative val="0"/>
            <c:bubble3D val="0"/>
            <c:spPr>
              <a:solidFill>
                <a:schemeClr val="accent5">
                  <a:lumMod val="40000"/>
                  <a:lumOff val="60000"/>
                </a:schemeClr>
              </a:solidFill>
            </c:spPr>
          </c:dPt>
          <c:dPt>
            <c:idx val="3"/>
            <c:invertIfNegative val="0"/>
            <c:bubble3D val="0"/>
            <c:spPr>
              <a:solidFill>
                <a:schemeClr val="accent5">
                  <a:lumMod val="40000"/>
                  <a:lumOff val="60000"/>
                </a:schemeClr>
              </a:solidFill>
            </c:spPr>
          </c:dPt>
          <c:val>
            <c:numRef>
              <c:f>'Calculations - Techn'!$F$161:$I$161</c:f>
              <c:numCache>
                <c:formatCode>0.00</c:formatCode>
                <c:ptCount val="4"/>
                <c:pt idx="0">
                  <c:v>1.9999999656101073</c:v>
                </c:pt>
                <c:pt idx="1">
                  <c:v>2.2208394805544476</c:v>
                </c:pt>
                <c:pt idx="2">
                  <c:v>0.12127659574468085</c:v>
                </c:pt>
                <c:pt idx="3">
                  <c:v>0.12127659574468085</c:v>
                </c:pt>
              </c:numCache>
            </c:numRef>
          </c:val>
        </c:ser>
        <c:ser>
          <c:idx val="1"/>
          <c:order val="1"/>
          <c:tx>
            <c:v>Tot-P</c:v>
          </c:tx>
          <c:spPr>
            <a:solidFill>
              <a:schemeClr val="accent5">
                <a:lumMod val="40000"/>
                <a:lumOff val="60000"/>
              </a:schemeClr>
            </a:solidFill>
          </c:spPr>
          <c:invertIfNegative val="0"/>
          <c:val>
            <c:numRef>
              <c:f>'Calculations - Techn'!$I$163:$J$163</c:f>
              <c:numCache>
                <c:formatCode>General</c:formatCode>
                <c:ptCount val="2"/>
              </c:numCache>
            </c:numRef>
          </c:val>
        </c:ser>
        <c:dLbls>
          <c:showLegendKey val="0"/>
          <c:showVal val="0"/>
          <c:showCatName val="0"/>
          <c:showSerName val="0"/>
          <c:showPercent val="0"/>
          <c:showBubbleSize val="0"/>
        </c:dLbls>
        <c:gapWidth val="55"/>
        <c:overlap val="100"/>
        <c:axId val="118782208"/>
        <c:axId val="118784000"/>
      </c:barChart>
      <c:catAx>
        <c:axId val="118782208"/>
        <c:scaling>
          <c:orientation val="minMax"/>
        </c:scaling>
        <c:delete val="0"/>
        <c:axPos val="b"/>
        <c:majorTickMark val="none"/>
        <c:minorTickMark val="none"/>
        <c:tickLblPos val="none"/>
        <c:crossAx val="118784000"/>
        <c:crosses val="autoZero"/>
        <c:auto val="1"/>
        <c:lblAlgn val="ctr"/>
        <c:lblOffset val="100"/>
        <c:noMultiLvlLbl val="0"/>
      </c:catAx>
      <c:valAx>
        <c:axId val="118784000"/>
        <c:scaling>
          <c:orientation val="minMax"/>
          <c:min val="-0.5"/>
        </c:scaling>
        <c:delete val="0"/>
        <c:axPos val="l"/>
        <c:majorGridlines/>
        <c:title>
          <c:tx>
            <c:rich>
              <a:bodyPr rot="0" vert="horz"/>
              <a:lstStyle/>
              <a:p>
                <a:pPr>
                  <a:defRPr/>
                </a:pPr>
                <a:r>
                  <a:rPr lang="da-DK"/>
                  <a:t>kg/ton manure</a:t>
                </a:r>
              </a:p>
            </c:rich>
          </c:tx>
          <c:layout>
            <c:manualLayout>
              <c:xMode val="edge"/>
              <c:yMode val="edge"/>
              <c:x val="2.0600996370848428E-2"/>
              <c:y val="5.9057380758439672E-2"/>
            </c:manualLayout>
          </c:layout>
          <c:overlay val="0"/>
        </c:title>
        <c:numFmt formatCode="0.00" sourceLinked="1"/>
        <c:majorTickMark val="none"/>
        <c:minorTickMark val="none"/>
        <c:tickLblPos val="nextTo"/>
        <c:crossAx val="118782208"/>
        <c:crosses val="autoZero"/>
        <c:crossBetween val="between"/>
      </c:valAx>
      <c:spPr>
        <a:noFill/>
      </c:spPr>
    </c:plotArea>
    <c:legend>
      <c:legendPos val="r"/>
      <c:layout>
        <c:manualLayout>
          <c:xMode val="edge"/>
          <c:yMode val="edge"/>
          <c:x val="0.80635382551554879"/>
          <c:y val="0.20861000674103145"/>
          <c:w val="0.16480496497042071"/>
          <c:h val="0.14124982163329791"/>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a:t>
            </a:r>
          </a:p>
        </c:rich>
      </c:tx>
      <c:overlay val="0"/>
    </c:title>
    <c:autoTitleDeleted val="0"/>
    <c:plotArea>
      <c:layout>
        <c:manualLayout>
          <c:layoutTarget val="inner"/>
          <c:xMode val="edge"/>
          <c:yMode val="edge"/>
          <c:x val="8.6071741032370933E-2"/>
          <c:y val="0.15359833750500876"/>
          <c:w val="0.66898368667581209"/>
          <c:h val="0.74995438768694445"/>
        </c:manualLayout>
      </c:layout>
      <c:barChart>
        <c:barDir val="col"/>
        <c:grouping val="stacked"/>
        <c:varyColors val="0"/>
        <c:ser>
          <c:idx val="1"/>
          <c:order val="0"/>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1"/>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2"/>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3"/>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4"/>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5"/>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6"/>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7"/>
          <c:tx>
            <c:v>Avoided S-fertilizer</c:v>
          </c:tx>
          <c:invertIfNegative val="0"/>
          <c:val>
            <c:numRef>
              <c:f>'Calculations - Techn'!$E$157:$J$157</c:f>
              <c:numCache>
                <c:formatCode>General</c:formatCode>
                <c:ptCount val="6"/>
                <c:pt idx="5" formatCode="0.0">
                  <c:v>0</c:v>
                </c:pt>
              </c:numCache>
            </c:numRef>
          </c:val>
        </c:ser>
        <c:ser>
          <c:idx val="9"/>
          <c:order val="8"/>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150"/>
        <c:overlap val="100"/>
        <c:axId val="118845824"/>
        <c:axId val="118847360"/>
      </c:barChart>
      <c:catAx>
        <c:axId val="118845824"/>
        <c:scaling>
          <c:orientation val="minMax"/>
        </c:scaling>
        <c:delete val="1"/>
        <c:axPos val="b"/>
        <c:majorTickMark val="out"/>
        <c:minorTickMark val="none"/>
        <c:tickLblPos val="none"/>
        <c:crossAx val="118847360"/>
        <c:crosses val="autoZero"/>
        <c:auto val="1"/>
        <c:lblAlgn val="ctr"/>
        <c:lblOffset val="100"/>
        <c:noMultiLvlLbl val="0"/>
      </c:catAx>
      <c:valAx>
        <c:axId val="118847360"/>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8845824"/>
        <c:crosses val="autoZero"/>
        <c:crossBetween val="between"/>
      </c:valAx>
      <c:spPr>
        <a:noFill/>
      </c:spPr>
    </c:plotArea>
    <c:legend>
      <c:legendPos val="r"/>
      <c:layout>
        <c:manualLayout>
          <c:xMode val="edge"/>
          <c:yMode val="edge"/>
          <c:x val="0.7627053911924756"/>
          <c:y val="0.12194209873985982"/>
          <c:w val="0.23729470076520079"/>
          <c:h val="0.70682404850845626"/>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55435789378074"/>
          <c:y val="0.25016452790639315"/>
          <c:w val="0.81236603355507664"/>
          <c:h val="0.5283560796346457"/>
        </c:manualLayout>
      </c:layout>
      <c:barChart>
        <c:barDir val="col"/>
        <c:grouping val="stacked"/>
        <c:varyColors val="0"/>
        <c:ser>
          <c:idx val="1"/>
          <c:order val="0"/>
          <c:tx>
            <c:v>Tot-P</c:v>
          </c:tx>
          <c:spPr>
            <a:solidFill>
              <a:schemeClr val="accent5">
                <a:lumMod val="40000"/>
                <a:lumOff val="60000"/>
              </a:schemeClr>
            </a:solidFill>
          </c:spPr>
          <c:invertIfNegative val="0"/>
          <c:val>
            <c:numRef>
              <c:f>'Calculations - Techn'!$I$163:$J$163</c:f>
              <c:numCache>
                <c:formatCode>General</c:formatCode>
                <c:ptCount val="2"/>
              </c:numCache>
            </c:numRef>
          </c:val>
        </c:ser>
        <c:ser>
          <c:idx val="0"/>
          <c:order val="1"/>
          <c:tx>
            <c:v>Tot-N</c:v>
          </c:tx>
          <c:invertIfNegative val="0"/>
          <c:dPt>
            <c:idx val="2"/>
            <c:invertIfNegative val="0"/>
            <c:bubble3D val="0"/>
            <c:spPr>
              <a:solidFill>
                <a:schemeClr val="accent5">
                  <a:lumMod val="40000"/>
                  <a:lumOff val="60000"/>
                </a:schemeClr>
              </a:solidFill>
            </c:spPr>
          </c:dPt>
          <c:dPt>
            <c:idx val="3"/>
            <c:invertIfNegative val="0"/>
            <c:bubble3D val="0"/>
            <c:spPr>
              <a:solidFill>
                <a:schemeClr val="accent5">
                  <a:lumMod val="40000"/>
                  <a:lumOff val="60000"/>
                </a:schemeClr>
              </a:solidFill>
            </c:spPr>
          </c:dPt>
          <c:val>
            <c:numRef>
              <c:f>'Calculations - Techn'!$F$161:$I$161</c:f>
              <c:numCache>
                <c:formatCode>0.00</c:formatCode>
                <c:ptCount val="4"/>
                <c:pt idx="0">
                  <c:v>1.9999999656101073</c:v>
                </c:pt>
                <c:pt idx="1">
                  <c:v>2.2208394805544476</c:v>
                </c:pt>
                <c:pt idx="2">
                  <c:v>0.12127659574468085</c:v>
                </c:pt>
                <c:pt idx="3">
                  <c:v>0.12127659574468085</c:v>
                </c:pt>
              </c:numCache>
            </c:numRef>
          </c:val>
        </c:ser>
        <c:dLbls>
          <c:showLegendKey val="0"/>
          <c:showVal val="0"/>
          <c:showCatName val="0"/>
          <c:showSerName val="0"/>
          <c:showPercent val="0"/>
          <c:showBubbleSize val="0"/>
        </c:dLbls>
        <c:gapWidth val="40"/>
        <c:overlap val="100"/>
        <c:axId val="108299776"/>
        <c:axId val="108301312"/>
      </c:barChart>
      <c:catAx>
        <c:axId val="108299776"/>
        <c:scaling>
          <c:orientation val="minMax"/>
        </c:scaling>
        <c:delete val="0"/>
        <c:axPos val="b"/>
        <c:majorTickMark val="none"/>
        <c:minorTickMark val="none"/>
        <c:tickLblPos val="none"/>
        <c:crossAx val="108301312"/>
        <c:crosses val="autoZero"/>
        <c:auto val="1"/>
        <c:lblAlgn val="ctr"/>
        <c:lblOffset val="100"/>
        <c:noMultiLvlLbl val="0"/>
      </c:catAx>
      <c:valAx>
        <c:axId val="108301312"/>
        <c:scaling>
          <c:orientation val="minMax"/>
        </c:scaling>
        <c:delete val="0"/>
        <c:axPos val="l"/>
        <c:majorGridlines/>
        <c:title>
          <c:tx>
            <c:rich>
              <a:bodyPr rot="0" vert="horz"/>
              <a:lstStyle/>
              <a:p>
                <a:pPr>
                  <a:defRPr/>
                </a:pPr>
                <a:r>
                  <a:rPr lang="da-DK"/>
                  <a:t>kg/ton manure</a:t>
                </a:r>
              </a:p>
            </c:rich>
          </c:tx>
          <c:layout>
            <c:manualLayout>
              <c:xMode val="edge"/>
              <c:yMode val="edge"/>
              <c:x val="2.0600996370848428E-2"/>
              <c:y val="5.9057380758439672E-2"/>
            </c:manualLayout>
          </c:layout>
          <c:overlay val="0"/>
        </c:title>
        <c:numFmt formatCode="General" sourceLinked="1"/>
        <c:majorTickMark val="none"/>
        <c:minorTickMark val="none"/>
        <c:tickLblPos val="nextTo"/>
        <c:txPr>
          <a:bodyPr/>
          <a:lstStyle/>
          <a:p>
            <a:pPr>
              <a:defRPr sz="900"/>
            </a:pPr>
            <a:endParaRPr lang="en-US"/>
          </a:p>
        </c:txPr>
        <c:crossAx val="108299776"/>
        <c:crosses val="autoZero"/>
        <c:crossBetween val="between"/>
      </c:valAx>
      <c:spPr>
        <a:noFill/>
      </c:spPr>
    </c:plotArea>
    <c:legend>
      <c:legendPos val="r"/>
      <c:layout>
        <c:manualLayout>
          <c:xMode val="edge"/>
          <c:yMode val="edge"/>
          <c:x val="0.21536897639439712"/>
          <c:y val="0.87323571973245095"/>
          <c:w val="0.57717076165440351"/>
          <c:h val="7.8739585076568558E-2"/>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Global Warming CO</a:t>
            </a:r>
            <a:r>
              <a:rPr lang="da-DK" baseline="-25000"/>
              <a:t>2</a:t>
            </a:r>
            <a:r>
              <a:rPr lang="da-DK"/>
              <a:t>-eq.</a:t>
            </a:r>
          </a:p>
        </c:rich>
      </c:tx>
      <c:layout>
        <c:manualLayout>
          <c:xMode val="edge"/>
          <c:yMode val="edge"/>
          <c:x val="0.23502504280946182"/>
          <c:y val="2.0150254258129517E-2"/>
        </c:manualLayout>
      </c:layout>
      <c:overlay val="0"/>
    </c:title>
    <c:autoTitleDeleted val="0"/>
    <c:plotArea>
      <c:layout>
        <c:manualLayout>
          <c:layoutTarget val="inner"/>
          <c:xMode val="edge"/>
          <c:yMode val="edge"/>
          <c:x val="5.8291172661422523E-2"/>
          <c:y val="0.15359833750500876"/>
          <c:w val="0.69676427993004242"/>
          <c:h val="0.71946132986119926"/>
        </c:manualLayout>
      </c:layout>
      <c:barChart>
        <c:barDir val="col"/>
        <c:grouping val="stacked"/>
        <c:varyColors val="0"/>
        <c:ser>
          <c:idx val="1"/>
          <c:order val="0"/>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1"/>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2"/>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3"/>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4"/>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5"/>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6"/>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7"/>
          <c:tx>
            <c:v>Avoided S-fertilizer</c:v>
          </c:tx>
          <c:invertIfNegative val="0"/>
          <c:val>
            <c:numRef>
              <c:f>'Calculations - Techn'!$E$157:$J$157</c:f>
              <c:numCache>
                <c:formatCode>General</c:formatCode>
                <c:ptCount val="6"/>
                <c:pt idx="5" formatCode="0.0">
                  <c:v>0</c:v>
                </c:pt>
              </c:numCache>
            </c:numRef>
          </c:val>
        </c:ser>
        <c:ser>
          <c:idx val="9"/>
          <c:order val="8"/>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81"/>
        <c:overlap val="100"/>
        <c:axId val="108379520"/>
        <c:axId val="108385408"/>
      </c:barChart>
      <c:catAx>
        <c:axId val="108379520"/>
        <c:scaling>
          <c:orientation val="minMax"/>
        </c:scaling>
        <c:delete val="1"/>
        <c:axPos val="b"/>
        <c:majorTickMark val="out"/>
        <c:minorTickMark val="none"/>
        <c:tickLblPos val="none"/>
        <c:crossAx val="108385408"/>
        <c:crosses val="autoZero"/>
        <c:auto val="1"/>
        <c:lblAlgn val="ctr"/>
        <c:lblOffset val="100"/>
        <c:noMultiLvlLbl val="0"/>
      </c:catAx>
      <c:valAx>
        <c:axId val="108385408"/>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08379520"/>
        <c:crosses val="autoZero"/>
        <c:crossBetween val="between"/>
      </c:valAx>
      <c:spPr>
        <a:noFill/>
      </c:spPr>
    </c:plotArea>
    <c:legend>
      <c:legendPos val="r"/>
      <c:layout>
        <c:manualLayout>
          <c:xMode val="edge"/>
          <c:yMode val="edge"/>
          <c:x val="0.76270525756569751"/>
          <c:y val="0.14807813614244214"/>
          <c:w val="0.23729470076520079"/>
          <c:h val="0.70682404850845626"/>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NH</a:t>
            </a:r>
            <a:r>
              <a:rPr lang="da-DK" baseline="-25000"/>
              <a:t>3</a:t>
            </a:r>
            <a:r>
              <a:rPr lang="da-DK"/>
              <a:t>-N</a:t>
            </a:r>
          </a:p>
        </c:rich>
      </c:tx>
      <c:layout>
        <c:manualLayout>
          <c:xMode val="edge"/>
          <c:yMode val="edge"/>
          <c:x val="0.18295313105152833"/>
          <c:y val="3.6493483853788519E-2"/>
        </c:manualLayout>
      </c:layout>
      <c:overlay val="0"/>
    </c:title>
    <c:autoTitleDeleted val="0"/>
    <c:plotArea>
      <c:layout>
        <c:manualLayout>
          <c:layoutTarget val="inner"/>
          <c:xMode val="edge"/>
          <c:yMode val="edge"/>
          <c:x val="8.6071669278919419E-2"/>
          <c:y val="0.19617402698410569"/>
          <c:w val="0.87785447828287355"/>
          <c:h val="0.58772433342057873"/>
        </c:manualLayout>
      </c:layout>
      <c:barChart>
        <c:barDir val="col"/>
        <c:grouping val="stacked"/>
        <c:varyColors val="0"/>
        <c:ser>
          <c:idx val="0"/>
          <c:order val="0"/>
          <c:tx>
            <c:strRef>
              <c:f>'Calculations - Techn'!$B$69</c:f>
              <c:strCache>
                <c:ptCount val="1"/>
                <c:pt idx="0">
                  <c:v>Other (energy etc)</c:v>
                </c:pt>
              </c:strCache>
            </c:strRef>
          </c:tx>
          <c:spPr>
            <a:solidFill>
              <a:srgbClr val="C00000"/>
            </a:solidFill>
          </c:spPr>
          <c:invertIfNegative val="0"/>
          <c:val>
            <c:numRef>
              <c:f>'Calculations - Techn'!$E$141:$J$141</c:f>
              <c:numCache>
                <c:formatCode>0.00000</c:formatCode>
                <c:ptCount val="6"/>
                <c:pt idx="0" formatCode="0.0000000">
                  <c:v>2.9122922164393443E-4</c:v>
                </c:pt>
                <c:pt idx="1">
                  <c:v>9.969000279350063E-4</c:v>
                </c:pt>
                <c:pt idx="2" formatCode="0.000000">
                  <c:v>9.4806312769010032E-5</c:v>
                </c:pt>
                <c:pt idx="3" formatCode="0.000000">
                  <c:v>9.4806312769010032E-5</c:v>
                </c:pt>
              </c:numCache>
            </c:numRef>
          </c:val>
        </c:ser>
        <c:ser>
          <c:idx val="4"/>
          <c:order val="1"/>
          <c:tx>
            <c:v>Avoided systems</c:v>
          </c:tx>
          <c:spPr>
            <a:solidFill>
              <a:srgbClr val="FFFF00"/>
            </a:solidFill>
          </c:spPr>
          <c:invertIfNegative val="0"/>
          <c:val>
            <c:numRef>
              <c:f>'Calculations - Techn'!$E$143:$J$143</c:f>
              <c:numCache>
                <c:formatCode>General</c:formatCode>
                <c:ptCount val="6"/>
                <c:pt idx="4" formatCode="0.00">
                  <c:v>-2.8238037773903806E-2</c:v>
                </c:pt>
                <c:pt idx="5" formatCode="0.00">
                  <c:v>-2.9669615777535373E-2</c:v>
                </c:pt>
              </c:numCache>
            </c:numRef>
          </c:val>
        </c:ser>
        <c:ser>
          <c:idx val="3"/>
          <c:order val="2"/>
          <c:tx>
            <c:v>Emissions in-house, storage and field</c:v>
          </c:tx>
          <c:spPr>
            <a:solidFill>
              <a:srgbClr val="00B050"/>
            </a:solidFill>
          </c:spPr>
          <c:invertIfNegative val="0"/>
          <c:val>
            <c:numRef>
              <c:f>'Calculations - Techn'!$E$142:$J$142</c:f>
              <c:numCache>
                <c:formatCode>0.00</c:formatCode>
                <c:ptCount val="6"/>
                <c:pt idx="0">
                  <c:v>0.71399999999999997</c:v>
                </c:pt>
                <c:pt idx="1">
                  <c:v>0.49979999999999997</c:v>
                </c:pt>
                <c:pt idx="2">
                  <c:v>9.8703825000000009E-2</c:v>
                </c:pt>
                <c:pt idx="3">
                  <c:v>5.1360037500000011E-2</c:v>
                </c:pt>
                <c:pt idx="4">
                  <c:v>0.63156991468007906</c:v>
                </c:pt>
                <c:pt idx="5">
                  <c:v>0.39815309098833779</c:v>
                </c:pt>
              </c:numCache>
            </c:numRef>
          </c:val>
        </c:ser>
        <c:dLbls>
          <c:showLegendKey val="0"/>
          <c:showVal val="0"/>
          <c:showCatName val="0"/>
          <c:showSerName val="0"/>
          <c:showPercent val="0"/>
          <c:showBubbleSize val="0"/>
        </c:dLbls>
        <c:gapWidth val="40"/>
        <c:overlap val="100"/>
        <c:axId val="100107776"/>
        <c:axId val="100109312"/>
      </c:barChart>
      <c:catAx>
        <c:axId val="100107776"/>
        <c:scaling>
          <c:orientation val="minMax"/>
        </c:scaling>
        <c:delete val="1"/>
        <c:axPos val="b"/>
        <c:majorTickMark val="out"/>
        <c:minorTickMark val="none"/>
        <c:tickLblPos val="none"/>
        <c:crossAx val="100109312"/>
        <c:crosses val="autoZero"/>
        <c:auto val="1"/>
        <c:lblAlgn val="ctr"/>
        <c:lblOffset val="100"/>
        <c:noMultiLvlLbl val="0"/>
      </c:catAx>
      <c:valAx>
        <c:axId val="100109312"/>
        <c:scaling>
          <c:orientation val="minMax"/>
        </c:scaling>
        <c:delete val="0"/>
        <c:axPos val="l"/>
        <c:majorGridlines/>
        <c:title>
          <c:tx>
            <c:rich>
              <a:bodyPr rot="0" vert="horz"/>
              <a:lstStyle/>
              <a:p>
                <a:pPr>
                  <a:defRPr/>
                </a:pPr>
                <a:r>
                  <a:rPr lang="da-DK"/>
                  <a:t>kg/ton manure</a:t>
                </a:r>
              </a:p>
            </c:rich>
          </c:tx>
          <c:layout>
            <c:manualLayout>
              <c:xMode val="edge"/>
              <c:yMode val="edge"/>
              <c:x val="1.4349045563296638E-2"/>
              <c:y val="2.1313398272681871E-2"/>
            </c:manualLayout>
          </c:layout>
          <c:overlay val="0"/>
        </c:title>
        <c:numFmt formatCode="0.0" sourceLinked="0"/>
        <c:majorTickMark val="out"/>
        <c:minorTickMark val="none"/>
        <c:tickLblPos val="nextTo"/>
        <c:txPr>
          <a:bodyPr/>
          <a:lstStyle/>
          <a:p>
            <a:pPr>
              <a:defRPr sz="900"/>
            </a:pPr>
            <a:endParaRPr lang="en-US"/>
          </a:p>
        </c:txPr>
        <c:crossAx val="100107776"/>
        <c:crosses val="autoZero"/>
        <c:crossBetween val="between"/>
      </c:valAx>
      <c:spPr>
        <a:noFill/>
      </c:spPr>
    </c:plotArea>
    <c:legend>
      <c:legendPos val="r"/>
      <c:layout>
        <c:manualLayout>
          <c:xMode val="edge"/>
          <c:yMode val="edge"/>
          <c:x val="2.6291439013210995E-2"/>
          <c:y val="0.89644260407363474"/>
          <c:w val="0.96375949654615745"/>
          <c:h val="8.6028253199230506E-2"/>
        </c:manualLayout>
      </c:layout>
      <c:overlay val="0"/>
      <c:spPr>
        <a:solidFill>
          <a:sysClr val="window" lastClr="FFFFFF"/>
        </a:solidFill>
      </c:spPr>
      <c:txPr>
        <a:bodyPr/>
        <a:lstStyle/>
        <a:p>
          <a:pPr>
            <a:defRPr sz="900"/>
          </a:pPr>
          <a:endParaRPr lang="en-US"/>
        </a:p>
      </c:txPr>
    </c:legend>
    <c:plotVisOnly val="1"/>
    <c:dispBlanksAs val="gap"/>
    <c:showDLblsOverMax val="0"/>
  </c:chart>
  <c:spPr>
    <a:noFill/>
  </c:spPr>
  <c:printSettings>
    <c:headerFooter/>
    <c:pageMargins b="0.75000000000000144" l="0.70000000000000062" r="0.70000000000000062" t="0.75000000000000144"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55435789378074"/>
          <c:y val="0.25016452790639315"/>
          <c:w val="0.81236603355507664"/>
          <c:h val="0.5283560796346457"/>
        </c:manualLayout>
      </c:layout>
      <c:barChart>
        <c:barDir val="col"/>
        <c:grouping val="stacked"/>
        <c:varyColors val="0"/>
        <c:ser>
          <c:idx val="1"/>
          <c:order val="0"/>
          <c:tx>
            <c:v>Tot-P</c:v>
          </c:tx>
          <c:spPr>
            <a:solidFill>
              <a:schemeClr val="accent5">
                <a:lumMod val="40000"/>
                <a:lumOff val="60000"/>
              </a:schemeClr>
            </a:solidFill>
          </c:spPr>
          <c:invertIfNegative val="0"/>
          <c:val>
            <c:numRef>
              <c:f>'Calculations - Techn'!$I$163:$J$163</c:f>
              <c:numCache>
                <c:formatCode>General</c:formatCode>
                <c:ptCount val="2"/>
              </c:numCache>
            </c:numRef>
          </c:val>
        </c:ser>
        <c:ser>
          <c:idx val="0"/>
          <c:order val="1"/>
          <c:tx>
            <c:v>Tot-N</c:v>
          </c:tx>
          <c:invertIfNegative val="0"/>
          <c:dPt>
            <c:idx val="2"/>
            <c:invertIfNegative val="0"/>
            <c:bubble3D val="0"/>
            <c:spPr>
              <a:solidFill>
                <a:schemeClr val="accent5">
                  <a:lumMod val="40000"/>
                  <a:lumOff val="60000"/>
                </a:schemeClr>
              </a:solidFill>
            </c:spPr>
          </c:dPt>
          <c:dPt>
            <c:idx val="3"/>
            <c:invertIfNegative val="0"/>
            <c:bubble3D val="0"/>
            <c:spPr>
              <a:solidFill>
                <a:schemeClr val="accent5">
                  <a:lumMod val="40000"/>
                  <a:lumOff val="60000"/>
                </a:schemeClr>
              </a:solidFill>
            </c:spPr>
          </c:dPt>
          <c:val>
            <c:numRef>
              <c:f>'Calculations - Techn'!$F$161:$I$161</c:f>
              <c:numCache>
                <c:formatCode>0.00</c:formatCode>
                <c:ptCount val="4"/>
                <c:pt idx="0">
                  <c:v>1.9999999656101073</c:v>
                </c:pt>
                <c:pt idx="1">
                  <c:v>2.2208394805544476</c:v>
                </c:pt>
                <c:pt idx="2">
                  <c:v>0.12127659574468085</c:v>
                </c:pt>
                <c:pt idx="3">
                  <c:v>0.12127659574468085</c:v>
                </c:pt>
              </c:numCache>
            </c:numRef>
          </c:val>
        </c:ser>
        <c:dLbls>
          <c:showLegendKey val="0"/>
          <c:showVal val="0"/>
          <c:showCatName val="0"/>
          <c:showSerName val="0"/>
          <c:showPercent val="0"/>
          <c:showBubbleSize val="0"/>
        </c:dLbls>
        <c:gapWidth val="40"/>
        <c:overlap val="100"/>
        <c:axId val="115041408"/>
        <c:axId val="115042944"/>
      </c:barChart>
      <c:catAx>
        <c:axId val="115041408"/>
        <c:scaling>
          <c:orientation val="minMax"/>
        </c:scaling>
        <c:delete val="0"/>
        <c:axPos val="b"/>
        <c:majorTickMark val="none"/>
        <c:minorTickMark val="none"/>
        <c:tickLblPos val="none"/>
        <c:crossAx val="115042944"/>
        <c:crosses val="autoZero"/>
        <c:auto val="1"/>
        <c:lblAlgn val="ctr"/>
        <c:lblOffset val="100"/>
        <c:noMultiLvlLbl val="0"/>
      </c:catAx>
      <c:valAx>
        <c:axId val="115042944"/>
        <c:scaling>
          <c:orientation val="minMax"/>
        </c:scaling>
        <c:delete val="0"/>
        <c:axPos val="l"/>
        <c:majorGridlines/>
        <c:title>
          <c:tx>
            <c:rich>
              <a:bodyPr rot="0" vert="horz"/>
              <a:lstStyle/>
              <a:p>
                <a:pPr>
                  <a:defRPr/>
                </a:pPr>
                <a:r>
                  <a:rPr lang="da-DK"/>
                  <a:t>kg/ton manure</a:t>
                </a:r>
              </a:p>
            </c:rich>
          </c:tx>
          <c:layout>
            <c:manualLayout>
              <c:xMode val="edge"/>
              <c:yMode val="edge"/>
              <c:x val="2.0600996370848428E-2"/>
              <c:y val="5.9057380758439672E-2"/>
            </c:manualLayout>
          </c:layout>
          <c:overlay val="0"/>
        </c:title>
        <c:numFmt formatCode="General" sourceLinked="1"/>
        <c:majorTickMark val="none"/>
        <c:minorTickMark val="none"/>
        <c:tickLblPos val="nextTo"/>
        <c:txPr>
          <a:bodyPr/>
          <a:lstStyle/>
          <a:p>
            <a:pPr>
              <a:defRPr sz="900"/>
            </a:pPr>
            <a:endParaRPr lang="en-US"/>
          </a:p>
        </c:txPr>
        <c:crossAx val="115041408"/>
        <c:crosses val="autoZero"/>
        <c:crossBetween val="between"/>
      </c:valAx>
      <c:spPr>
        <a:noFill/>
      </c:spPr>
    </c:plotArea>
    <c:legend>
      <c:legendPos val="r"/>
      <c:layout>
        <c:manualLayout>
          <c:xMode val="edge"/>
          <c:yMode val="edge"/>
          <c:x val="0.21536897639439712"/>
          <c:y val="0.87323571973245095"/>
          <c:w val="0.57717076165440351"/>
          <c:h val="7.8739585076568558E-2"/>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Global Warming CO</a:t>
            </a:r>
            <a:r>
              <a:rPr lang="da-DK" baseline="-25000"/>
              <a:t>2</a:t>
            </a:r>
            <a:r>
              <a:rPr lang="da-DK"/>
              <a:t>-eq.</a:t>
            </a:r>
          </a:p>
        </c:rich>
      </c:tx>
      <c:layout>
        <c:manualLayout>
          <c:xMode val="edge"/>
          <c:yMode val="edge"/>
          <c:x val="0.23502504280946182"/>
          <c:y val="2.0150254258129517E-2"/>
        </c:manualLayout>
      </c:layout>
      <c:overlay val="0"/>
    </c:title>
    <c:autoTitleDeleted val="0"/>
    <c:plotArea>
      <c:layout>
        <c:manualLayout>
          <c:layoutTarget val="inner"/>
          <c:xMode val="edge"/>
          <c:yMode val="edge"/>
          <c:x val="5.8291172661422523E-2"/>
          <c:y val="0.15359833750500876"/>
          <c:w val="0.69676427993004242"/>
          <c:h val="0.71946132986119926"/>
        </c:manualLayout>
      </c:layout>
      <c:barChart>
        <c:barDir val="col"/>
        <c:grouping val="stacked"/>
        <c:varyColors val="0"/>
        <c:ser>
          <c:idx val="1"/>
          <c:order val="0"/>
          <c:tx>
            <c:strRef>
              <c:f>'Calculations - Techn'!$C$77</c:f>
              <c:strCache>
                <c:ptCount val="1"/>
                <c:pt idx="0">
                  <c:v>Electricity</c:v>
                </c:pt>
              </c:strCache>
            </c:strRef>
          </c:tx>
          <c:spPr>
            <a:solidFill>
              <a:schemeClr val="tx2"/>
            </a:solidFill>
          </c:spPr>
          <c:invertIfNegative val="0"/>
          <c:val>
            <c:numRef>
              <c:f>'Calculations - Techn'!$E$147:$J$147</c:f>
              <c:numCache>
                <c:formatCode>0</c:formatCode>
                <c:ptCount val="6"/>
                <c:pt idx="0">
                  <c:v>15.002332192391304</c:v>
                </c:pt>
                <c:pt idx="1">
                  <c:v>51.354137120108689</c:v>
                </c:pt>
                <c:pt idx="2">
                  <c:v>4.8838361413999989</c:v>
                </c:pt>
                <c:pt idx="3">
                  <c:v>4.8838361413999989</c:v>
                </c:pt>
              </c:numCache>
            </c:numRef>
          </c:val>
        </c:ser>
        <c:ser>
          <c:idx val="2"/>
          <c:order val="1"/>
          <c:tx>
            <c:strRef>
              <c:f>'Calculations - Techn'!$C$78</c:f>
              <c:strCache>
                <c:ptCount val="1"/>
                <c:pt idx="0">
                  <c:v>Heat</c:v>
                </c:pt>
              </c:strCache>
            </c:strRef>
          </c:tx>
          <c:spPr>
            <a:solidFill>
              <a:schemeClr val="tx2">
                <a:lumMod val="40000"/>
                <a:lumOff val="60000"/>
              </a:schemeClr>
            </a:solidFill>
          </c:spPr>
          <c:invertIfNegative val="0"/>
          <c:val>
            <c:numRef>
              <c:f>'Calculations - Techn'!$E$148:$J$148</c:f>
              <c:numCache>
                <c:formatCode>0</c:formatCode>
                <c:ptCount val="6"/>
                <c:pt idx="0">
                  <c:v>9.1274706714130431</c:v>
                </c:pt>
                <c:pt idx="1">
                  <c:v>9.1274706714130431</c:v>
                </c:pt>
              </c:numCache>
            </c:numRef>
          </c:val>
        </c:ser>
        <c:ser>
          <c:idx val="6"/>
          <c:order val="2"/>
          <c:tx>
            <c:v>Sulphuric acid</c:v>
          </c:tx>
          <c:spPr>
            <a:solidFill>
              <a:schemeClr val="accent6">
                <a:lumMod val="75000"/>
              </a:schemeClr>
            </a:solidFill>
          </c:spPr>
          <c:invertIfNegative val="0"/>
          <c:val>
            <c:numRef>
              <c:f>'Calculations - Techn'!$E$149:$J$149</c:f>
              <c:numCache>
                <c:formatCode>0.0</c:formatCode>
                <c:ptCount val="6"/>
                <c:pt idx="1">
                  <c:v>0</c:v>
                </c:pt>
              </c:numCache>
            </c:numRef>
          </c:val>
        </c:ser>
        <c:ser>
          <c:idx val="7"/>
          <c:order val="3"/>
          <c:tx>
            <c:v>Lime</c:v>
          </c:tx>
          <c:spPr>
            <a:solidFill>
              <a:schemeClr val="accent6">
                <a:lumMod val="40000"/>
                <a:lumOff val="60000"/>
              </a:schemeClr>
            </a:solidFill>
          </c:spPr>
          <c:invertIfNegative val="0"/>
          <c:val>
            <c:numRef>
              <c:f>'Calculations - Techn'!$E$150:$J$150</c:f>
              <c:numCache>
                <c:formatCode>General</c:formatCode>
                <c:ptCount val="6"/>
                <c:pt idx="5" formatCode="0.00">
                  <c:v>0</c:v>
                </c:pt>
              </c:numCache>
            </c:numRef>
          </c:val>
        </c:ser>
        <c:ser>
          <c:idx val="5"/>
          <c:order val="4"/>
          <c:tx>
            <c:v>Fuel</c:v>
          </c:tx>
          <c:spPr>
            <a:solidFill>
              <a:srgbClr val="FFC000"/>
            </a:solidFill>
          </c:spPr>
          <c:invertIfNegative val="0"/>
          <c:val>
            <c:numRef>
              <c:f>'Calculations - Techn'!$E$151:$J$151</c:f>
              <c:numCache>
                <c:formatCode>General</c:formatCode>
                <c:ptCount val="6"/>
                <c:pt idx="4" formatCode="0.00">
                  <c:v>0.8231292517006803</c:v>
                </c:pt>
                <c:pt idx="5" formatCode="0.00">
                  <c:v>0.8231292517006803</c:v>
                </c:pt>
              </c:numCache>
            </c:numRef>
          </c:val>
        </c:ser>
        <c:ser>
          <c:idx val="3"/>
          <c:order val="5"/>
          <c:tx>
            <c:v>System emissions</c:v>
          </c:tx>
          <c:spPr>
            <a:solidFill>
              <a:srgbClr val="00B050"/>
            </a:solidFill>
          </c:spPr>
          <c:invertIfNegative val="0"/>
          <c:val>
            <c:numRef>
              <c:f>'Calculations - Techn'!$E$152:$J$152</c:f>
              <c:numCache>
                <c:formatCode>0</c:formatCode>
                <c:ptCount val="6"/>
                <c:pt idx="0">
                  <c:v>21.253905534791318</c:v>
                </c:pt>
                <c:pt idx="1">
                  <c:v>20.257569534791319</c:v>
                </c:pt>
                <c:pt idx="2">
                  <c:v>51.751211003380163</c:v>
                </c:pt>
                <c:pt idx="3">
                  <c:v>52.078652369401865</c:v>
                </c:pt>
                <c:pt idx="4">
                  <c:v>33.812042839898552</c:v>
                </c:pt>
                <c:pt idx="5">
                  <c:v>34.708246907735308</c:v>
                </c:pt>
              </c:numCache>
            </c:numRef>
          </c:val>
        </c:ser>
        <c:ser>
          <c:idx val="4"/>
          <c:order val="6"/>
          <c:tx>
            <c:v>Avoided N-fertilizer</c:v>
          </c:tx>
          <c:spPr>
            <a:solidFill>
              <a:srgbClr val="FFFF00"/>
            </a:solidFill>
          </c:spPr>
          <c:invertIfNegative val="0"/>
          <c:val>
            <c:numRef>
              <c:f>'Calculations - Techn'!$E$156:$J$156</c:f>
              <c:numCache>
                <c:formatCode>General</c:formatCode>
                <c:ptCount val="6"/>
                <c:pt idx="4" formatCode="0">
                  <c:v>-28.081607885219231</c:v>
                </c:pt>
                <c:pt idx="5" formatCode="0">
                  <c:v>-29.505255394899894</c:v>
                </c:pt>
              </c:numCache>
            </c:numRef>
          </c:val>
        </c:ser>
        <c:ser>
          <c:idx val="8"/>
          <c:order val="7"/>
          <c:tx>
            <c:v>Avoided S-fertilizer</c:v>
          </c:tx>
          <c:invertIfNegative val="0"/>
          <c:val>
            <c:numRef>
              <c:f>'Calculations - Techn'!$E$157:$J$157</c:f>
              <c:numCache>
                <c:formatCode>General</c:formatCode>
                <c:ptCount val="6"/>
                <c:pt idx="5" formatCode="0.0">
                  <c:v>0</c:v>
                </c:pt>
              </c:numCache>
            </c:numRef>
          </c:val>
        </c:ser>
        <c:ser>
          <c:idx val="9"/>
          <c:order val="8"/>
          <c:tx>
            <c:v>Avoided crop (wheat)</c:v>
          </c:tx>
          <c:spPr>
            <a:solidFill>
              <a:srgbClr val="FF0000"/>
            </a:solidFill>
          </c:spPr>
          <c:invertIfNegative val="0"/>
          <c:val>
            <c:numRef>
              <c:f>'Calculations - Techn'!$E$158:$J$158</c:f>
              <c:numCache>
                <c:formatCode>General</c:formatCode>
                <c:ptCount val="6"/>
                <c:pt idx="5" formatCode="0">
                  <c:v>0</c:v>
                </c:pt>
              </c:numCache>
            </c:numRef>
          </c:val>
        </c:ser>
        <c:dLbls>
          <c:showLegendKey val="0"/>
          <c:showVal val="0"/>
          <c:showCatName val="0"/>
          <c:showSerName val="0"/>
          <c:showPercent val="0"/>
          <c:showBubbleSize val="0"/>
        </c:dLbls>
        <c:gapWidth val="81"/>
        <c:overlap val="100"/>
        <c:axId val="114899968"/>
        <c:axId val="114909952"/>
      </c:barChart>
      <c:catAx>
        <c:axId val="114899968"/>
        <c:scaling>
          <c:orientation val="minMax"/>
        </c:scaling>
        <c:delete val="1"/>
        <c:axPos val="b"/>
        <c:majorTickMark val="out"/>
        <c:minorTickMark val="none"/>
        <c:tickLblPos val="none"/>
        <c:crossAx val="114909952"/>
        <c:crosses val="autoZero"/>
        <c:auto val="1"/>
        <c:lblAlgn val="ctr"/>
        <c:lblOffset val="100"/>
        <c:noMultiLvlLbl val="0"/>
      </c:catAx>
      <c:valAx>
        <c:axId val="114909952"/>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4899968"/>
        <c:crosses val="autoZero"/>
        <c:crossBetween val="between"/>
      </c:valAx>
      <c:spPr>
        <a:noFill/>
      </c:spPr>
    </c:plotArea>
    <c:legend>
      <c:legendPos val="r"/>
      <c:layout>
        <c:manualLayout>
          <c:xMode val="edge"/>
          <c:yMode val="edge"/>
          <c:x val="0.762705239732831"/>
          <c:y val="0.16283089663005598"/>
          <c:w val="0.23729470076520079"/>
          <c:h val="0.70682404850845626"/>
        </c:manualLayout>
      </c:layout>
      <c:overlay val="0"/>
      <c:spPr>
        <a:solidFill>
          <a:sysClr val="window" lastClr="FFFFFF"/>
        </a:solidFill>
      </c:spPr>
    </c:legend>
    <c:plotVisOnly val="1"/>
    <c:dispBlanksAs val="gap"/>
    <c:showDLblsOverMax val="0"/>
  </c:chart>
  <c:spPr>
    <a:noFill/>
  </c:spPr>
  <c:printSettings>
    <c:headerFooter/>
    <c:pageMargins b="0.75000000000000167" l="0.70000000000000062" r="0.70000000000000062" t="0.75000000000000167"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NH</a:t>
            </a:r>
            <a:r>
              <a:rPr lang="da-DK" baseline="-25000"/>
              <a:t>3</a:t>
            </a:r>
            <a:r>
              <a:rPr lang="da-DK"/>
              <a:t>-N</a:t>
            </a:r>
          </a:p>
        </c:rich>
      </c:tx>
      <c:overlay val="0"/>
    </c:title>
    <c:autoTitleDeleted val="0"/>
    <c:plotArea>
      <c:layout>
        <c:manualLayout>
          <c:layoutTarget val="inner"/>
          <c:xMode val="edge"/>
          <c:yMode val="edge"/>
          <c:x val="8.6071741032370933E-2"/>
          <c:y val="0.1535983375050084"/>
          <c:w val="0.81839840759322835"/>
          <c:h val="0.74995438768694445"/>
        </c:manualLayout>
      </c:layout>
      <c:barChart>
        <c:barDir val="col"/>
        <c:grouping val="stacked"/>
        <c:varyColors val="0"/>
        <c:ser>
          <c:idx val="0"/>
          <c:order val="0"/>
          <c:tx>
            <c:strRef>
              <c:f>'Calculations - Ref system'!$B$65</c:f>
              <c:strCache>
                <c:ptCount val="1"/>
                <c:pt idx="0">
                  <c:v>Other (energy etc)</c:v>
                </c:pt>
              </c:strCache>
            </c:strRef>
          </c:tx>
          <c:spPr>
            <a:solidFill>
              <a:srgbClr val="C00000"/>
            </a:solidFill>
          </c:spPr>
          <c:invertIfNegative val="0"/>
          <c:val>
            <c:numRef>
              <c:f>'Calculations - Ref system'!$E$65:$G$65</c:f>
              <c:numCache>
                <c:formatCode>0.000000</c:formatCode>
                <c:ptCount val="3"/>
                <c:pt idx="0" formatCode="0.00000">
                  <c:v>2.9122922164393443E-4</c:v>
                </c:pt>
                <c:pt idx="1">
                  <c:v>9.4806312769010032E-5</c:v>
                </c:pt>
              </c:numCache>
            </c:numRef>
          </c:val>
        </c:ser>
        <c:ser>
          <c:idx val="3"/>
          <c:order val="1"/>
          <c:tx>
            <c:v>System emissions</c:v>
          </c:tx>
          <c:spPr>
            <a:solidFill>
              <a:srgbClr val="00B050"/>
            </a:solidFill>
          </c:spPr>
          <c:invertIfNegative val="0"/>
          <c:val>
            <c:numRef>
              <c:f>'Calculations - Ref system'!$E$66:$G$66</c:f>
              <c:numCache>
                <c:formatCode>0.00</c:formatCode>
                <c:ptCount val="3"/>
                <c:pt idx="0">
                  <c:v>0.71399999999999997</c:v>
                </c:pt>
                <c:pt idx="1">
                  <c:v>9.8703825000000009E-2</c:v>
                </c:pt>
                <c:pt idx="2">
                  <c:v>0.63156991468007906</c:v>
                </c:pt>
              </c:numCache>
            </c:numRef>
          </c:val>
        </c:ser>
        <c:ser>
          <c:idx val="4"/>
          <c:order val="2"/>
          <c:tx>
            <c:v>Avoided fertilizer</c:v>
          </c:tx>
          <c:spPr>
            <a:solidFill>
              <a:srgbClr val="FFFF00"/>
            </a:solidFill>
          </c:spPr>
          <c:invertIfNegative val="0"/>
          <c:val>
            <c:numRef>
              <c:f>'Calculations - Ref system'!$E$67:$G$67</c:f>
              <c:numCache>
                <c:formatCode>General</c:formatCode>
                <c:ptCount val="3"/>
                <c:pt idx="2" formatCode="0.00">
                  <c:v>-2.8238037773903806E-2</c:v>
                </c:pt>
              </c:numCache>
            </c:numRef>
          </c:val>
        </c:ser>
        <c:dLbls>
          <c:showLegendKey val="0"/>
          <c:showVal val="0"/>
          <c:showCatName val="0"/>
          <c:showSerName val="0"/>
          <c:showPercent val="0"/>
          <c:showBubbleSize val="0"/>
        </c:dLbls>
        <c:gapWidth val="150"/>
        <c:overlap val="100"/>
        <c:axId val="115383296"/>
        <c:axId val="115589888"/>
      </c:barChart>
      <c:catAx>
        <c:axId val="115383296"/>
        <c:scaling>
          <c:orientation val="minMax"/>
        </c:scaling>
        <c:delete val="1"/>
        <c:axPos val="b"/>
        <c:majorTickMark val="out"/>
        <c:minorTickMark val="none"/>
        <c:tickLblPos val="none"/>
        <c:crossAx val="115589888"/>
        <c:crosses val="autoZero"/>
        <c:auto val="1"/>
        <c:lblAlgn val="ctr"/>
        <c:lblOffset val="100"/>
        <c:noMultiLvlLbl val="0"/>
      </c:catAx>
      <c:valAx>
        <c:axId val="115589888"/>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0" sourceLinked="0"/>
        <c:majorTickMark val="out"/>
        <c:minorTickMark val="none"/>
        <c:tickLblPos val="nextTo"/>
        <c:crossAx val="115383296"/>
        <c:crosses val="autoZero"/>
        <c:crossBetween val="between"/>
      </c:valAx>
    </c:plotArea>
    <c:legend>
      <c:legendPos val="r"/>
      <c:layout>
        <c:manualLayout>
          <c:xMode val="edge"/>
          <c:yMode val="edge"/>
          <c:x val="0.69366656235508961"/>
          <c:y val="0.10272221423706319"/>
          <c:w val="0.27234115423532324"/>
          <c:h val="0.21204721455253703"/>
        </c:manualLayout>
      </c:layout>
      <c:overlay val="0"/>
      <c:spPr>
        <a:solidFill>
          <a:sysClr val="window" lastClr="FFFFFF"/>
        </a:solidFill>
      </c:spPr>
    </c:legend>
    <c:plotVisOnly val="1"/>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CO</a:t>
            </a:r>
            <a:r>
              <a:rPr lang="da-DK" baseline="-25000"/>
              <a:t>2</a:t>
            </a:r>
            <a:r>
              <a:rPr lang="da-DK"/>
              <a:t>-eq. - excluding feed</a:t>
            </a:r>
          </a:p>
        </c:rich>
      </c:tx>
      <c:layout>
        <c:manualLayout>
          <c:xMode val="edge"/>
          <c:yMode val="edge"/>
          <c:x val="0.21447619349767194"/>
          <c:y val="2.3452771135732735E-2"/>
        </c:manualLayout>
      </c:layout>
      <c:overlay val="0"/>
    </c:title>
    <c:autoTitleDeleted val="0"/>
    <c:plotArea>
      <c:layout>
        <c:manualLayout>
          <c:layoutTarget val="inner"/>
          <c:xMode val="edge"/>
          <c:yMode val="edge"/>
          <c:x val="8.6071741032370933E-2"/>
          <c:y val="0.1535983375050084"/>
          <c:w val="0.86113794451965209"/>
          <c:h val="0.74995438768694445"/>
        </c:manualLayout>
      </c:layout>
      <c:barChart>
        <c:barDir val="col"/>
        <c:grouping val="stacked"/>
        <c:varyColors val="0"/>
        <c:ser>
          <c:idx val="1"/>
          <c:order val="0"/>
          <c:tx>
            <c:strRef>
              <c:f>'Calculations - Ref system'!$C$72</c:f>
              <c:strCache>
                <c:ptCount val="1"/>
                <c:pt idx="0">
                  <c:v>Electricity</c:v>
                </c:pt>
              </c:strCache>
            </c:strRef>
          </c:tx>
          <c:spPr>
            <a:solidFill>
              <a:schemeClr val="tx2"/>
            </a:solidFill>
          </c:spPr>
          <c:invertIfNegative val="0"/>
          <c:val>
            <c:numRef>
              <c:f>'Calculations - Ref system'!$E$72:$G$72</c:f>
              <c:numCache>
                <c:formatCode>0</c:formatCode>
                <c:ptCount val="3"/>
                <c:pt idx="0">
                  <c:v>15.002332192391304</c:v>
                </c:pt>
                <c:pt idx="1">
                  <c:v>4.8838361413999989</c:v>
                </c:pt>
              </c:numCache>
            </c:numRef>
          </c:val>
        </c:ser>
        <c:ser>
          <c:idx val="2"/>
          <c:order val="1"/>
          <c:tx>
            <c:strRef>
              <c:f>'Calculations - Ref system'!$C$73</c:f>
              <c:strCache>
                <c:ptCount val="1"/>
                <c:pt idx="0">
                  <c:v>Heat</c:v>
                </c:pt>
              </c:strCache>
            </c:strRef>
          </c:tx>
          <c:spPr>
            <a:solidFill>
              <a:schemeClr val="tx2">
                <a:lumMod val="40000"/>
                <a:lumOff val="60000"/>
              </a:schemeClr>
            </a:solidFill>
          </c:spPr>
          <c:invertIfNegative val="0"/>
          <c:val>
            <c:numRef>
              <c:f>'Calculations - Ref system'!$E$73:$G$73</c:f>
              <c:numCache>
                <c:formatCode>0</c:formatCode>
                <c:ptCount val="3"/>
                <c:pt idx="0">
                  <c:v>9.1274706714130431</c:v>
                </c:pt>
              </c:numCache>
            </c:numRef>
          </c:val>
        </c:ser>
        <c:ser>
          <c:idx val="0"/>
          <c:order val="2"/>
          <c:tx>
            <c:v>Fuel</c:v>
          </c:tx>
          <c:spPr>
            <a:solidFill>
              <a:srgbClr val="FFC000"/>
            </a:solidFill>
          </c:spPr>
          <c:invertIfNegative val="0"/>
          <c:val>
            <c:numRef>
              <c:f>'Calculations - Ref system'!$M$75:$O$75</c:f>
              <c:numCache>
                <c:formatCode>General</c:formatCode>
                <c:ptCount val="3"/>
                <c:pt idx="2" formatCode="0.00">
                  <c:v>0.8231292517006803</c:v>
                </c:pt>
              </c:numCache>
            </c:numRef>
          </c:val>
        </c:ser>
        <c:ser>
          <c:idx val="3"/>
          <c:order val="3"/>
          <c:tx>
            <c:v>System emissions</c:v>
          </c:tx>
          <c:spPr>
            <a:solidFill>
              <a:srgbClr val="00B050"/>
            </a:solidFill>
          </c:spPr>
          <c:invertIfNegative val="0"/>
          <c:val>
            <c:numRef>
              <c:f>'Calculations - Ref system'!$E$76:$G$76</c:f>
              <c:numCache>
                <c:formatCode>0</c:formatCode>
                <c:ptCount val="3"/>
                <c:pt idx="0">
                  <c:v>21.253905534791318</c:v>
                </c:pt>
                <c:pt idx="1">
                  <c:v>51.751211003380163</c:v>
                </c:pt>
                <c:pt idx="2">
                  <c:v>33.812042839898552</c:v>
                </c:pt>
              </c:numCache>
            </c:numRef>
          </c:val>
        </c:ser>
        <c:ser>
          <c:idx val="4"/>
          <c:order val="4"/>
          <c:tx>
            <c:v>Avoided fertilizer</c:v>
          </c:tx>
          <c:spPr>
            <a:solidFill>
              <a:srgbClr val="FFFF00"/>
            </a:solidFill>
          </c:spPr>
          <c:invertIfNegative val="0"/>
          <c:val>
            <c:numRef>
              <c:f>'Calculations - Ref system'!$E$80:$G$80</c:f>
              <c:numCache>
                <c:formatCode>0</c:formatCode>
                <c:ptCount val="3"/>
                <c:pt idx="2">
                  <c:v>-28.081607885219231</c:v>
                </c:pt>
              </c:numCache>
            </c:numRef>
          </c:val>
        </c:ser>
        <c:dLbls>
          <c:showLegendKey val="0"/>
          <c:showVal val="0"/>
          <c:showCatName val="0"/>
          <c:showSerName val="0"/>
          <c:showPercent val="0"/>
          <c:showBubbleSize val="0"/>
        </c:dLbls>
        <c:gapWidth val="150"/>
        <c:overlap val="100"/>
        <c:axId val="115443200"/>
        <c:axId val="115444736"/>
      </c:barChart>
      <c:catAx>
        <c:axId val="115443200"/>
        <c:scaling>
          <c:orientation val="minMax"/>
        </c:scaling>
        <c:delete val="1"/>
        <c:axPos val="b"/>
        <c:majorTickMark val="out"/>
        <c:minorTickMark val="none"/>
        <c:tickLblPos val="none"/>
        <c:crossAx val="115444736"/>
        <c:crosses val="autoZero"/>
        <c:auto val="1"/>
        <c:lblAlgn val="ctr"/>
        <c:lblOffset val="100"/>
        <c:noMultiLvlLbl val="0"/>
      </c:catAx>
      <c:valAx>
        <c:axId val="115444736"/>
        <c:scaling>
          <c:orientation val="minMax"/>
        </c:scaling>
        <c:delete val="0"/>
        <c:axPos val="l"/>
        <c:majorGridlines/>
        <c:title>
          <c:tx>
            <c:rich>
              <a:bodyPr rot="0" vert="horz"/>
              <a:lstStyle/>
              <a:p>
                <a:pPr>
                  <a:defRPr/>
                </a:pPr>
                <a:r>
                  <a:rPr lang="da-DK"/>
                  <a:t>kg/ton manure</a:t>
                </a:r>
              </a:p>
            </c:rich>
          </c:tx>
          <c:layout>
            <c:manualLayout>
              <c:xMode val="edge"/>
              <c:yMode val="edge"/>
              <c:x val="1.4349065262547705E-2"/>
              <c:y val="4.0857443105827083E-2"/>
            </c:manualLayout>
          </c:layout>
          <c:overlay val="0"/>
        </c:title>
        <c:numFmt formatCode="0" sourceLinked="1"/>
        <c:majorTickMark val="out"/>
        <c:minorTickMark val="none"/>
        <c:tickLblPos val="nextTo"/>
        <c:crossAx val="115443200"/>
        <c:crosses val="autoZero"/>
        <c:crossBetween val="between"/>
      </c:valAx>
    </c:plotArea>
    <c:legend>
      <c:legendPos val="r"/>
      <c:layout>
        <c:manualLayout>
          <c:xMode val="edge"/>
          <c:yMode val="edge"/>
          <c:x val="0.72907413380428165"/>
          <c:y val="5.956357532263723E-2"/>
          <c:w val="0.24735730551354856"/>
          <c:h val="0.35341202425422835"/>
        </c:manualLayout>
      </c:layout>
      <c:overlay val="0"/>
      <c:spPr>
        <a:solidFill>
          <a:sysClr val="window" lastClr="FFFFFF"/>
        </a:solidFill>
      </c:spPr>
    </c:legend>
    <c:plotVisOnly val="1"/>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a-DK"/>
              <a:t>Eutrophication</a:t>
            </a:r>
          </a:p>
          <a:p>
            <a:pPr>
              <a:defRPr/>
            </a:pPr>
            <a:r>
              <a:rPr lang="da-DK"/>
              <a:t>-from field</a:t>
            </a:r>
          </a:p>
        </c:rich>
      </c:tx>
      <c:overlay val="0"/>
    </c:title>
    <c:autoTitleDeleted val="0"/>
    <c:plotArea>
      <c:layout>
        <c:manualLayout>
          <c:layoutTarget val="inner"/>
          <c:xMode val="edge"/>
          <c:yMode val="edge"/>
          <c:x val="0.13730206183637789"/>
          <c:y val="0.25118635170603676"/>
          <c:w val="0.79615591123136398"/>
          <c:h val="0.65057186969275904"/>
        </c:manualLayout>
      </c:layout>
      <c:barChart>
        <c:barDir val="col"/>
        <c:grouping val="stacked"/>
        <c:varyColors val="0"/>
        <c:ser>
          <c:idx val="0"/>
          <c:order val="0"/>
          <c:invertIfNegative val="0"/>
          <c:dPt>
            <c:idx val="1"/>
            <c:invertIfNegative val="0"/>
            <c:bubble3D val="0"/>
            <c:spPr>
              <a:solidFill>
                <a:schemeClr val="accent5">
                  <a:lumMod val="60000"/>
                  <a:lumOff val="40000"/>
                </a:schemeClr>
              </a:solidFill>
            </c:spPr>
          </c:dPt>
          <c:val>
            <c:numRef>
              <c:f>('Calculations - Ref system'!$G$83,'Calculations - Ref system'!$G$85)</c:f>
              <c:numCache>
                <c:formatCode>0.00</c:formatCode>
                <c:ptCount val="2"/>
                <c:pt idx="0">
                  <c:v>1.9999999656101073</c:v>
                </c:pt>
                <c:pt idx="1">
                  <c:v>0.12127659574468085</c:v>
                </c:pt>
              </c:numCache>
            </c:numRef>
          </c:val>
        </c:ser>
        <c:dLbls>
          <c:showLegendKey val="0"/>
          <c:showVal val="0"/>
          <c:showCatName val="0"/>
          <c:showSerName val="0"/>
          <c:showPercent val="0"/>
          <c:showBubbleSize val="0"/>
        </c:dLbls>
        <c:gapWidth val="55"/>
        <c:overlap val="100"/>
        <c:axId val="115500160"/>
        <c:axId val="115501696"/>
      </c:barChart>
      <c:catAx>
        <c:axId val="115500160"/>
        <c:scaling>
          <c:orientation val="minMax"/>
        </c:scaling>
        <c:delete val="1"/>
        <c:axPos val="b"/>
        <c:majorTickMark val="none"/>
        <c:minorTickMark val="none"/>
        <c:tickLblPos val="none"/>
        <c:crossAx val="115501696"/>
        <c:crosses val="autoZero"/>
        <c:auto val="1"/>
        <c:lblAlgn val="ctr"/>
        <c:lblOffset val="100"/>
        <c:noMultiLvlLbl val="0"/>
      </c:catAx>
      <c:valAx>
        <c:axId val="115501696"/>
        <c:scaling>
          <c:orientation val="minMax"/>
        </c:scaling>
        <c:delete val="0"/>
        <c:axPos val="l"/>
        <c:majorGridlines/>
        <c:title>
          <c:tx>
            <c:rich>
              <a:bodyPr rot="0" vert="horz"/>
              <a:lstStyle/>
              <a:p>
                <a:pPr>
                  <a:defRPr/>
                </a:pPr>
                <a:r>
                  <a:rPr lang="da-DK"/>
                  <a:t>kg/ton manure</a:t>
                </a:r>
              </a:p>
            </c:rich>
          </c:tx>
          <c:layout>
            <c:manualLayout>
              <c:xMode val="edge"/>
              <c:yMode val="edge"/>
              <c:x val="2.3376620986131393E-2"/>
              <c:y val="0.10744264319901189"/>
            </c:manualLayout>
          </c:layout>
          <c:overlay val="0"/>
        </c:title>
        <c:numFmt formatCode="0.00" sourceLinked="1"/>
        <c:majorTickMark val="none"/>
        <c:minorTickMark val="none"/>
        <c:tickLblPos val="nextTo"/>
        <c:crossAx val="115500160"/>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image" Target="../media/image2.png"/><Relationship Id="rId4"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3.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25550</xdr:colOff>
      <xdr:row>2</xdr:row>
      <xdr:rowOff>96322</xdr:rowOff>
    </xdr:from>
    <xdr:to>
      <xdr:col>12</xdr:col>
      <xdr:colOff>628518</xdr:colOff>
      <xdr:row>25</xdr:row>
      <xdr:rowOff>95250</xdr:rowOff>
    </xdr:to>
    <xdr:grpSp>
      <xdr:nvGrpSpPr>
        <xdr:cNvPr id="6" name="Group 5"/>
        <xdr:cNvGrpSpPr/>
      </xdr:nvGrpSpPr>
      <xdr:grpSpPr>
        <a:xfrm>
          <a:off x="6483500" y="610672"/>
          <a:ext cx="6860893" cy="5313878"/>
          <a:chOff x="6254899" y="82875"/>
          <a:chExt cx="6860893" cy="5602283"/>
        </a:xfrm>
      </xdr:grpSpPr>
      <xdr:graphicFrame macro="">
        <xdr:nvGraphicFramePr>
          <xdr:cNvPr id="3" name="Diagram 5"/>
          <xdr:cNvGraphicFramePr>
            <a:graphicFrameLocks/>
          </xdr:cNvGraphicFramePr>
        </xdr:nvGraphicFramePr>
        <xdr:xfrm>
          <a:off x="6254899" y="82875"/>
          <a:ext cx="4095820" cy="26479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Diagram 6"/>
          <xdr:cNvGraphicFramePr>
            <a:graphicFrameLocks/>
          </xdr:cNvGraphicFramePr>
        </xdr:nvGraphicFramePr>
        <xdr:xfrm>
          <a:off x="10394254" y="82875"/>
          <a:ext cx="2720029" cy="26477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Diagram 9"/>
          <xdr:cNvGraphicFramePr>
            <a:graphicFrameLocks/>
          </xdr:cNvGraphicFramePr>
        </xdr:nvGraphicFramePr>
        <xdr:xfrm>
          <a:off x="6258493" y="2769756"/>
          <a:ext cx="6857299" cy="291540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28575</xdr:colOff>
      <xdr:row>2</xdr:row>
      <xdr:rowOff>85725</xdr:rowOff>
    </xdr:from>
    <xdr:to>
      <xdr:col>1</xdr:col>
      <xdr:colOff>6048375</xdr:colOff>
      <xdr:row>7</xdr:row>
      <xdr:rowOff>171450</xdr:rowOff>
    </xdr:to>
    <xdr:grpSp>
      <xdr:nvGrpSpPr>
        <xdr:cNvPr id="17" name="Group 16"/>
        <xdr:cNvGrpSpPr/>
      </xdr:nvGrpSpPr>
      <xdr:grpSpPr>
        <a:xfrm>
          <a:off x="114300" y="600075"/>
          <a:ext cx="6019800" cy="1066800"/>
          <a:chOff x="114300" y="514350"/>
          <a:chExt cx="6019800" cy="1066800"/>
        </a:xfrm>
      </xdr:grpSpPr>
      <xdr:sp macro="" textlink="">
        <xdr:nvSpPr>
          <xdr:cNvPr id="2" name="Rounded Rectangle 1"/>
          <xdr:cNvSpPr/>
        </xdr:nvSpPr>
        <xdr:spPr>
          <a:xfrm>
            <a:off x="114300" y="514350"/>
            <a:ext cx="6019800" cy="1066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a:p>
            <a:pPr algn="ctr"/>
            <a:r>
              <a:rPr lang="en-GB" sz="2000" b="1">
                <a:solidFill>
                  <a:sysClr val="windowText" lastClr="000000"/>
                </a:solidFill>
              </a:rPr>
              <a:t>The Manure Tool</a:t>
            </a:r>
            <a:endParaRPr lang="en-GB" sz="1000" b="1">
              <a:solidFill>
                <a:sysClr val="windowText" lastClr="000000"/>
              </a:solidFill>
            </a:endParaRPr>
          </a:p>
          <a:p>
            <a:pPr algn="ctr"/>
            <a:endParaRPr lang="en-GB" sz="1000" b="0">
              <a:solidFill>
                <a:sysClr val="windowText" lastClr="000000"/>
              </a:solidFill>
            </a:endParaRPr>
          </a:p>
          <a:p>
            <a:pPr algn="ctr"/>
            <a:r>
              <a:rPr lang="en-GB" sz="1000" b="0">
                <a:solidFill>
                  <a:sysClr val="windowText" lastClr="000000"/>
                </a:solidFill>
              </a:rPr>
              <a:t>Version 2.0 December 2013</a:t>
            </a:r>
          </a:p>
        </xdr:txBody>
      </xdr:sp>
      <xdr:pic>
        <xdr:nvPicPr>
          <xdr:cNvPr id="7" name="Picture 6" descr="SDU_logo_Logo tosproget farve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85750" y="609601"/>
            <a:ext cx="1828800" cy="8623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xdr:col>
      <xdr:colOff>190501</xdr:colOff>
      <xdr:row>0</xdr:row>
      <xdr:rowOff>0</xdr:rowOff>
    </xdr:from>
    <xdr:to>
      <xdr:col>1</xdr:col>
      <xdr:colOff>914401</xdr:colOff>
      <xdr:row>0</xdr:row>
      <xdr:rowOff>402059</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6226" y="0"/>
          <a:ext cx="723900" cy="402059"/>
        </a:xfrm>
        <a:prstGeom prst="rect">
          <a:avLst/>
        </a:prstGeom>
      </xdr:spPr>
    </xdr:pic>
    <xdr:clientData/>
  </xdr:twoCellAnchor>
  <xdr:twoCellAnchor editAs="oneCell">
    <xdr:from>
      <xdr:col>1</xdr:col>
      <xdr:colOff>1562100</xdr:colOff>
      <xdr:row>0</xdr:row>
      <xdr:rowOff>38101</xdr:rowOff>
    </xdr:from>
    <xdr:to>
      <xdr:col>1</xdr:col>
      <xdr:colOff>3171825</xdr:colOff>
      <xdr:row>0</xdr:row>
      <xdr:rowOff>419101</xdr:rowOff>
    </xdr:to>
    <xdr:pic>
      <xdr:nvPicPr>
        <xdr:cNvPr id="13" name="Picture 1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37877"/>
        <a:stretch/>
      </xdr:blipFill>
      <xdr:spPr>
        <a:xfrm>
          <a:off x="1647825" y="38101"/>
          <a:ext cx="1609725" cy="381000"/>
        </a:xfrm>
        <a:prstGeom prst="rect">
          <a:avLst/>
        </a:prstGeom>
      </xdr:spPr>
    </xdr:pic>
    <xdr:clientData/>
  </xdr:twoCellAnchor>
  <xdr:twoCellAnchor editAs="oneCell">
    <xdr:from>
      <xdr:col>1</xdr:col>
      <xdr:colOff>3505200</xdr:colOff>
      <xdr:row>0</xdr:row>
      <xdr:rowOff>66675</xdr:rowOff>
    </xdr:from>
    <xdr:to>
      <xdr:col>2</xdr:col>
      <xdr:colOff>47626</xdr:colOff>
      <xdr:row>1</xdr:row>
      <xdr:rowOff>51823</xdr:rowOff>
    </xdr:to>
    <xdr:pic>
      <xdr:nvPicPr>
        <xdr:cNvPr id="14" name="Picture 1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7125" t="62008" r="-3501" b="-7875"/>
        <a:stretch/>
      </xdr:blipFill>
      <xdr:spPr>
        <a:xfrm>
          <a:off x="3590925" y="66675"/>
          <a:ext cx="2619376" cy="4137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105</xdr:row>
      <xdr:rowOff>137584</xdr:rowOff>
    </xdr:from>
    <xdr:to>
      <xdr:col>4</xdr:col>
      <xdr:colOff>518582</xdr:colOff>
      <xdr:row>122</xdr:row>
      <xdr:rowOff>148167</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87</xdr:row>
      <xdr:rowOff>179917</xdr:rowOff>
    </xdr:from>
    <xdr:to>
      <xdr:col>4</xdr:col>
      <xdr:colOff>550334</xdr:colOff>
      <xdr:row>105</xdr:row>
      <xdr:rowOff>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739511</xdr:colOff>
      <xdr:row>105</xdr:row>
      <xdr:rowOff>146847</xdr:rowOff>
    </xdr:from>
    <xdr:to>
      <xdr:col>8</xdr:col>
      <xdr:colOff>62177</xdr:colOff>
      <xdr:row>122</xdr:row>
      <xdr:rowOff>160075</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635000</xdr:colOff>
      <xdr:row>0</xdr:row>
      <xdr:rowOff>84667</xdr:rowOff>
    </xdr:from>
    <xdr:to>
      <xdr:col>15</xdr:col>
      <xdr:colOff>127000</xdr:colOff>
      <xdr:row>4</xdr:row>
      <xdr:rowOff>17431</xdr:rowOff>
    </xdr:to>
    <xdr:sp macro="" textlink="">
      <xdr:nvSpPr>
        <xdr:cNvPr id="6" name="Tekstboks 5"/>
        <xdr:cNvSpPr txBox="1"/>
      </xdr:nvSpPr>
      <xdr:spPr>
        <a:xfrm>
          <a:off x="9726083" y="84667"/>
          <a:ext cx="4656667" cy="1202764"/>
        </a:xfrm>
        <a:prstGeom prst="rect">
          <a:avLst/>
        </a:prstGeom>
        <a:solidFill>
          <a:schemeClr val="bg1">
            <a:lumMod val="85000"/>
          </a:schemeClr>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2000" b="1"/>
            <a:t>Do </a:t>
          </a:r>
          <a:r>
            <a:rPr lang="da-DK" sz="2000" b="1">
              <a:solidFill>
                <a:srgbClr val="FF0000"/>
              </a:solidFill>
            </a:rPr>
            <a:t>NOT </a:t>
          </a:r>
          <a:r>
            <a:rPr lang="da-DK" sz="2000" b="1"/>
            <a:t>change formulas</a:t>
          </a:r>
          <a:r>
            <a:rPr lang="da-DK" sz="2000" b="1" baseline="0"/>
            <a:t> or text in ANY of the grey cells </a:t>
          </a:r>
        </a:p>
        <a:p>
          <a:r>
            <a:rPr lang="da-DK" sz="2000" b="1" baseline="0"/>
            <a:t>(any tones of grey)</a:t>
          </a:r>
        </a:p>
        <a:p>
          <a:endParaRPr lang="da-DK" sz="1100"/>
        </a:p>
      </xdr:txBody>
    </xdr:sp>
    <xdr:clientData/>
  </xdr:twoCellAnchor>
  <xdr:twoCellAnchor>
    <xdr:from>
      <xdr:col>4</xdr:col>
      <xdr:colOff>814916</xdr:colOff>
      <xdr:row>87</xdr:row>
      <xdr:rowOff>158750</xdr:rowOff>
    </xdr:from>
    <xdr:to>
      <xdr:col>10</xdr:col>
      <xdr:colOff>73026</xdr:colOff>
      <xdr:row>104</xdr:row>
      <xdr:rowOff>169333</xdr:rowOff>
    </xdr:to>
    <xdr:graphicFrame macro="">
      <xdr:nvGraphicFramePr>
        <xdr:cNvPr id="9" name="Diagra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0.15184</cdr:x>
      <cdr:y>0.9001</cdr:y>
    </cdr:from>
    <cdr:to>
      <cdr:x>0.30462</cdr:x>
      <cdr:y>0.98119</cdr:y>
    </cdr:to>
    <cdr:sp macro="" textlink="">
      <cdr:nvSpPr>
        <cdr:cNvPr id="2" name="Tekstboks 1"/>
        <cdr:cNvSpPr txBox="1"/>
      </cdr:nvSpPr>
      <cdr:spPr>
        <a:xfrm xmlns:a="http://schemas.openxmlformats.org/drawingml/2006/main">
          <a:off x="680732" y="2924500"/>
          <a:ext cx="684969"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0.42003</cdr:x>
      <cdr:y>0.90023</cdr:y>
    </cdr:from>
    <cdr:to>
      <cdr:x>0.57281</cdr:x>
      <cdr:y>0.98131</cdr:y>
    </cdr:to>
    <cdr:sp macro="" textlink="">
      <cdr:nvSpPr>
        <cdr:cNvPr id="3" name="Tekstboks 1"/>
        <cdr:cNvSpPr txBox="1"/>
      </cdr:nvSpPr>
      <cdr:spPr>
        <a:xfrm xmlns:a="http://schemas.openxmlformats.org/drawingml/2006/main">
          <a:off x="1883165" y="2924922"/>
          <a:ext cx="684968"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0.7117</cdr:x>
      <cdr:y>0.90132</cdr:y>
    </cdr:from>
    <cdr:to>
      <cdr:x>0.86448</cdr:x>
      <cdr:y>0.9824</cdr:y>
    </cdr:to>
    <cdr:sp macro="" textlink="">
      <cdr:nvSpPr>
        <cdr:cNvPr id="4" name="Tekstboks 1"/>
        <cdr:cNvSpPr txBox="1"/>
      </cdr:nvSpPr>
      <cdr:spPr>
        <a:xfrm xmlns:a="http://schemas.openxmlformats.org/drawingml/2006/main">
          <a:off x="3190820" y="2928463"/>
          <a:ext cx="684968"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userShapes>
</file>

<file path=xl/drawings/drawing12.xml><?xml version="1.0" encoding="utf-8"?>
<c:userShapes xmlns:c="http://schemas.openxmlformats.org/drawingml/2006/chart">
  <cdr:relSizeAnchor xmlns:cdr="http://schemas.openxmlformats.org/drawingml/2006/chartDrawing">
    <cdr:from>
      <cdr:x>0.16469</cdr:x>
      <cdr:y>0.9001</cdr:y>
    </cdr:from>
    <cdr:to>
      <cdr:x>0.31747</cdr:x>
      <cdr:y>0.98119</cdr:y>
    </cdr:to>
    <cdr:sp macro="" textlink="">
      <cdr:nvSpPr>
        <cdr:cNvPr id="2" name="Tekstboks 1"/>
        <cdr:cNvSpPr txBox="1"/>
      </cdr:nvSpPr>
      <cdr:spPr>
        <a:xfrm xmlns:a="http://schemas.openxmlformats.org/drawingml/2006/main">
          <a:off x="747521" y="2924500"/>
          <a:ext cx="693457"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0.44795</cdr:x>
      <cdr:y>0.90023</cdr:y>
    </cdr:from>
    <cdr:to>
      <cdr:x>0.60073</cdr:x>
      <cdr:y>0.98131</cdr:y>
    </cdr:to>
    <cdr:sp macro="" textlink="">
      <cdr:nvSpPr>
        <cdr:cNvPr id="3" name="Tekstboks 1"/>
        <cdr:cNvSpPr txBox="1"/>
      </cdr:nvSpPr>
      <cdr:spPr>
        <a:xfrm xmlns:a="http://schemas.openxmlformats.org/drawingml/2006/main">
          <a:off x="2033193" y="2924922"/>
          <a:ext cx="693458"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0.75969</cdr:x>
      <cdr:y>0.90498</cdr:y>
    </cdr:from>
    <cdr:to>
      <cdr:x>0.91247</cdr:x>
      <cdr:y>0.98606</cdr:y>
    </cdr:to>
    <cdr:sp macro="" textlink="">
      <cdr:nvSpPr>
        <cdr:cNvPr id="4" name="Tekstboks 1"/>
        <cdr:cNvSpPr txBox="1"/>
      </cdr:nvSpPr>
      <cdr:spPr>
        <a:xfrm xmlns:a="http://schemas.openxmlformats.org/drawingml/2006/main">
          <a:off x="3448173" y="2940369"/>
          <a:ext cx="693457"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userShapes>
</file>

<file path=xl/drawings/drawing13.xml><?xml version="1.0" encoding="utf-8"?>
<c:userShapes xmlns:c="http://schemas.openxmlformats.org/drawingml/2006/chart">
  <cdr:relSizeAnchor xmlns:cdr="http://schemas.openxmlformats.org/drawingml/2006/chartDrawing">
    <cdr:from>
      <cdr:x>0.24345</cdr:x>
      <cdr:y>0.91503</cdr:y>
    </cdr:from>
    <cdr:to>
      <cdr:x>0.47726</cdr:x>
      <cdr:y>0.98856</cdr:y>
    </cdr:to>
    <cdr:sp macro="" textlink="">
      <cdr:nvSpPr>
        <cdr:cNvPr id="2" name="Tekstboks 1"/>
        <cdr:cNvSpPr txBox="1"/>
      </cdr:nvSpPr>
      <cdr:spPr>
        <a:xfrm xmlns:a="http://schemas.openxmlformats.org/drawingml/2006/main">
          <a:off x="750398" y="2963334"/>
          <a:ext cx="720692"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Tot-N</a:t>
          </a:r>
        </a:p>
      </cdr:txBody>
    </cdr:sp>
  </cdr:relSizeAnchor>
  <cdr:relSizeAnchor xmlns:cdr="http://schemas.openxmlformats.org/drawingml/2006/chartDrawing">
    <cdr:from>
      <cdr:x>0.64005</cdr:x>
      <cdr:y>0.91544</cdr:y>
    </cdr:from>
    <cdr:to>
      <cdr:x>0.87386</cdr:x>
      <cdr:y>0.98897</cdr:y>
    </cdr:to>
    <cdr:sp macro="" textlink="">
      <cdr:nvSpPr>
        <cdr:cNvPr id="3" name="Tekstboks 1"/>
        <cdr:cNvSpPr txBox="1"/>
      </cdr:nvSpPr>
      <cdr:spPr>
        <a:xfrm xmlns:a="http://schemas.openxmlformats.org/drawingml/2006/main">
          <a:off x="1972886" y="2964656"/>
          <a:ext cx="720692"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Tot-P</a:t>
          </a:r>
        </a:p>
      </cdr:txBody>
    </cdr:sp>
  </cdr:relSizeAnchor>
</c:userShapes>
</file>

<file path=xl/drawings/drawing14.xml><?xml version="1.0" encoding="utf-8"?>
<c:userShapes xmlns:c="http://schemas.openxmlformats.org/drawingml/2006/chart">
  <cdr:relSizeAnchor xmlns:cdr="http://schemas.openxmlformats.org/drawingml/2006/chartDrawing">
    <cdr:from>
      <cdr:x>0.14967</cdr:x>
      <cdr:y>0.9001</cdr:y>
    </cdr:from>
    <cdr:to>
      <cdr:x>0.30244</cdr:x>
      <cdr:y>0.98119</cdr:y>
    </cdr:to>
    <cdr:sp macro="" textlink="">
      <cdr:nvSpPr>
        <cdr:cNvPr id="2" name="Tekstboks 1"/>
        <cdr:cNvSpPr txBox="1"/>
      </cdr:nvSpPr>
      <cdr:spPr>
        <a:xfrm xmlns:a="http://schemas.openxmlformats.org/drawingml/2006/main">
          <a:off x="654024" y="2924514"/>
          <a:ext cx="667618" cy="2634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0.44928</cdr:x>
      <cdr:y>0.90023</cdr:y>
    </cdr:from>
    <cdr:to>
      <cdr:x>0.60206</cdr:x>
      <cdr:y>0.98131</cdr:y>
    </cdr:to>
    <cdr:sp macro="" textlink="">
      <cdr:nvSpPr>
        <cdr:cNvPr id="3" name="Tekstboks 1"/>
        <cdr:cNvSpPr txBox="1"/>
      </cdr:nvSpPr>
      <cdr:spPr>
        <a:xfrm xmlns:a="http://schemas.openxmlformats.org/drawingml/2006/main">
          <a:off x="1963287" y="2924914"/>
          <a:ext cx="667618" cy="2634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0.73743</cdr:x>
      <cdr:y>0.90132</cdr:y>
    </cdr:from>
    <cdr:to>
      <cdr:x>0.89021</cdr:x>
      <cdr:y>0.9824</cdr:y>
    </cdr:to>
    <cdr:sp macro="" textlink="">
      <cdr:nvSpPr>
        <cdr:cNvPr id="4" name="Tekstboks 1"/>
        <cdr:cNvSpPr txBox="1"/>
      </cdr:nvSpPr>
      <cdr:spPr>
        <a:xfrm xmlns:a="http://schemas.openxmlformats.org/drawingml/2006/main">
          <a:off x="3222458" y="2928450"/>
          <a:ext cx="667618" cy="2634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158751</xdr:colOff>
      <xdr:row>98</xdr:row>
      <xdr:rowOff>179917</xdr:rowOff>
    </xdr:from>
    <xdr:to>
      <xdr:col>4</xdr:col>
      <xdr:colOff>63500</xdr:colOff>
      <xdr:row>116</xdr:row>
      <xdr:rowOff>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846667</xdr:colOff>
      <xdr:row>98</xdr:row>
      <xdr:rowOff>179917</xdr:rowOff>
    </xdr:from>
    <xdr:to>
      <xdr:col>18</xdr:col>
      <xdr:colOff>637645</xdr:colOff>
      <xdr:row>116</xdr:row>
      <xdr:rowOff>2645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98</xdr:row>
      <xdr:rowOff>179917</xdr:rowOff>
    </xdr:from>
    <xdr:to>
      <xdr:col>15</xdr:col>
      <xdr:colOff>846667</xdr:colOff>
      <xdr:row>116</xdr:row>
      <xdr:rowOff>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616324</xdr:colOff>
      <xdr:row>5</xdr:row>
      <xdr:rowOff>123264</xdr:rowOff>
    </xdr:from>
    <xdr:to>
      <xdr:col>14</xdr:col>
      <xdr:colOff>364815</xdr:colOff>
      <xdr:row>11</xdr:row>
      <xdr:rowOff>171823</xdr:rowOff>
    </xdr:to>
    <xdr:sp macro="" textlink="">
      <xdr:nvSpPr>
        <xdr:cNvPr id="6" name="Tekstboks 5"/>
        <xdr:cNvSpPr txBox="1"/>
      </xdr:nvSpPr>
      <xdr:spPr>
        <a:xfrm>
          <a:off x="10432677" y="1400735"/>
          <a:ext cx="4656667" cy="1202764"/>
        </a:xfrm>
        <a:prstGeom prst="rect">
          <a:avLst/>
        </a:prstGeom>
        <a:solidFill>
          <a:schemeClr val="bg1">
            <a:lumMod val="85000"/>
          </a:schemeClr>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2000" b="1"/>
            <a:t>Do </a:t>
          </a:r>
          <a:r>
            <a:rPr lang="da-DK" sz="2000" b="1">
              <a:solidFill>
                <a:srgbClr val="FF0000"/>
              </a:solidFill>
            </a:rPr>
            <a:t>NOT </a:t>
          </a:r>
          <a:r>
            <a:rPr lang="da-DK" sz="2000" b="1"/>
            <a:t>change formulas</a:t>
          </a:r>
          <a:r>
            <a:rPr lang="da-DK" sz="2000" b="1" baseline="0"/>
            <a:t> or text in ANY of the grey cells </a:t>
          </a:r>
        </a:p>
        <a:p>
          <a:r>
            <a:rPr lang="da-DK" sz="2000" b="1" baseline="0"/>
            <a:t>(any tones of grey)</a:t>
          </a:r>
        </a:p>
        <a:p>
          <a:endParaRPr lang="da-DK" sz="1100"/>
        </a:p>
      </xdr:txBody>
    </xdr:sp>
    <xdr:clientData/>
  </xdr:twoCellAnchor>
  <xdr:twoCellAnchor>
    <xdr:from>
      <xdr:col>4</xdr:col>
      <xdr:colOff>190500</xdr:colOff>
      <xdr:row>98</xdr:row>
      <xdr:rowOff>171450</xdr:rowOff>
    </xdr:from>
    <xdr:to>
      <xdr:col>9</xdr:col>
      <xdr:colOff>1105960</xdr:colOff>
      <xdr:row>115</xdr:row>
      <xdr:rowOff>182033</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0.15795</cdr:x>
      <cdr:y>0.9001</cdr:y>
    </cdr:from>
    <cdr:to>
      <cdr:x>0.31073</cdr:x>
      <cdr:y>0.98119</cdr:y>
    </cdr:to>
    <cdr:sp macro="" textlink="">
      <cdr:nvSpPr>
        <cdr:cNvPr id="2" name="Tekstboks 1"/>
        <cdr:cNvSpPr txBox="1"/>
      </cdr:nvSpPr>
      <cdr:spPr>
        <a:xfrm xmlns:a="http://schemas.openxmlformats.org/drawingml/2006/main">
          <a:off x="672011" y="2924500"/>
          <a:ext cx="650002"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0.45496</cdr:x>
      <cdr:y>0.90349</cdr:y>
    </cdr:from>
    <cdr:to>
      <cdr:x>0.60774</cdr:x>
      <cdr:y>0.98457</cdr:y>
    </cdr:to>
    <cdr:sp macro="" textlink="">
      <cdr:nvSpPr>
        <cdr:cNvPr id="3" name="Tekstboks 1"/>
        <cdr:cNvSpPr txBox="1"/>
      </cdr:nvSpPr>
      <cdr:spPr>
        <a:xfrm xmlns:a="http://schemas.openxmlformats.org/drawingml/2006/main">
          <a:off x="1935628" y="2935505"/>
          <a:ext cx="650003"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0.75934</cdr:x>
      <cdr:y>0.90132</cdr:y>
    </cdr:from>
    <cdr:to>
      <cdr:x>0.91212</cdr:x>
      <cdr:y>0.9824</cdr:y>
    </cdr:to>
    <cdr:sp macro="" textlink="">
      <cdr:nvSpPr>
        <cdr:cNvPr id="4" name="Tekstboks 1"/>
        <cdr:cNvSpPr txBox="1"/>
      </cdr:nvSpPr>
      <cdr:spPr>
        <a:xfrm xmlns:a="http://schemas.openxmlformats.org/drawingml/2006/main">
          <a:off x="3230590" y="2928464"/>
          <a:ext cx="650003"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0.11194</cdr:x>
      <cdr:y>0.81759</cdr:y>
    </cdr:from>
    <cdr:to>
      <cdr:x>0.22388</cdr:x>
      <cdr:y>0.89868</cdr:y>
    </cdr:to>
    <cdr:sp macro="" textlink="">
      <cdr:nvSpPr>
        <cdr:cNvPr id="5" name="Tekstboks 1"/>
        <cdr:cNvSpPr txBox="1"/>
      </cdr:nvSpPr>
      <cdr:spPr>
        <a:xfrm xmlns:a="http://schemas.openxmlformats.org/drawingml/2006/main">
          <a:off x="476249" y="2656416"/>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0.24627</cdr:x>
      <cdr:y>0.81759</cdr:y>
    </cdr:from>
    <cdr:to>
      <cdr:x>0.35821</cdr:x>
      <cdr:y>0.89868</cdr:y>
    </cdr:to>
    <cdr:sp macro="" textlink="">
      <cdr:nvSpPr>
        <cdr:cNvPr id="6" name="Tekstboks 1"/>
        <cdr:cNvSpPr txBox="1"/>
      </cdr:nvSpPr>
      <cdr:spPr>
        <a:xfrm xmlns:a="http://schemas.openxmlformats.org/drawingml/2006/main">
          <a:off x="1047749"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0.5398</cdr:x>
      <cdr:y>0.81759</cdr:y>
    </cdr:from>
    <cdr:to>
      <cdr:x>0.65174</cdr:x>
      <cdr:y>0.89868</cdr:y>
    </cdr:to>
    <cdr:sp macro="" textlink="">
      <cdr:nvSpPr>
        <cdr:cNvPr id="9" name="Tekstboks 1"/>
        <cdr:cNvSpPr txBox="1"/>
      </cdr:nvSpPr>
      <cdr:spPr>
        <a:xfrm xmlns:a="http://schemas.openxmlformats.org/drawingml/2006/main">
          <a:off x="2296583"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0.8408</cdr:x>
      <cdr:y>0.81759</cdr:y>
    </cdr:from>
    <cdr:to>
      <cdr:x>0.95274</cdr:x>
      <cdr:y>0.89868</cdr:y>
    </cdr:to>
    <cdr:sp macro="" textlink="">
      <cdr:nvSpPr>
        <cdr:cNvPr id="10" name="Tekstboks 1"/>
        <cdr:cNvSpPr txBox="1"/>
      </cdr:nvSpPr>
      <cdr:spPr>
        <a:xfrm xmlns:a="http://schemas.openxmlformats.org/drawingml/2006/main">
          <a:off x="3577166"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0.40299</cdr:x>
      <cdr:y>0.81759</cdr:y>
    </cdr:from>
    <cdr:to>
      <cdr:x>0.51493</cdr:x>
      <cdr:y>0.89868</cdr:y>
    </cdr:to>
    <cdr:sp macro="" textlink="">
      <cdr:nvSpPr>
        <cdr:cNvPr id="11" name="Tekstboks 1"/>
        <cdr:cNvSpPr txBox="1"/>
      </cdr:nvSpPr>
      <cdr:spPr>
        <a:xfrm xmlns:a="http://schemas.openxmlformats.org/drawingml/2006/main">
          <a:off x="1714500"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0.699</cdr:x>
      <cdr:y>0.81759</cdr:y>
    </cdr:from>
    <cdr:to>
      <cdr:x>0.81095</cdr:x>
      <cdr:y>0.89868</cdr:y>
    </cdr:to>
    <cdr:sp macro="" textlink="">
      <cdr:nvSpPr>
        <cdr:cNvPr id="12" name="Tekstboks 1"/>
        <cdr:cNvSpPr txBox="1"/>
      </cdr:nvSpPr>
      <cdr:spPr>
        <a:xfrm xmlns:a="http://schemas.openxmlformats.org/drawingml/2006/main">
          <a:off x="2973916"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userShapes>
</file>

<file path=xl/drawings/drawing17.xml><?xml version="1.0" encoding="utf-8"?>
<c:userShapes xmlns:c="http://schemas.openxmlformats.org/drawingml/2006/chart">
  <cdr:relSizeAnchor xmlns:cdr="http://schemas.openxmlformats.org/drawingml/2006/chartDrawing">
    <cdr:from>
      <cdr:x>0.18165</cdr:x>
      <cdr:y>0.83692</cdr:y>
    </cdr:from>
    <cdr:to>
      <cdr:x>0.33991</cdr:x>
      <cdr:y>0.92107</cdr:y>
    </cdr:to>
    <cdr:sp macro="" textlink="">
      <cdr:nvSpPr>
        <cdr:cNvPr id="2" name="Tekstboks 1"/>
        <cdr:cNvSpPr txBox="1"/>
      </cdr:nvSpPr>
      <cdr:spPr>
        <a:xfrm xmlns:a="http://schemas.openxmlformats.org/drawingml/2006/main">
          <a:off x="559910" y="2721429"/>
          <a:ext cx="487839" cy="2736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Ref</a:t>
          </a:r>
        </a:p>
      </cdr:txBody>
    </cdr:sp>
  </cdr:relSizeAnchor>
  <cdr:relSizeAnchor xmlns:cdr="http://schemas.openxmlformats.org/drawingml/2006/chartDrawing">
    <cdr:from>
      <cdr:x>0.38254</cdr:x>
      <cdr:y>0.83733</cdr:y>
    </cdr:from>
    <cdr:to>
      <cdr:x>0.56652</cdr:x>
      <cdr:y>0.92107</cdr:y>
    </cdr:to>
    <cdr:sp macro="" textlink="">
      <cdr:nvSpPr>
        <cdr:cNvPr id="3" name="Tekstboks 1"/>
        <cdr:cNvSpPr txBox="1"/>
      </cdr:nvSpPr>
      <cdr:spPr>
        <a:xfrm xmlns:a="http://schemas.openxmlformats.org/drawingml/2006/main">
          <a:off x="1179138" y="2722762"/>
          <a:ext cx="567112" cy="2723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0.58369</cdr:x>
      <cdr:y>0.83645</cdr:y>
    </cdr:from>
    <cdr:to>
      <cdr:x>0.74196</cdr:x>
      <cdr:y>0.92061</cdr:y>
    </cdr:to>
    <cdr:sp macro="" textlink="">
      <cdr:nvSpPr>
        <cdr:cNvPr id="4" name="Tekstboks 1"/>
        <cdr:cNvSpPr txBox="1"/>
      </cdr:nvSpPr>
      <cdr:spPr>
        <a:xfrm xmlns:a="http://schemas.openxmlformats.org/drawingml/2006/main">
          <a:off x="1799167" y="2719917"/>
          <a:ext cx="487839" cy="2736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0.79313</cdr:x>
      <cdr:y>0.83645</cdr:y>
    </cdr:from>
    <cdr:to>
      <cdr:x>0.97712</cdr:x>
      <cdr:y>0.9202</cdr:y>
    </cdr:to>
    <cdr:sp macro="" textlink="">
      <cdr:nvSpPr>
        <cdr:cNvPr id="5" name="Tekstboks 1"/>
        <cdr:cNvSpPr txBox="1"/>
      </cdr:nvSpPr>
      <cdr:spPr>
        <a:xfrm xmlns:a="http://schemas.openxmlformats.org/drawingml/2006/main">
          <a:off x="2444751" y="2719917"/>
          <a:ext cx="567112" cy="2723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18.xml><?xml version="1.0" encoding="utf-8"?>
<c:userShapes xmlns:c="http://schemas.openxmlformats.org/drawingml/2006/chart">
  <cdr:relSizeAnchor xmlns:cdr="http://schemas.openxmlformats.org/drawingml/2006/chartDrawing">
    <cdr:from>
      <cdr:x>0.12557</cdr:x>
      <cdr:y>0.90336</cdr:y>
    </cdr:from>
    <cdr:to>
      <cdr:x>0.27835</cdr:x>
      <cdr:y>0.98445</cdr:y>
    </cdr:to>
    <cdr:sp macro="" textlink="">
      <cdr:nvSpPr>
        <cdr:cNvPr id="11" name="Tekstboks 1"/>
        <cdr:cNvSpPr txBox="1"/>
      </cdr:nvSpPr>
      <cdr:spPr>
        <a:xfrm xmlns:a="http://schemas.openxmlformats.org/drawingml/2006/main">
          <a:off x="777454" y="2935084"/>
          <a:ext cx="945899"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0.33845</cdr:x>
      <cdr:y>0.90349</cdr:y>
    </cdr:from>
    <cdr:to>
      <cdr:x>0.49123</cdr:x>
      <cdr:y>0.98457</cdr:y>
    </cdr:to>
    <cdr:sp macro="" textlink="">
      <cdr:nvSpPr>
        <cdr:cNvPr id="12" name="Tekstboks 1"/>
        <cdr:cNvSpPr txBox="1"/>
      </cdr:nvSpPr>
      <cdr:spPr>
        <a:xfrm xmlns:a="http://schemas.openxmlformats.org/drawingml/2006/main">
          <a:off x="2095401" y="2935505"/>
          <a:ext cx="945899"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0.57946</cdr:x>
      <cdr:y>0.90132</cdr:y>
    </cdr:from>
    <cdr:to>
      <cdr:x>0.73224</cdr:x>
      <cdr:y>0.9824</cdr:y>
    </cdr:to>
    <cdr:sp macro="" textlink="">
      <cdr:nvSpPr>
        <cdr:cNvPr id="13" name="Tekstboks 1"/>
        <cdr:cNvSpPr txBox="1"/>
      </cdr:nvSpPr>
      <cdr:spPr>
        <a:xfrm xmlns:a="http://schemas.openxmlformats.org/drawingml/2006/main">
          <a:off x="3587564" y="2928463"/>
          <a:ext cx="945899"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0.10262</cdr:x>
      <cdr:y>0.79805</cdr:y>
    </cdr:from>
    <cdr:to>
      <cdr:x>0.19297</cdr:x>
      <cdr:y>0.87914</cdr:y>
    </cdr:to>
    <cdr:sp macro="" textlink="">
      <cdr:nvSpPr>
        <cdr:cNvPr id="14" name="Tekstboks 1"/>
        <cdr:cNvSpPr txBox="1"/>
      </cdr:nvSpPr>
      <cdr:spPr>
        <a:xfrm xmlns:a="http://schemas.openxmlformats.org/drawingml/2006/main">
          <a:off x="635325" y="2592915"/>
          <a:ext cx="5593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0.32718</cdr:x>
      <cdr:y>0.79805</cdr:y>
    </cdr:from>
    <cdr:to>
      <cdr:x>0.41753</cdr:x>
      <cdr:y>0.87914</cdr:y>
    </cdr:to>
    <cdr:sp macro="" textlink="">
      <cdr:nvSpPr>
        <cdr:cNvPr id="15" name="Tekstboks 1"/>
        <cdr:cNvSpPr txBox="1"/>
      </cdr:nvSpPr>
      <cdr:spPr>
        <a:xfrm xmlns:a="http://schemas.openxmlformats.org/drawingml/2006/main">
          <a:off x="2025664" y="2592915"/>
          <a:ext cx="55938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0.55482</cdr:x>
      <cdr:y>0.79805</cdr:y>
    </cdr:from>
    <cdr:to>
      <cdr:x>0.64517</cdr:x>
      <cdr:y>0.87914</cdr:y>
    </cdr:to>
    <cdr:sp macro="" textlink="">
      <cdr:nvSpPr>
        <cdr:cNvPr id="16" name="Tekstboks 1"/>
        <cdr:cNvSpPr txBox="1"/>
      </cdr:nvSpPr>
      <cdr:spPr>
        <a:xfrm xmlns:a="http://schemas.openxmlformats.org/drawingml/2006/main">
          <a:off x="3434999" y="2592924"/>
          <a:ext cx="55938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0.21934</cdr:x>
      <cdr:y>0.79805</cdr:y>
    </cdr:from>
    <cdr:to>
      <cdr:x>0.30968</cdr:x>
      <cdr:y>0.87914</cdr:y>
    </cdr:to>
    <cdr:sp macro="" textlink="">
      <cdr:nvSpPr>
        <cdr:cNvPr id="17" name="Tekstboks 1"/>
        <cdr:cNvSpPr txBox="1"/>
      </cdr:nvSpPr>
      <cdr:spPr>
        <a:xfrm xmlns:a="http://schemas.openxmlformats.org/drawingml/2006/main">
          <a:off x="1357965" y="2592924"/>
          <a:ext cx="5593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0.43842</cdr:x>
      <cdr:y>0.79479</cdr:y>
    </cdr:from>
    <cdr:to>
      <cdr:x>0.52876</cdr:x>
      <cdr:y>0.87588</cdr:y>
    </cdr:to>
    <cdr:sp macro="" textlink="">
      <cdr:nvSpPr>
        <cdr:cNvPr id="18" name="Tekstboks 1"/>
        <cdr:cNvSpPr txBox="1"/>
      </cdr:nvSpPr>
      <cdr:spPr>
        <a:xfrm xmlns:a="http://schemas.openxmlformats.org/drawingml/2006/main">
          <a:off x="2714384" y="2582340"/>
          <a:ext cx="5593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0.65443</cdr:x>
      <cdr:y>0.79805</cdr:y>
    </cdr:from>
    <cdr:to>
      <cdr:x>0.74478</cdr:x>
      <cdr:y>0.87914</cdr:y>
    </cdr:to>
    <cdr:sp macro="" textlink="">
      <cdr:nvSpPr>
        <cdr:cNvPr id="19" name="Tekstboks 1"/>
        <cdr:cNvSpPr txBox="1"/>
      </cdr:nvSpPr>
      <cdr:spPr>
        <a:xfrm xmlns:a="http://schemas.openxmlformats.org/drawingml/2006/main">
          <a:off x="4051744" y="2592924"/>
          <a:ext cx="5593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19.xml><?xml version="1.0" encoding="utf-8"?>
<c:userShapes xmlns:c="http://schemas.openxmlformats.org/drawingml/2006/chart">
  <cdr:relSizeAnchor xmlns:cdr="http://schemas.openxmlformats.org/drawingml/2006/chartDrawing">
    <cdr:from>
      <cdr:x>0.14061</cdr:x>
      <cdr:y>0.89684</cdr:y>
    </cdr:from>
    <cdr:to>
      <cdr:x>0.29339</cdr:x>
      <cdr:y>0.97793</cdr:y>
    </cdr:to>
    <cdr:sp macro="" textlink="">
      <cdr:nvSpPr>
        <cdr:cNvPr id="11" name="Tekstboks 1"/>
        <cdr:cNvSpPr txBox="1"/>
      </cdr:nvSpPr>
      <cdr:spPr>
        <a:xfrm xmlns:a="http://schemas.openxmlformats.org/drawingml/2006/main">
          <a:off x="856989" y="2913917"/>
          <a:ext cx="931186"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0.3607</cdr:x>
      <cdr:y>0.90023</cdr:y>
    </cdr:from>
    <cdr:to>
      <cdr:x>0.51348</cdr:x>
      <cdr:y>0.98131</cdr:y>
    </cdr:to>
    <cdr:sp macro="" textlink="">
      <cdr:nvSpPr>
        <cdr:cNvPr id="12" name="Tekstboks 1"/>
        <cdr:cNvSpPr txBox="1"/>
      </cdr:nvSpPr>
      <cdr:spPr>
        <a:xfrm xmlns:a="http://schemas.openxmlformats.org/drawingml/2006/main">
          <a:off x="2198461" y="2924921"/>
          <a:ext cx="931186"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0.58164</cdr:x>
      <cdr:y>0.89806</cdr:y>
    </cdr:from>
    <cdr:to>
      <cdr:x>0.73442</cdr:x>
      <cdr:y>0.97914</cdr:y>
    </cdr:to>
    <cdr:sp macro="" textlink="">
      <cdr:nvSpPr>
        <cdr:cNvPr id="13" name="Tekstboks 1"/>
        <cdr:cNvSpPr txBox="1"/>
      </cdr:nvSpPr>
      <cdr:spPr>
        <a:xfrm xmlns:a="http://schemas.openxmlformats.org/drawingml/2006/main">
          <a:off x="3545070" y="2917879"/>
          <a:ext cx="931186"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0.10406</cdr:x>
      <cdr:y>0.80456</cdr:y>
    </cdr:from>
    <cdr:to>
      <cdr:x>0.19441</cdr:x>
      <cdr:y>0.88565</cdr:y>
    </cdr:to>
    <cdr:sp macro="" textlink="">
      <cdr:nvSpPr>
        <cdr:cNvPr id="14" name="Tekstboks 1"/>
        <cdr:cNvSpPr txBox="1"/>
      </cdr:nvSpPr>
      <cdr:spPr>
        <a:xfrm xmlns:a="http://schemas.openxmlformats.org/drawingml/2006/main">
          <a:off x="634215" y="2614082"/>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0.33096</cdr:x>
      <cdr:y>0.80782</cdr:y>
    </cdr:from>
    <cdr:to>
      <cdr:x>0.42131</cdr:x>
      <cdr:y>0.88891</cdr:y>
    </cdr:to>
    <cdr:sp macro="" textlink="">
      <cdr:nvSpPr>
        <cdr:cNvPr id="15" name="Tekstboks 1"/>
        <cdr:cNvSpPr txBox="1"/>
      </cdr:nvSpPr>
      <cdr:spPr>
        <a:xfrm xmlns:a="http://schemas.openxmlformats.org/drawingml/2006/main">
          <a:off x="2017180" y="2624666"/>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0.55233</cdr:x>
      <cdr:y>0.80456</cdr:y>
    </cdr:from>
    <cdr:to>
      <cdr:x>0.64268</cdr:x>
      <cdr:y>0.88565</cdr:y>
    </cdr:to>
    <cdr:sp macro="" textlink="">
      <cdr:nvSpPr>
        <cdr:cNvPr id="16" name="Tekstboks 1"/>
        <cdr:cNvSpPr txBox="1"/>
      </cdr:nvSpPr>
      <cdr:spPr>
        <a:xfrm xmlns:a="http://schemas.openxmlformats.org/drawingml/2006/main">
          <a:off x="3366421" y="2614091"/>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0.20992</cdr:x>
      <cdr:y>0.80456</cdr:y>
    </cdr:from>
    <cdr:to>
      <cdr:x>0.30026</cdr:x>
      <cdr:y>0.88565</cdr:y>
    </cdr:to>
    <cdr:sp macro="" textlink="">
      <cdr:nvSpPr>
        <cdr:cNvPr id="17" name="Tekstboks 1"/>
        <cdr:cNvSpPr txBox="1"/>
      </cdr:nvSpPr>
      <cdr:spPr>
        <a:xfrm xmlns:a="http://schemas.openxmlformats.org/drawingml/2006/main">
          <a:off x="1279480" y="2614091"/>
          <a:ext cx="5506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0.43824</cdr:x>
      <cdr:y>0.81108</cdr:y>
    </cdr:from>
    <cdr:to>
      <cdr:x>0.52858</cdr:x>
      <cdr:y>0.89217</cdr:y>
    </cdr:to>
    <cdr:sp macro="" textlink="">
      <cdr:nvSpPr>
        <cdr:cNvPr id="18" name="Tekstboks 1"/>
        <cdr:cNvSpPr txBox="1"/>
      </cdr:nvSpPr>
      <cdr:spPr>
        <a:xfrm xmlns:a="http://schemas.openxmlformats.org/drawingml/2006/main">
          <a:off x="2671056" y="2635258"/>
          <a:ext cx="5506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0.6634</cdr:x>
      <cdr:y>0.80456</cdr:y>
    </cdr:from>
    <cdr:to>
      <cdr:x>0.75375</cdr:x>
      <cdr:y>0.88565</cdr:y>
    </cdr:to>
    <cdr:sp macro="" textlink="">
      <cdr:nvSpPr>
        <cdr:cNvPr id="19" name="Tekstboks 1"/>
        <cdr:cNvSpPr txBox="1"/>
      </cdr:nvSpPr>
      <cdr:spPr>
        <a:xfrm xmlns:a="http://schemas.openxmlformats.org/drawingml/2006/main">
          <a:off x="4043375" y="2614091"/>
          <a:ext cx="5506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2.xml><?xml version="1.0" encoding="utf-8"?>
<c:userShapes xmlns:c="http://schemas.openxmlformats.org/drawingml/2006/chart">
  <cdr:relSizeAnchor xmlns:cdr="http://schemas.openxmlformats.org/drawingml/2006/chartDrawing">
    <cdr:from>
      <cdr:x>0.09979</cdr:x>
      <cdr:y>0.76921</cdr:y>
    </cdr:from>
    <cdr:to>
      <cdr:x>0.95385</cdr:x>
      <cdr:y>0.89979</cdr:y>
    </cdr:to>
    <cdr:grpSp>
      <cdr:nvGrpSpPr>
        <cdr:cNvPr id="7" name="Group 6"/>
        <cdr:cNvGrpSpPr/>
      </cdr:nvGrpSpPr>
      <cdr:grpSpPr>
        <a:xfrm xmlns:a="http://schemas.openxmlformats.org/drawingml/2006/main">
          <a:off x="408722" y="1931974"/>
          <a:ext cx="3498076" cy="327969"/>
          <a:chOff x="454167" y="1602311"/>
          <a:chExt cx="3465103" cy="272401"/>
        </a:xfrm>
      </cdr:grpSpPr>
      <cdr:sp macro="" textlink="">
        <cdr:nvSpPr>
          <cdr:cNvPr id="2" name="Tekstboks 1"/>
          <cdr:cNvSpPr txBox="1"/>
        </cdr:nvSpPr>
        <cdr:spPr>
          <a:xfrm xmlns:a="http://schemas.openxmlformats.org/drawingml/2006/main">
            <a:off x="665063" y="1603204"/>
            <a:ext cx="931355" cy="15893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b="1"/>
              <a:t>Housing</a:t>
            </a:r>
            <a:endParaRPr lang="da-DK" sz="1100" b="1"/>
          </a:p>
        </cdr:txBody>
      </cdr:sp>
      <cdr:sp macro="" textlink="">
        <cdr:nvSpPr>
          <cdr:cNvPr id="3" name="Tekstboks 1"/>
          <cdr:cNvSpPr txBox="1"/>
        </cdr:nvSpPr>
        <cdr:spPr>
          <a:xfrm xmlns:a="http://schemas.openxmlformats.org/drawingml/2006/main">
            <a:off x="1824493" y="1604616"/>
            <a:ext cx="619867" cy="16913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Storage</a:t>
            </a:r>
            <a:endParaRPr lang="da-DK" sz="1100" b="1"/>
          </a:p>
        </cdr:txBody>
      </cdr:sp>
      <cdr:sp macro="" textlink="">
        <cdr:nvSpPr>
          <cdr:cNvPr id="4" name="Tekstboks 1"/>
          <cdr:cNvSpPr txBox="1"/>
        </cdr:nvSpPr>
        <cdr:spPr>
          <a:xfrm xmlns:a="http://schemas.openxmlformats.org/drawingml/2006/main">
            <a:off x="3053552" y="1602311"/>
            <a:ext cx="619866" cy="16913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Field</a:t>
            </a:r>
            <a:endParaRPr lang="da-DK" sz="1100" b="1"/>
          </a:p>
        </cdr:txBody>
      </cdr:sp>
      <cdr:sp macro="" textlink="">
        <cdr:nvSpPr>
          <cdr:cNvPr id="5" name="Tekstboks 1"/>
          <cdr:cNvSpPr txBox="1"/>
        </cdr:nvSpPr>
        <cdr:spPr>
          <a:xfrm xmlns:a="http://schemas.openxmlformats.org/drawingml/2006/main">
            <a:off x="454167" y="1705552"/>
            <a:ext cx="540781"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6" name="Tekstboks 1"/>
          <cdr:cNvSpPr txBox="1"/>
        </cdr:nvSpPr>
        <cdr:spPr>
          <a:xfrm xmlns:a="http://schemas.openxmlformats.org/drawingml/2006/main">
            <a:off x="999179" y="1705552"/>
            <a:ext cx="565106"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9" name="Tekstboks 1"/>
          <cdr:cNvSpPr txBox="1"/>
        </cdr:nvSpPr>
        <cdr:spPr>
          <a:xfrm xmlns:a="http://schemas.openxmlformats.org/drawingml/2006/main">
            <a:off x="2190103" y="1705552"/>
            <a:ext cx="523947"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0"/>
              <a:t>Tech</a:t>
            </a:r>
            <a:endParaRPr lang="da-DK" sz="1100" b="0"/>
          </a:p>
        </cdr:txBody>
      </cdr:sp>
      <cdr:sp macro="" textlink="">
        <cdr:nvSpPr>
          <cdr:cNvPr id="10" name="Tekstboks 1"/>
          <cdr:cNvSpPr txBox="1"/>
        </cdr:nvSpPr>
        <cdr:spPr>
          <a:xfrm xmlns:a="http://schemas.openxmlformats.org/drawingml/2006/main">
            <a:off x="3411335" y="1705552"/>
            <a:ext cx="507935"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11" name="Tekstboks 1"/>
          <cdr:cNvSpPr txBox="1"/>
        </cdr:nvSpPr>
        <cdr:spPr>
          <a:xfrm xmlns:a="http://schemas.openxmlformats.org/drawingml/2006/main">
            <a:off x="1635031" y="1705552"/>
            <a:ext cx="454168"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12" name="Tekstboks 1"/>
          <cdr:cNvSpPr txBox="1"/>
        </cdr:nvSpPr>
        <cdr:spPr>
          <a:xfrm xmlns:a="http://schemas.openxmlformats.org/drawingml/2006/main">
            <a:off x="2836017" y="1705552"/>
            <a:ext cx="454209"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grpSp>
  </cdr:relSizeAnchor>
</c:userShapes>
</file>

<file path=xl/drawings/drawing20.xml><?xml version="1.0" encoding="utf-8"?>
<xdr:wsDr xmlns:xdr="http://schemas.openxmlformats.org/drawingml/2006/spreadsheetDrawing" xmlns:a="http://schemas.openxmlformats.org/drawingml/2006/main">
  <xdr:twoCellAnchor>
    <xdr:from>
      <xdr:col>0</xdr:col>
      <xdr:colOff>142875</xdr:colOff>
      <xdr:row>51</xdr:row>
      <xdr:rowOff>142875</xdr:rowOff>
    </xdr:from>
    <xdr:to>
      <xdr:col>3</xdr:col>
      <xdr:colOff>876300</xdr:colOff>
      <xdr:row>68</xdr:row>
      <xdr:rowOff>162983</xdr:rowOff>
    </xdr:to>
    <xdr:graphicFrame macro="">
      <xdr:nvGraphicFramePr>
        <xdr:cNvPr id="2"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0.14061</cdr:x>
      <cdr:y>0.89684</cdr:y>
    </cdr:from>
    <cdr:to>
      <cdr:x>0.29339</cdr:x>
      <cdr:y>0.97793</cdr:y>
    </cdr:to>
    <cdr:sp macro="" textlink="">
      <cdr:nvSpPr>
        <cdr:cNvPr id="11" name="Tekstboks 1"/>
        <cdr:cNvSpPr txBox="1"/>
      </cdr:nvSpPr>
      <cdr:spPr>
        <a:xfrm xmlns:a="http://schemas.openxmlformats.org/drawingml/2006/main">
          <a:off x="856989" y="2913917"/>
          <a:ext cx="931186"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0.3607</cdr:x>
      <cdr:y>0.90023</cdr:y>
    </cdr:from>
    <cdr:to>
      <cdr:x>0.51348</cdr:x>
      <cdr:y>0.98131</cdr:y>
    </cdr:to>
    <cdr:sp macro="" textlink="">
      <cdr:nvSpPr>
        <cdr:cNvPr id="12" name="Tekstboks 1"/>
        <cdr:cNvSpPr txBox="1"/>
      </cdr:nvSpPr>
      <cdr:spPr>
        <a:xfrm xmlns:a="http://schemas.openxmlformats.org/drawingml/2006/main">
          <a:off x="2198461" y="2924921"/>
          <a:ext cx="931186"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0.58164</cdr:x>
      <cdr:y>0.89806</cdr:y>
    </cdr:from>
    <cdr:to>
      <cdr:x>0.73442</cdr:x>
      <cdr:y>0.97914</cdr:y>
    </cdr:to>
    <cdr:sp macro="" textlink="">
      <cdr:nvSpPr>
        <cdr:cNvPr id="13" name="Tekstboks 1"/>
        <cdr:cNvSpPr txBox="1"/>
      </cdr:nvSpPr>
      <cdr:spPr>
        <a:xfrm xmlns:a="http://schemas.openxmlformats.org/drawingml/2006/main">
          <a:off x="3545070" y="2917879"/>
          <a:ext cx="931186"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0.10406</cdr:x>
      <cdr:y>0.80456</cdr:y>
    </cdr:from>
    <cdr:to>
      <cdr:x>0.19441</cdr:x>
      <cdr:y>0.88565</cdr:y>
    </cdr:to>
    <cdr:sp macro="" textlink="">
      <cdr:nvSpPr>
        <cdr:cNvPr id="14" name="Tekstboks 1"/>
        <cdr:cNvSpPr txBox="1"/>
      </cdr:nvSpPr>
      <cdr:spPr>
        <a:xfrm xmlns:a="http://schemas.openxmlformats.org/drawingml/2006/main">
          <a:off x="634215" y="2614082"/>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0.33096</cdr:x>
      <cdr:y>0.80782</cdr:y>
    </cdr:from>
    <cdr:to>
      <cdr:x>0.42131</cdr:x>
      <cdr:y>0.88891</cdr:y>
    </cdr:to>
    <cdr:sp macro="" textlink="">
      <cdr:nvSpPr>
        <cdr:cNvPr id="15" name="Tekstboks 1"/>
        <cdr:cNvSpPr txBox="1"/>
      </cdr:nvSpPr>
      <cdr:spPr>
        <a:xfrm xmlns:a="http://schemas.openxmlformats.org/drawingml/2006/main">
          <a:off x="2017180" y="2624666"/>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0.55233</cdr:x>
      <cdr:y>0.80456</cdr:y>
    </cdr:from>
    <cdr:to>
      <cdr:x>0.64268</cdr:x>
      <cdr:y>0.88565</cdr:y>
    </cdr:to>
    <cdr:sp macro="" textlink="">
      <cdr:nvSpPr>
        <cdr:cNvPr id="16" name="Tekstboks 1"/>
        <cdr:cNvSpPr txBox="1"/>
      </cdr:nvSpPr>
      <cdr:spPr>
        <a:xfrm xmlns:a="http://schemas.openxmlformats.org/drawingml/2006/main">
          <a:off x="3366421" y="2614091"/>
          <a:ext cx="550678"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0.20992</cdr:x>
      <cdr:y>0.80456</cdr:y>
    </cdr:from>
    <cdr:to>
      <cdr:x>0.30026</cdr:x>
      <cdr:y>0.88565</cdr:y>
    </cdr:to>
    <cdr:sp macro="" textlink="">
      <cdr:nvSpPr>
        <cdr:cNvPr id="17" name="Tekstboks 1"/>
        <cdr:cNvSpPr txBox="1"/>
      </cdr:nvSpPr>
      <cdr:spPr>
        <a:xfrm xmlns:a="http://schemas.openxmlformats.org/drawingml/2006/main">
          <a:off x="1279480" y="2614091"/>
          <a:ext cx="5506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0.43824</cdr:x>
      <cdr:y>0.81108</cdr:y>
    </cdr:from>
    <cdr:to>
      <cdr:x>0.52858</cdr:x>
      <cdr:y>0.89217</cdr:y>
    </cdr:to>
    <cdr:sp macro="" textlink="">
      <cdr:nvSpPr>
        <cdr:cNvPr id="18" name="Tekstboks 1"/>
        <cdr:cNvSpPr txBox="1"/>
      </cdr:nvSpPr>
      <cdr:spPr>
        <a:xfrm xmlns:a="http://schemas.openxmlformats.org/drawingml/2006/main">
          <a:off x="2671056" y="2635258"/>
          <a:ext cx="5506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0.6634</cdr:x>
      <cdr:y>0.80456</cdr:y>
    </cdr:from>
    <cdr:to>
      <cdr:x>0.75375</cdr:x>
      <cdr:y>0.88565</cdr:y>
    </cdr:to>
    <cdr:sp macro="" textlink="">
      <cdr:nvSpPr>
        <cdr:cNvPr id="19" name="Tekstboks 1"/>
        <cdr:cNvSpPr txBox="1"/>
      </cdr:nvSpPr>
      <cdr:spPr>
        <a:xfrm xmlns:a="http://schemas.openxmlformats.org/drawingml/2006/main">
          <a:off x="4043375" y="2614091"/>
          <a:ext cx="5506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285750</xdr:colOff>
      <xdr:row>11</xdr:row>
      <xdr:rowOff>140153</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310243</xdr:colOff>
      <xdr:row>0</xdr:row>
      <xdr:rowOff>0</xdr:rowOff>
    </xdr:from>
    <xdr:to>
      <xdr:col>13</xdr:col>
      <xdr:colOff>54429</xdr:colOff>
      <xdr:row>11</xdr:row>
      <xdr:rowOff>141513</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7327</xdr:colOff>
      <xdr:row>11</xdr:row>
      <xdr:rowOff>168628</xdr:rowOff>
    </xdr:from>
    <xdr:to>
      <xdr:col>9</xdr:col>
      <xdr:colOff>506709</xdr:colOff>
      <xdr:row>28</xdr:row>
      <xdr:rowOff>184653</xdr:rowOff>
    </xdr:to>
    <xdr:graphicFrame macro="">
      <xdr:nvGraphicFramePr>
        <xdr:cNvPr id="10" name="Diagra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0.15795</cdr:x>
      <cdr:y>0.9001</cdr:y>
    </cdr:from>
    <cdr:to>
      <cdr:x>0.31073</cdr:x>
      <cdr:y>0.98119</cdr:y>
    </cdr:to>
    <cdr:sp macro="" textlink="">
      <cdr:nvSpPr>
        <cdr:cNvPr id="2" name="Tekstboks 1"/>
        <cdr:cNvSpPr txBox="1"/>
      </cdr:nvSpPr>
      <cdr:spPr>
        <a:xfrm xmlns:a="http://schemas.openxmlformats.org/drawingml/2006/main">
          <a:off x="672011" y="2924500"/>
          <a:ext cx="650002"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0.45496</cdr:x>
      <cdr:y>0.90349</cdr:y>
    </cdr:from>
    <cdr:to>
      <cdr:x>0.60774</cdr:x>
      <cdr:y>0.98457</cdr:y>
    </cdr:to>
    <cdr:sp macro="" textlink="">
      <cdr:nvSpPr>
        <cdr:cNvPr id="3" name="Tekstboks 1"/>
        <cdr:cNvSpPr txBox="1"/>
      </cdr:nvSpPr>
      <cdr:spPr>
        <a:xfrm xmlns:a="http://schemas.openxmlformats.org/drawingml/2006/main">
          <a:off x="1935628" y="2935505"/>
          <a:ext cx="650003"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0.75934</cdr:x>
      <cdr:y>0.90132</cdr:y>
    </cdr:from>
    <cdr:to>
      <cdr:x>0.91212</cdr:x>
      <cdr:y>0.9824</cdr:y>
    </cdr:to>
    <cdr:sp macro="" textlink="">
      <cdr:nvSpPr>
        <cdr:cNvPr id="4" name="Tekstboks 1"/>
        <cdr:cNvSpPr txBox="1"/>
      </cdr:nvSpPr>
      <cdr:spPr>
        <a:xfrm xmlns:a="http://schemas.openxmlformats.org/drawingml/2006/main">
          <a:off x="3230590" y="2928464"/>
          <a:ext cx="650003"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0.11194</cdr:x>
      <cdr:y>0.81759</cdr:y>
    </cdr:from>
    <cdr:to>
      <cdr:x>0.22388</cdr:x>
      <cdr:y>0.89868</cdr:y>
    </cdr:to>
    <cdr:sp macro="" textlink="">
      <cdr:nvSpPr>
        <cdr:cNvPr id="5" name="Tekstboks 1"/>
        <cdr:cNvSpPr txBox="1"/>
      </cdr:nvSpPr>
      <cdr:spPr>
        <a:xfrm xmlns:a="http://schemas.openxmlformats.org/drawingml/2006/main">
          <a:off x="476249" y="2656416"/>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0.24627</cdr:x>
      <cdr:y>0.81759</cdr:y>
    </cdr:from>
    <cdr:to>
      <cdr:x>0.35821</cdr:x>
      <cdr:y>0.89868</cdr:y>
    </cdr:to>
    <cdr:sp macro="" textlink="">
      <cdr:nvSpPr>
        <cdr:cNvPr id="6" name="Tekstboks 1"/>
        <cdr:cNvSpPr txBox="1"/>
      </cdr:nvSpPr>
      <cdr:spPr>
        <a:xfrm xmlns:a="http://schemas.openxmlformats.org/drawingml/2006/main">
          <a:off x="1047749"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0.5398</cdr:x>
      <cdr:y>0.81759</cdr:y>
    </cdr:from>
    <cdr:to>
      <cdr:x>0.65174</cdr:x>
      <cdr:y>0.89868</cdr:y>
    </cdr:to>
    <cdr:sp macro="" textlink="">
      <cdr:nvSpPr>
        <cdr:cNvPr id="9" name="Tekstboks 1"/>
        <cdr:cNvSpPr txBox="1"/>
      </cdr:nvSpPr>
      <cdr:spPr>
        <a:xfrm xmlns:a="http://schemas.openxmlformats.org/drawingml/2006/main">
          <a:off x="2296583"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0.8408</cdr:x>
      <cdr:y>0.81759</cdr:y>
    </cdr:from>
    <cdr:to>
      <cdr:x>0.95274</cdr:x>
      <cdr:y>0.89868</cdr:y>
    </cdr:to>
    <cdr:sp macro="" textlink="">
      <cdr:nvSpPr>
        <cdr:cNvPr id="10" name="Tekstboks 1"/>
        <cdr:cNvSpPr txBox="1"/>
      </cdr:nvSpPr>
      <cdr:spPr>
        <a:xfrm xmlns:a="http://schemas.openxmlformats.org/drawingml/2006/main">
          <a:off x="3577166"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0.40299</cdr:x>
      <cdr:y>0.81759</cdr:y>
    </cdr:from>
    <cdr:to>
      <cdr:x>0.51493</cdr:x>
      <cdr:y>0.89868</cdr:y>
    </cdr:to>
    <cdr:sp macro="" textlink="">
      <cdr:nvSpPr>
        <cdr:cNvPr id="11" name="Tekstboks 1"/>
        <cdr:cNvSpPr txBox="1"/>
      </cdr:nvSpPr>
      <cdr:spPr>
        <a:xfrm xmlns:a="http://schemas.openxmlformats.org/drawingml/2006/main">
          <a:off x="1714500"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0.699</cdr:x>
      <cdr:y>0.81759</cdr:y>
    </cdr:from>
    <cdr:to>
      <cdr:x>0.81095</cdr:x>
      <cdr:y>0.89868</cdr:y>
    </cdr:to>
    <cdr:sp macro="" textlink="">
      <cdr:nvSpPr>
        <cdr:cNvPr id="12" name="Tekstboks 1"/>
        <cdr:cNvSpPr txBox="1"/>
      </cdr:nvSpPr>
      <cdr:spPr>
        <a:xfrm xmlns:a="http://schemas.openxmlformats.org/drawingml/2006/main">
          <a:off x="2973916" y="2656417"/>
          <a:ext cx="47625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userShapes>
</file>

<file path=xl/drawings/drawing24.xml><?xml version="1.0" encoding="utf-8"?>
<c:userShapes xmlns:c="http://schemas.openxmlformats.org/drawingml/2006/chart">
  <cdr:relSizeAnchor xmlns:cdr="http://schemas.openxmlformats.org/drawingml/2006/chartDrawing">
    <cdr:from>
      <cdr:x>0.18165</cdr:x>
      <cdr:y>0.83692</cdr:y>
    </cdr:from>
    <cdr:to>
      <cdr:x>0.33991</cdr:x>
      <cdr:y>0.92107</cdr:y>
    </cdr:to>
    <cdr:sp macro="" textlink="">
      <cdr:nvSpPr>
        <cdr:cNvPr id="2" name="Tekstboks 1"/>
        <cdr:cNvSpPr txBox="1"/>
      </cdr:nvSpPr>
      <cdr:spPr>
        <a:xfrm xmlns:a="http://schemas.openxmlformats.org/drawingml/2006/main">
          <a:off x="559910" y="2721429"/>
          <a:ext cx="487839" cy="2736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Ref</a:t>
          </a:r>
        </a:p>
      </cdr:txBody>
    </cdr:sp>
  </cdr:relSizeAnchor>
  <cdr:relSizeAnchor xmlns:cdr="http://schemas.openxmlformats.org/drawingml/2006/chartDrawing">
    <cdr:from>
      <cdr:x>0.38254</cdr:x>
      <cdr:y>0.83733</cdr:y>
    </cdr:from>
    <cdr:to>
      <cdr:x>0.56652</cdr:x>
      <cdr:y>0.92107</cdr:y>
    </cdr:to>
    <cdr:sp macro="" textlink="">
      <cdr:nvSpPr>
        <cdr:cNvPr id="3" name="Tekstboks 1"/>
        <cdr:cNvSpPr txBox="1"/>
      </cdr:nvSpPr>
      <cdr:spPr>
        <a:xfrm xmlns:a="http://schemas.openxmlformats.org/drawingml/2006/main">
          <a:off x="1179138" y="2722762"/>
          <a:ext cx="567112" cy="2723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0.58369</cdr:x>
      <cdr:y>0.83645</cdr:y>
    </cdr:from>
    <cdr:to>
      <cdr:x>0.74196</cdr:x>
      <cdr:y>0.92061</cdr:y>
    </cdr:to>
    <cdr:sp macro="" textlink="">
      <cdr:nvSpPr>
        <cdr:cNvPr id="4" name="Tekstboks 1"/>
        <cdr:cNvSpPr txBox="1"/>
      </cdr:nvSpPr>
      <cdr:spPr>
        <a:xfrm xmlns:a="http://schemas.openxmlformats.org/drawingml/2006/main">
          <a:off x="1799167" y="2719917"/>
          <a:ext cx="487839" cy="2736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0.79313</cdr:x>
      <cdr:y>0.83645</cdr:y>
    </cdr:from>
    <cdr:to>
      <cdr:x>0.97712</cdr:x>
      <cdr:y>0.9202</cdr:y>
    </cdr:to>
    <cdr:sp macro="" textlink="">
      <cdr:nvSpPr>
        <cdr:cNvPr id="5" name="Tekstboks 1"/>
        <cdr:cNvSpPr txBox="1"/>
      </cdr:nvSpPr>
      <cdr:spPr>
        <a:xfrm xmlns:a="http://schemas.openxmlformats.org/drawingml/2006/main">
          <a:off x="2444751" y="2719917"/>
          <a:ext cx="567112" cy="2723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25.xml><?xml version="1.0" encoding="utf-8"?>
<c:userShapes xmlns:c="http://schemas.openxmlformats.org/drawingml/2006/chart">
  <cdr:relSizeAnchor xmlns:cdr="http://schemas.openxmlformats.org/drawingml/2006/chartDrawing">
    <cdr:from>
      <cdr:x>0.12557</cdr:x>
      <cdr:y>0.90336</cdr:y>
    </cdr:from>
    <cdr:to>
      <cdr:x>0.27835</cdr:x>
      <cdr:y>0.98445</cdr:y>
    </cdr:to>
    <cdr:sp macro="" textlink="">
      <cdr:nvSpPr>
        <cdr:cNvPr id="11" name="Tekstboks 1"/>
        <cdr:cNvSpPr txBox="1"/>
      </cdr:nvSpPr>
      <cdr:spPr>
        <a:xfrm xmlns:a="http://schemas.openxmlformats.org/drawingml/2006/main">
          <a:off x="777454" y="2935084"/>
          <a:ext cx="945899" cy="263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a-DK" sz="1100"/>
            <a:t>Housing</a:t>
          </a:r>
        </a:p>
      </cdr:txBody>
    </cdr:sp>
  </cdr:relSizeAnchor>
  <cdr:relSizeAnchor xmlns:cdr="http://schemas.openxmlformats.org/drawingml/2006/chartDrawing">
    <cdr:from>
      <cdr:x>0.33845</cdr:x>
      <cdr:y>0.90349</cdr:y>
    </cdr:from>
    <cdr:to>
      <cdr:x>0.49123</cdr:x>
      <cdr:y>0.98457</cdr:y>
    </cdr:to>
    <cdr:sp macro="" textlink="">
      <cdr:nvSpPr>
        <cdr:cNvPr id="12" name="Tekstboks 1"/>
        <cdr:cNvSpPr txBox="1"/>
      </cdr:nvSpPr>
      <cdr:spPr>
        <a:xfrm xmlns:a="http://schemas.openxmlformats.org/drawingml/2006/main">
          <a:off x="2095401" y="2935505"/>
          <a:ext cx="945899"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Storage</a:t>
          </a:r>
        </a:p>
      </cdr:txBody>
    </cdr:sp>
  </cdr:relSizeAnchor>
  <cdr:relSizeAnchor xmlns:cdr="http://schemas.openxmlformats.org/drawingml/2006/chartDrawing">
    <cdr:from>
      <cdr:x>0.57946</cdr:x>
      <cdr:y>0.90132</cdr:y>
    </cdr:from>
    <cdr:to>
      <cdr:x>0.73224</cdr:x>
      <cdr:y>0.9824</cdr:y>
    </cdr:to>
    <cdr:sp macro="" textlink="">
      <cdr:nvSpPr>
        <cdr:cNvPr id="13" name="Tekstboks 1"/>
        <cdr:cNvSpPr txBox="1"/>
      </cdr:nvSpPr>
      <cdr:spPr>
        <a:xfrm xmlns:a="http://schemas.openxmlformats.org/drawingml/2006/main">
          <a:off x="3587564" y="2928463"/>
          <a:ext cx="945899" cy="2634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Field</a:t>
          </a:r>
        </a:p>
      </cdr:txBody>
    </cdr:sp>
  </cdr:relSizeAnchor>
  <cdr:relSizeAnchor xmlns:cdr="http://schemas.openxmlformats.org/drawingml/2006/chartDrawing">
    <cdr:from>
      <cdr:x>0.10262</cdr:x>
      <cdr:y>0.79805</cdr:y>
    </cdr:from>
    <cdr:to>
      <cdr:x>0.19297</cdr:x>
      <cdr:y>0.87914</cdr:y>
    </cdr:to>
    <cdr:sp macro="" textlink="">
      <cdr:nvSpPr>
        <cdr:cNvPr id="14" name="Tekstboks 1"/>
        <cdr:cNvSpPr txBox="1"/>
      </cdr:nvSpPr>
      <cdr:spPr>
        <a:xfrm xmlns:a="http://schemas.openxmlformats.org/drawingml/2006/main">
          <a:off x="635325" y="2592915"/>
          <a:ext cx="5593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0.32718</cdr:x>
      <cdr:y>0.79805</cdr:y>
    </cdr:from>
    <cdr:to>
      <cdr:x>0.41753</cdr:x>
      <cdr:y>0.87914</cdr:y>
    </cdr:to>
    <cdr:sp macro="" textlink="">
      <cdr:nvSpPr>
        <cdr:cNvPr id="15" name="Tekstboks 1"/>
        <cdr:cNvSpPr txBox="1"/>
      </cdr:nvSpPr>
      <cdr:spPr>
        <a:xfrm xmlns:a="http://schemas.openxmlformats.org/drawingml/2006/main">
          <a:off x="2025664" y="2592915"/>
          <a:ext cx="55938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0.55482</cdr:x>
      <cdr:y>0.79805</cdr:y>
    </cdr:from>
    <cdr:to>
      <cdr:x>0.64517</cdr:x>
      <cdr:y>0.87914</cdr:y>
    </cdr:to>
    <cdr:sp macro="" textlink="">
      <cdr:nvSpPr>
        <cdr:cNvPr id="16" name="Tekstboks 1"/>
        <cdr:cNvSpPr txBox="1"/>
      </cdr:nvSpPr>
      <cdr:spPr>
        <a:xfrm xmlns:a="http://schemas.openxmlformats.org/drawingml/2006/main">
          <a:off x="3434999" y="2592924"/>
          <a:ext cx="559380"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Ref</a:t>
          </a:r>
        </a:p>
      </cdr:txBody>
    </cdr:sp>
  </cdr:relSizeAnchor>
  <cdr:relSizeAnchor xmlns:cdr="http://schemas.openxmlformats.org/drawingml/2006/chartDrawing">
    <cdr:from>
      <cdr:x>0.21934</cdr:x>
      <cdr:y>0.79805</cdr:y>
    </cdr:from>
    <cdr:to>
      <cdr:x>0.30968</cdr:x>
      <cdr:y>0.87914</cdr:y>
    </cdr:to>
    <cdr:sp macro="" textlink="">
      <cdr:nvSpPr>
        <cdr:cNvPr id="17" name="Tekstboks 1"/>
        <cdr:cNvSpPr txBox="1"/>
      </cdr:nvSpPr>
      <cdr:spPr>
        <a:xfrm xmlns:a="http://schemas.openxmlformats.org/drawingml/2006/main">
          <a:off x="1357965" y="2592924"/>
          <a:ext cx="5593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0.43842</cdr:x>
      <cdr:y>0.79479</cdr:y>
    </cdr:from>
    <cdr:to>
      <cdr:x>0.52876</cdr:x>
      <cdr:y>0.87588</cdr:y>
    </cdr:to>
    <cdr:sp macro="" textlink="">
      <cdr:nvSpPr>
        <cdr:cNvPr id="18" name="Tekstboks 1"/>
        <cdr:cNvSpPr txBox="1"/>
      </cdr:nvSpPr>
      <cdr:spPr>
        <a:xfrm xmlns:a="http://schemas.openxmlformats.org/drawingml/2006/main">
          <a:off x="2714384" y="2582340"/>
          <a:ext cx="559317"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dr:relSizeAnchor xmlns:cdr="http://schemas.openxmlformats.org/drawingml/2006/chartDrawing">
    <cdr:from>
      <cdr:x>0.65443</cdr:x>
      <cdr:y>0.79805</cdr:y>
    </cdr:from>
    <cdr:to>
      <cdr:x>0.74478</cdr:x>
      <cdr:y>0.87914</cdr:y>
    </cdr:to>
    <cdr:sp macro="" textlink="">
      <cdr:nvSpPr>
        <cdr:cNvPr id="19" name="Tekstboks 1"/>
        <cdr:cNvSpPr txBox="1"/>
      </cdr:nvSpPr>
      <cdr:spPr>
        <a:xfrm xmlns:a="http://schemas.openxmlformats.org/drawingml/2006/main">
          <a:off x="4051744" y="2592924"/>
          <a:ext cx="559379" cy="2634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100"/>
            <a:t>Tech</a:t>
          </a:r>
        </a:p>
      </cdr:txBody>
    </cdr:sp>
  </cdr:relSizeAnchor>
</c:userShapes>
</file>

<file path=xl/drawings/drawing3.xml><?xml version="1.0" encoding="utf-8"?>
<c:userShapes xmlns:c="http://schemas.openxmlformats.org/drawingml/2006/chart">
  <cdr:relSizeAnchor xmlns:cdr="http://schemas.openxmlformats.org/drawingml/2006/chartDrawing">
    <cdr:from>
      <cdr:x>0.15466</cdr:x>
      <cdr:y>0.78971</cdr:y>
    </cdr:from>
    <cdr:to>
      <cdr:x>0.98849</cdr:x>
      <cdr:y>0.87387</cdr:y>
    </cdr:to>
    <cdr:grpSp>
      <cdr:nvGrpSpPr>
        <cdr:cNvPr id="7" name="Group 6"/>
        <cdr:cNvGrpSpPr/>
      </cdr:nvGrpSpPr>
      <cdr:grpSpPr>
        <a:xfrm xmlns:a="http://schemas.openxmlformats.org/drawingml/2006/main">
          <a:off x="420680" y="1983286"/>
          <a:ext cx="2268041" cy="211360"/>
          <a:chOff x="493910" y="2401054"/>
          <a:chExt cx="2270123" cy="222280"/>
        </a:xfrm>
      </cdr:grpSpPr>
      <cdr:sp macro="" textlink="">
        <cdr:nvSpPr>
          <cdr:cNvPr id="2" name="Tekstboks 1"/>
          <cdr:cNvSpPr txBox="1"/>
        </cdr:nvSpPr>
        <cdr:spPr>
          <a:xfrm xmlns:a="http://schemas.openxmlformats.org/drawingml/2006/main">
            <a:off x="493910" y="2401054"/>
            <a:ext cx="451644" cy="22225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a:t>Ref</a:t>
            </a:r>
            <a:endParaRPr lang="da-DK" sz="1100"/>
          </a:p>
        </cdr:txBody>
      </cdr:sp>
      <cdr:sp macro="" textlink="">
        <cdr:nvSpPr>
          <cdr:cNvPr id="3" name="Tekstboks 1"/>
          <cdr:cNvSpPr txBox="1"/>
        </cdr:nvSpPr>
        <cdr:spPr>
          <a:xfrm xmlns:a="http://schemas.openxmlformats.org/drawingml/2006/main">
            <a:off x="1079455" y="2401054"/>
            <a:ext cx="525045" cy="22117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4" name="Tekstboks 1"/>
          <cdr:cNvSpPr txBox="1"/>
        </cdr:nvSpPr>
        <cdr:spPr>
          <a:xfrm xmlns:a="http://schemas.openxmlformats.org/drawingml/2006/main">
            <a:off x="1647393" y="2401054"/>
            <a:ext cx="451673" cy="22228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5" name="Tekstboks 1"/>
          <cdr:cNvSpPr txBox="1"/>
        </cdr:nvSpPr>
        <cdr:spPr>
          <a:xfrm xmlns:a="http://schemas.openxmlformats.org/drawingml/2006/main">
            <a:off x="2238960" y="2401054"/>
            <a:ext cx="525073" cy="221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grpSp>
  </cdr:relSizeAnchor>
  <cdr:relSizeAnchor xmlns:cdr="http://schemas.openxmlformats.org/drawingml/2006/chartDrawing">
    <cdr:from>
      <cdr:x>0.21906</cdr:x>
      <cdr:y>0.00218</cdr:y>
    </cdr:from>
    <cdr:to>
      <cdr:x>0.97292</cdr:x>
      <cdr:y>0.10894</cdr:y>
    </cdr:to>
    <cdr:sp macro="" textlink="">
      <cdr:nvSpPr>
        <cdr:cNvPr id="6" name="TextBox 5"/>
        <cdr:cNvSpPr txBox="1"/>
      </cdr:nvSpPr>
      <cdr:spPr>
        <a:xfrm xmlns:a="http://schemas.openxmlformats.org/drawingml/2006/main">
          <a:off x="595850" y="6204"/>
          <a:ext cx="2050521" cy="3043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t>Eutrophication from field</a:t>
          </a:r>
        </a:p>
      </cdr:txBody>
    </cdr:sp>
  </cdr:relSizeAnchor>
</c:userShapes>
</file>

<file path=xl/drawings/drawing4.xml><?xml version="1.0" encoding="utf-8"?>
<c:userShapes xmlns:c="http://schemas.openxmlformats.org/drawingml/2006/chart">
  <cdr:relSizeAnchor xmlns:cdr="http://schemas.openxmlformats.org/drawingml/2006/chartDrawing">
    <cdr:from>
      <cdr:x>0.14688</cdr:x>
      <cdr:y>0.87257</cdr:y>
    </cdr:from>
    <cdr:to>
      <cdr:x>0.24594</cdr:x>
      <cdr:y>0.95366</cdr:y>
    </cdr:to>
    <cdr:sp macro="" textlink="">
      <cdr:nvSpPr>
        <cdr:cNvPr id="11" name="Tekstboks 1"/>
        <cdr:cNvSpPr txBox="1"/>
      </cdr:nvSpPr>
      <cdr:spPr>
        <a:xfrm xmlns:a="http://schemas.openxmlformats.org/drawingml/2006/main">
          <a:off x="1051904" y="2547336"/>
          <a:ext cx="709463" cy="23672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b="1"/>
            <a:t>Housing</a:t>
          </a:r>
          <a:endParaRPr lang="da-DK" sz="1100" b="1"/>
        </a:p>
      </cdr:txBody>
    </cdr:sp>
  </cdr:relSizeAnchor>
  <cdr:relSizeAnchor xmlns:cdr="http://schemas.openxmlformats.org/drawingml/2006/chartDrawing">
    <cdr:from>
      <cdr:x>0.38845</cdr:x>
      <cdr:y>0.87147</cdr:y>
    </cdr:from>
    <cdr:to>
      <cdr:x>0.50327</cdr:x>
      <cdr:y>0.95255</cdr:y>
    </cdr:to>
    <cdr:sp macro="" textlink="">
      <cdr:nvSpPr>
        <cdr:cNvPr id="12" name="Tekstboks 1"/>
        <cdr:cNvSpPr txBox="1"/>
      </cdr:nvSpPr>
      <cdr:spPr>
        <a:xfrm xmlns:a="http://schemas.openxmlformats.org/drawingml/2006/main">
          <a:off x="2781989" y="2544115"/>
          <a:ext cx="822325" cy="2366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Storage</a:t>
          </a:r>
          <a:endParaRPr lang="da-DK" sz="1100" b="1"/>
        </a:p>
      </cdr:txBody>
    </cdr:sp>
  </cdr:relSizeAnchor>
  <cdr:relSizeAnchor xmlns:cdr="http://schemas.openxmlformats.org/drawingml/2006/chartDrawing">
    <cdr:from>
      <cdr:x>0.60478</cdr:x>
      <cdr:y>0.8701</cdr:y>
    </cdr:from>
    <cdr:to>
      <cdr:x>0.68885</cdr:x>
      <cdr:y>0.95118</cdr:y>
    </cdr:to>
    <cdr:sp macro="" textlink="">
      <cdr:nvSpPr>
        <cdr:cNvPr id="13" name="Tekstboks 1"/>
        <cdr:cNvSpPr txBox="1"/>
      </cdr:nvSpPr>
      <cdr:spPr>
        <a:xfrm xmlns:a="http://schemas.openxmlformats.org/drawingml/2006/main">
          <a:off x="4331265" y="2540116"/>
          <a:ext cx="602096" cy="236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Field</a:t>
          </a:r>
          <a:endParaRPr lang="da-DK" sz="1100" b="1"/>
        </a:p>
      </cdr:txBody>
    </cdr:sp>
  </cdr:relSizeAnchor>
  <cdr:relSizeAnchor xmlns:cdr="http://schemas.openxmlformats.org/drawingml/2006/chartDrawing">
    <cdr:from>
      <cdr:x>0.11193</cdr:x>
      <cdr:y>0.91891</cdr:y>
    </cdr:from>
    <cdr:to>
      <cdr:x>0.20228</cdr:x>
      <cdr:y>1</cdr:y>
    </cdr:to>
    <cdr:sp macro="" textlink="">
      <cdr:nvSpPr>
        <cdr:cNvPr id="14" name="Tekstboks 1"/>
        <cdr:cNvSpPr txBox="1"/>
      </cdr:nvSpPr>
      <cdr:spPr>
        <a:xfrm xmlns:a="http://schemas.openxmlformats.org/drawingml/2006/main">
          <a:off x="801650" y="267899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0.34314</cdr:x>
      <cdr:y>0.91891</cdr:y>
    </cdr:from>
    <cdr:to>
      <cdr:x>0.43349</cdr:x>
      <cdr:y>1</cdr:y>
    </cdr:to>
    <cdr:sp macro="" textlink="">
      <cdr:nvSpPr>
        <cdr:cNvPr id="15" name="Tekstboks 1"/>
        <cdr:cNvSpPr txBox="1"/>
      </cdr:nvSpPr>
      <cdr:spPr>
        <a:xfrm xmlns:a="http://schemas.openxmlformats.org/drawingml/2006/main">
          <a:off x="2457596" y="267899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0.55216</cdr:x>
      <cdr:y>0.9124</cdr:y>
    </cdr:from>
    <cdr:to>
      <cdr:x>0.64251</cdr:x>
      <cdr:y>0.99349</cdr:y>
    </cdr:to>
    <cdr:sp macro="" textlink="">
      <cdr:nvSpPr>
        <cdr:cNvPr id="16" name="Tekstboks 1"/>
        <cdr:cNvSpPr txBox="1"/>
      </cdr:nvSpPr>
      <cdr:spPr>
        <a:xfrm xmlns:a="http://schemas.openxmlformats.org/drawingml/2006/main">
          <a:off x="3954626" y="266001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0.20604</cdr:x>
      <cdr:y>0.91891</cdr:y>
    </cdr:from>
    <cdr:to>
      <cdr:x>0.29638</cdr:x>
      <cdr:y>1</cdr:y>
    </cdr:to>
    <cdr:sp macro="" textlink="">
      <cdr:nvSpPr>
        <cdr:cNvPr id="17" name="Tekstboks 1"/>
        <cdr:cNvSpPr txBox="1"/>
      </cdr:nvSpPr>
      <cdr:spPr>
        <a:xfrm xmlns:a="http://schemas.openxmlformats.org/drawingml/2006/main">
          <a:off x="1475685" y="2678992"/>
          <a:ext cx="647024"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dr:relSizeAnchor xmlns:cdr="http://schemas.openxmlformats.org/drawingml/2006/chartDrawing">
    <cdr:from>
      <cdr:x>0.43576</cdr:x>
      <cdr:y>0.91891</cdr:y>
    </cdr:from>
    <cdr:to>
      <cdr:x>0.5261</cdr:x>
      <cdr:y>1</cdr:y>
    </cdr:to>
    <cdr:sp macro="" textlink="">
      <cdr:nvSpPr>
        <cdr:cNvPr id="18" name="Tekstboks 1"/>
        <cdr:cNvSpPr txBox="1"/>
      </cdr:nvSpPr>
      <cdr:spPr>
        <a:xfrm xmlns:a="http://schemas.openxmlformats.org/drawingml/2006/main">
          <a:off x="3120957" y="2678992"/>
          <a:ext cx="647024"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dr:relSizeAnchor xmlns:cdr="http://schemas.openxmlformats.org/drawingml/2006/chartDrawing">
    <cdr:from>
      <cdr:x>0.65975</cdr:x>
      <cdr:y>0.91567</cdr:y>
    </cdr:from>
    <cdr:to>
      <cdr:x>0.7501</cdr:x>
      <cdr:y>0.99676</cdr:y>
    </cdr:to>
    <cdr:sp macro="" textlink="">
      <cdr:nvSpPr>
        <cdr:cNvPr id="19" name="Tekstboks 1"/>
        <cdr:cNvSpPr txBox="1"/>
      </cdr:nvSpPr>
      <cdr:spPr>
        <a:xfrm xmlns:a="http://schemas.openxmlformats.org/drawingml/2006/main">
          <a:off x="4725192" y="2669537"/>
          <a:ext cx="647096"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127</xdr:row>
      <xdr:rowOff>16727</xdr:rowOff>
    </xdr:from>
    <xdr:to>
      <xdr:col>7</xdr:col>
      <xdr:colOff>720698</xdr:colOff>
      <xdr:row>163</xdr:row>
      <xdr:rowOff>15721</xdr:rowOff>
    </xdr:to>
    <xdr:grpSp>
      <xdr:nvGrpSpPr>
        <xdr:cNvPr id="9" name="Group 8"/>
        <xdr:cNvGrpSpPr/>
      </xdr:nvGrpSpPr>
      <xdr:grpSpPr>
        <a:xfrm>
          <a:off x="304800" y="32373152"/>
          <a:ext cx="6149948" cy="5609219"/>
          <a:chOff x="6254900" y="82875"/>
          <a:chExt cx="6860892" cy="5602283"/>
        </a:xfrm>
      </xdr:grpSpPr>
      <xdr:graphicFrame macro="">
        <xdr:nvGraphicFramePr>
          <xdr:cNvPr id="10" name="Diagram 5"/>
          <xdr:cNvGraphicFramePr>
            <a:graphicFrameLocks/>
          </xdr:cNvGraphicFramePr>
        </xdr:nvGraphicFramePr>
        <xdr:xfrm>
          <a:off x="6254900" y="82875"/>
          <a:ext cx="4095821" cy="26479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1" name="Diagram 6"/>
          <xdr:cNvGraphicFramePr>
            <a:graphicFrameLocks/>
          </xdr:cNvGraphicFramePr>
        </xdr:nvGraphicFramePr>
        <xdr:xfrm>
          <a:off x="10394254" y="82875"/>
          <a:ext cx="2720029" cy="26477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Diagram 9"/>
          <xdr:cNvGraphicFramePr>
            <a:graphicFrameLocks/>
          </xdr:cNvGraphicFramePr>
        </xdr:nvGraphicFramePr>
        <xdr:xfrm>
          <a:off x="6258493" y="2769756"/>
          <a:ext cx="6857299" cy="291540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672353</xdr:colOff>
      <xdr:row>160</xdr:row>
      <xdr:rowOff>156881</xdr:rowOff>
    </xdr:from>
    <xdr:to>
      <xdr:col>7</xdr:col>
      <xdr:colOff>656665</xdr:colOff>
      <xdr:row>162</xdr:row>
      <xdr:rowOff>89038</xdr:rowOff>
    </xdr:to>
    <xdr:sp macro="" textlink="">
      <xdr:nvSpPr>
        <xdr:cNvPr id="6" name="TextBox 5"/>
        <xdr:cNvSpPr txBox="1"/>
      </xdr:nvSpPr>
      <xdr:spPr>
        <a:xfrm>
          <a:off x="4941794" y="31085116"/>
          <a:ext cx="1485900" cy="2459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i="1"/>
            <a:t>* Biogenic CO2 not included</a:t>
          </a:r>
        </a:p>
      </xdr:txBody>
    </xdr:sp>
    <xdr:clientData/>
  </xdr:twoCellAnchor>
  <xdr:twoCellAnchor editAs="oneCell">
    <xdr:from>
      <xdr:col>1</xdr:col>
      <xdr:colOff>209550</xdr:colOff>
      <xdr:row>0</xdr:row>
      <xdr:rowOff>0</xdr:rowOff>
    </xdr:from>
    <xdr:to>
      <xdr:col>1</xdr:col>
      <xdr:colOff>962025</xdr:colOff>
      <xdr:row>0</xdr:row>
      <xdr:rowOff>417930</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5275" y="0"/>
          <a:ext cx="752475" cy="417930"/>
        </a:xfrm>
        <a:prstGeom prst="rect">
          <a:avLst/>
        </a:prstGeom>
      </xdr:spPr>
    </xdr:pic>
    <xdr:clientData/>
  </xdr:twoCellAnchor>
  <xdr:twoCellAnchor editAs="oneCell">
    <xdr:from>
      <xdr:col>1</xdr:col>
      <xdr:colOff>1838325</xdr:colOff>
      <xdr:row>0</xdr:row>
      <xdr:rowOff>38102</xdr:rowOff>
    </xdr:from>
    <xdr:to>
      <xdr:col>4</xdr:col>
      <xdr:colOff>149225</xdr:colOff>
      <xdr:row>0</xdr:row>
      <xdr:rowOff>422863</xdr:rowOff>
    </xdr:to>
    <xdr:pic>
      <xdr:nvPicPr>
        <xdr:cNvPr id="8" name="Picture 7"/>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37877"/>
        <a:stretch/>
      </xdr:blipFill>
      <xdr:spPr>
        <a:xfrm>
          <a:off x="2162175" y="38102"/>
          <a:ext cx="1625600" cy="384761"/>
        </a:xfrm>
        <a:prstGeom prst="rect">
          <a:avLst/>
        </a:prstGeom>
      </xdr:spPr>
    </xdr:pic>
    <xdr:clientData/>
  </xdr:twoCellAnchor>
  <xdr:twoCellAnchor editAs="oneCell">
    <xdr:from>
      <xdr:col>4</xdr:col>
      <xdr:colOff>628661</xdr:colOff>
      <xdr:row>0</xdr:row>
      <xdr:rowOff>66683</xdr:rowOff>
    </xdr:from>
    <xdr:to>
      <xdr:col>7</xdr:col>
      <xdr:colOff>677734</xdr:colOff>
      <xdr:row>0</xdr:row>
      <xdr:rowOff>408465</xdr:rowOff>
    </xdr:to>
    <xdr:pic>
      <xdr:nvPicPr>
        <xdr:cNvPr id="13" name="Picture 1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7125" t="62008" r="-3501" b="-7875"/>
        <a:stretch/>
      </xdr:blipFill>
      <xdr:spPr>
        <a:xfrm>
          <a:off x="4267211" y="66683"/>
          <a:ext cx="2163623" cy="341782"/>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0.09979</cdr:x>
      <cdr:y>0.76921</cdr:y>
    </cdr:from>
    <cdr:to>
      <cdr:x>0.95385</cdr:x>
      <cdr:y>0.89979</cdr:y>
    </cdr:to>
    <cdr:grpSp>
      <cdr:nvGrpSpPr>
        <cdr:cNvPr id="7" name="Group 6"/>
        <cdr:cNvGrpSpPr/>
      </cdr:nvGrpSpPr>
      <cdr:grpSpPr>
        <a:xfrm xmlns:a="http://schemas.openxmlformats.org/drawingml/2006/main">
          <a:off x="366369" y="2039351"/>
          <a:ext cx="3135597" cy="346197"/>
          <a:chOff x="454167" y="1602311"/>
          <a:chExt cx="3465103" cy="272401"/>
        </a:xfrm>
      </cdr:grpSpPr>
      <cdr:sp macro="" textlink="">
        <cdr:nvSpPr>
          <cdr:cNvPr id="2" name="Tekstboks 1"/>
          <cdr:cNvSpPr txBox="1"/>
        </cdr:nvSpPr>
        <cdr:spPr>
          <a:xfrm xmlns:a="http://schemas.openxmlformats.org/drawingml/2006/main">
            <a:off x="665063" y="1603204"/>
            <a:ext cx="931355" cy="15893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b="1"/>
              <a:t>Housing</a:t>
            </a:r>
            <a:endParaRPr lang="da-DK" sz="1100" b="1"/>
          </a:p>
        </cdr:txBody>
      </cdr:sp>
      <cdr:sp macro="" textlink="">
        <cdr:nvSpPr>
          <cdr:cNvPr id="3" name="Tekstboks 1"/>
          <cdr:cNvSpPr txBox="1"/>
        </cdr:nvSpPr>
        <cdr:spPr>
          <a:xfrm xmlns:a="http://schemas.openxmlformats.org/drawingml/2006/main">
            <a:off x="1824493" y="1604616"/>
            <a:ext cx="619867" cy="16913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Storage</a:t>
            </a:r>
            <a:endParaRPr lang="da-DK" sz="1100" b="1"/>
          </a:p>
        </cdr:txBody>
      </cdr:sp>
      <cdr:sp macro="" textlink="">
        <cdr:nvSpPr>
          <cdr:cNvPr id="4" name="Tekstboks 1"/>
          <cdr:cNvSpPr txBox="1"/>
        </cdr:nvSpPr>
        <cdr:spPr>
          <a:xfrm xmlns:a="http://schemas.openxmlformats.org/drawingml/2006/main">
            <a:off x="3053552" y="1602311"/>
            <a:ext cx="619866" cy="16913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Field</a:t>
            </a:r>
            <a:endParaRPr lang="da-DK" sz="1100" b="1"/>
          </a:p>
        </cdr:txBody>
      </cdr:sp>
      <cdr:sp macro="" textlink="">
        <cdr:nvSpPr>
          <cdr:cNvPr id="5" name="Tekstboks 1"/>
          <cdr:cNvSpPr txBox="1"/>
        </cdr:nvSpPr>
        <cdr:spPr>
          <a:xfrm xmlns:a="http://schemas.openxmlformats.org/drawingml/2006/main">
            <a:off x="454167" y="1705552"/>
            <a:ext cx="540781"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6" name="Tekstboks 1"/>
          <cdr:cNvSpPr txBox="1"/>
        </cdr:nvSpPr>
        <cdr:spPr>
          <a:xfrm xmlns:a="http://schemas.openxmlformats.org/drawingml/2006/main">
            <a:off x="999179" y="1705552"/>
            <a:ext cx="565106"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9" name="Tekstboks 1"/>
          <cdr:cNvSpPr txBox="1"/>
        </cdr:nvSpPr>
        <cdr:spPr>
          <a:xfrm xmlns:a="http://schemas.openxmlformats.org/drawingml/2006/main">
            <a:off x="2190103" y="1705552"/>
            <a:ext cx="523947"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0"/>
              <a:t>Tech</a:t>
            </a:r>
            <a:endParaRPr lang="da-DK" sz="1100" b="0"/>
          </a:p>
        </cdr:txBody>
      </cdr:sp>
      <cdr:sp macro="" textlink="">
        <cdr:nvSpPr>
          <cdr:cNvPr id="10" name="Tekstboks 1"/>
          <cdr:cNvSpPr txBox="1"/>
        </cdr:nvSpPr>
        <cdr:spPr>
          <a:xfrm xmlns:a="http://schemas.openxmlformats.org/drawingml/2006/main">
            <a:off x="3411335" y="1705552"/>
            <a:ext cx="507935"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11" name="Tekstboks 1"/>
          <cdr:cNvSpPr txBox="1"/>
        </cdr:nvSpPr>
        <cdr:spPr>
          <a:xfrm xmlns:a="http://schemas.openxmlformats.org/drawingml/2006/main">
            <a:off x="1635031" y="1705552"/>
            <a:ext cx="454168"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12" name="Tekstboks 1"/>
          <cdr:cNvSpPr txBox="1"/>
        </cdr:nvSpPr>
        <cdr:spPr>
          <a:xfrm xmlns:a="http://schemas.openxmlformats.org/drawingml/2006/main">
            <a:off x="2836017" y="1705552"/>
            <a:ext cx="454209" cy="1691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grpSp>
  </cdr:relSizeAnchor>
</c:userShapes>
</file>

<file path=xl/drawings/drawing7.xml><?xml version="1.0" encoding="utf-8"?>
<c:userShapes xmlns:c="http://schemas.openxmlformats.org/drawingml/2006/chart">
  <cdr:relSizeAnchor xmlns:cdr="http://schemas.openxmlformats.org/drawingml/2006/chartDrawing">
    <cdr:from>
      <cdr:x>0.15466</cdr:x>
      <cdr:y>0.78971</cdr:y>
    </cdr:from>
    <cdr:to>
      <cdr:x>0.98849</cdr:x>
      <cdr:y>0.87387</cdr:y>
    </cdr:to>
    <cdr:grpSp>
      <cdr:nvGrpSpPr>
        <cdr:cNvPr id="7" name="Group 6"/>
        <cdr:cNvGrpSpPr/>
      </cdr:nvGrpSpPr>
      <cdr:grpSpPr>
        <a:xfrm xmlns:a="http://schemas.openxmlformats.org/drawingml/2006/main">
          <a:off x="377088" y="2093515"/>
          <a:ext cx="2033021" cy="223107"/>
          <a:chOff x="493910" y="2401054"/>
          <a:chExt cx="2270123" cy="222280"/>
        </a:xfrm>
      </cdr:grpSpPr>
      <cdr:sp macro="" textlink="">
        <cdr:nvSpPr>
          <cdr:cNvPr id="2" name="Tekstboks 1"/>
          <cdr:cNvSpPr txBox="1"/>
        </cdr:nvSpPr>
        <cdr:spPr>
          <a:xfrm xmlns:a="http://schemas.openxmlformats.org/drawingml/2006/main">
            <a:off x="493910" y="2401054"/>
            <a:ext cx="451644" cy="22225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a:t>Ref</a:t>
            </a:r>
            <a:endParaRPr lang="da-DK" sz="1100"/>
          </a:p>
        </cdr:txBody>
      </cdr:sp>
      <cdr:sp macro="" textlink="">
        <cdr:nvSpPr>
          <cdr:cNvPr id="3" name="Tekstboks 1"/>
          <cdr:cNvSpPr txBox="1"/>
        </cdr:nvSpPr>
        <cdr:spPr>
          <a:xfrm xmlns:a="http://schemas.openxmlformats.org/drawingml/2006/main">
            <a:off x="1079455" y="2401054"/>
            <a:ext cx="525045" cy="22117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sp macro="" textlink="">
        <cdr:nvSpPr>
          <cdr:cNvPr id="4" name="Tekstboks 1"/>
          <cdr:cNvSpPr txBox="1"/>
        </cdr:nvSpPr>
        <cdr:spPr>
          <a:xfrm xmlns:a="http://schemas.openxmlformats.org/drawingml/2006/main">
            <a:off x="1647393" y="2401054"/>
            <a:ext cx="451673" cy="22228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sp macro="" textlink="">
        <cdr:nvSpPr>
          <cdr:cNvPr id="5" name="Tekstboks 1"/>
          <cdr:cNvSpPr txBox="1"/>
        </cdr:nvSpPr>
        <cdr:spPr>
          <a:xfrm xmlns:a="http://schemas.openxmlformats.org/drawingml/2006/main">
            <a:off x="2238960" y="2401054"/>
            <a:ext cx="525073" cy="221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grpSp>
  </cdr:relSizeAnchor>
  <cdr:relSizeAnchor xmlns:cdr="http://schemas.openxmlformats.org/drawingml/2006/chartDrawing">
    <cdr:from>
      <cdr:x>0.16598</cdr:x>
      <cdr:y>0.01646</cdr:y>
    </cdr:from>
    <cdr:to>
      <cdr:x>0.98938</cdr:x>
      <cdr:y>0.11662</cdr:y>
    </cdr:to>
    <cdr:sp macro="" textlink="">
      <cdr:nvSpPr>
        <cdr:cNvPr id="6" name="TextBox 5"/>
        <cdr:cNvSpPr txBox="1"/>
      </cdr:nvSpPr>
      <cdr:spPr>
        <a:xfrm xmlns:a="http://schemas.openxmlformats.org/drawingml/2006/main">
          <a:off x="424323" y="43011"/>
          <a:ext cx="2105025" cy="2617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t>Eutrophication from field</a:t>
          </a:r>
        </a:p>
      </cdr:txBody>
    </cdr:sp>
  </cdr:relSizeAnchor>
</c:userShapes>
</file>

<file path=xl/drawings/drawing8.xml><?xml version="1.0" encoding="utf-8"?>
<c:userShapes xmlns:c="http://schemas.openxmlformats.org/drawingml/2006/chart">
  <cdr:relSizeAnchor xmlns:cdr="http://schemas.openxmlformats.org/drawingml/2006/chartDrawing">
    <cdr:from>
      <cdr:x>0.14688</cdr:x>
      <cdr:y>0.87257</cdr:y>
    </cdr:from>
    <cdr:to>
      <cdr:x>0.24594</cdr:x>
      <cdr:y>0.95366</cdr:y>
    </cdr:to>
    <cdr:sp macro="" textlink="">
      <cdr:nvSpPr>
        <cdr:cNvPr id="11" name="Tekstboks 1"/>
        <cdr:cNvSpPr txBox="1"/>
      </cdr:nvSpPr>
      <cdr:spPr>
        <a:xfrm xmlns:a="http://schemas.openxmlformats.org/drawingml/2006/main">
          <a:off x="1051904" y="2547336"/>
          <a:ext cx="709463" cy="23672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da-DK" sz="1000" b="1"/>
            <a:t>Housing</a:t>
          </a:r>
          <a:endParaRPr lang="da-DK" sz="1100" b="1"/>
        </a:p>
      </cdr:txBody>
    </cdr:sp>
  </cdr:relSizeAnchor>
  <cdr:relSizeAnchor xmlns:cdr="http://schemas.openxmlformats.org/drawingml/2006/chartDrawing">
    <cdr:from>
      <cdr:x>0.38845</cdr:x>
      <cdr:y>0.87147</cdr:y>
    </cdr:from>
    <cdr:to>
      <cdr:x>0.50327</cdr:x>
      <cdr:y>0.95255</cdr:y>
    </cdr:to>
    <cdr:sp macro="" textlink="">
      <cdr:nvSpPr>
        <cdr:cNvPr id="12" name="Tekstboks 1"/>
        <cdr:cNvSpPr txBox="1"/>
      </cdr:nvSpPr>
      <cdr:spPr>
        <a:xfrm xmlns:a="http://schemas.openxmlformats.org/drawingml/2006/main">
          <a:off x="2781989" y="2544115"/>
          <a:ext cx="822325" cy="2366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Storage</a:t>
          </a:r>
          <a:endParaRPr lang="da-DK" sz="1100" b="1"/>
        </a:p>
      </cdr:txBody>
    </cdr:sp>
  </cdr:relSizeAnchor>
  <cdr:relSizeAnchor xmlns:cdr="http://schemas.openxmlformats.org/drawingml/2006/chartDrawing">
    <cdr:from>
      <cdr:x>0.60478</cdr:x>
      <cdr:y>0.8701</cdr:y>
    </cdr:from>
    <cdr:to>
      <cdr:x>0.68885</cdr:x>
      <cdr:y>0.95118</cdr:y>
    </cdr:to>
    <cdr:sp macro="" textlink="">
      <cdr:nvSpPr>
        <cdr:cNvPr id="13" name="Tekstboks 1"/>
        <cdr:cNvSpPr txBox="1"/>
      </cdr:nvSpPr>
      <cdr:spPr>
        <a:xfrm xmlns:a="http://schemas.openxmlformats.org/drawingml/2006/main">
          <a:off x="4331265" y="2540116"/>
          <a:ext cx="602096" cy="236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b="1"/>
            <a:t>Field</a:t>
          </a:r>
          <a:endParaRPr lang="da-DK" sz="1100" b="1"/>
        </a:p>
      </cdr:txBody>
    </cdr:sp>
  </cdr:relSizeAnchor>
  <cdr:relSizeAnchor xmlns:cdr="http://schemas.openxmlformats.org/drawingml/2006/chartDrawing">
    <cdr:from>
      <cdr:x>0.11193</cdr:x>
      <cdr:y>0.91891</cdr:y>
    </cdr:from>
    <cdr:to>
      <cdr:x>0.20228</cdr:x>
      <cdr:y>1</cdr:y>
    </cdr:to>
    <cdr:sp macro="" textlink="">
      <cdr:nvSpPr>
        <cdr:cNvPr id="14" name="Tekstboks 1"/>
        <cdr:cNvSpPr txBox="1"/>
      </cdr:nvSpPr>
      <cdr:spPr>
        <a:xfrm xmlns:a="http://schemas.openxmlformats.org/drawingml/2006/main">
          <a:off x="801650" y="267899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0.34314</cdr:x>
      <cdr:y>0.91891</cdr:y>
    </cdr:from>
    <cdr:to>
      <cdr:x>0.43349</cdr:x>
      <cdr:y>1</cdr:y>
    </cdr:to>
    <cdr:sp macro="" textlink="">
      <cdr:nvSpPr>
        <cdr:cNvPr id="15" name="Tekstboks 1"/>
        <cdr:cNvSpPr txBox="1"/>
      </cdr:nvSpPr>
      <cdr:spPr>
        <a:xfrm xmlns:a="http://schemas.openxmlformats.org/drawingml/2006/main">
          <a:off x="2457596" y="267899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0.55216</cdr:x>
      <cdr:y>0.9124</cdr:y>
    </cdr:from>
    <cdr:to>
      <cdr:x>0.64251</cdr:x>
      <cdr:y>0.99349</cdr:y>
    </cdr:to>
    <cdr:sp macro="" textlink="">
      <cdr:nvSpPr>
        <cdr:cNvPr id="16" name="Tekstboks 1"/>
        <cdr:cNvSpPr txBox="1"/>
      </cdr:nvSpPr>
      <cdr:spPr>
        <a:xfrm xmlns:a="http://schemas.openxmlformats.org/drawingml/2006/main">
          <a:off x="3954626" y="2660012"/>
          <a:ext cx="647095"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Ref</a:t>
          </a:r>
          <a:endParaRPr lang="da-DK" sz="1100"/>
        </a:p>
      </cdr:txBody>
    </cdr:sp>
  </cdr:relSizeAnchor>
  <cdr:relSizeAnchor xmlns:cdr="http://schemas.openxmlformats.org/drawingml/2006/chartDrawing">
    <cdr:from>
      <cdr:x>0.20604</cdr:x>
      <cdr:y>0.91891</cdr:y>
    </cdr:from>
    <cdr:to>
      <cdr:x>0.29638</cdr:x>
      <cdr:y>1</cdr:y>
    </cdr:to>
    <cdr:sp macro="" textlink="">
      <cdr:nvSpPr>
        <cdr:cNvPr id="17" name="Tekstboks 1"/>
        <cdr:cNvSpPr txBox="1"/>
      </cdr:nvSpPr>
      <cdr:spPr>
        <a:xfrm xmlns:a="http://schemas.openxmlformats.org/drawingml/2006/main">
          <a:off x="1475685" y="2678992"/>
          <a:ext cx="647024"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dr:relSizeAnchor xmlns:cdr="http://schemas.openxmlformats.org/drawingml/2006/chartDrawing">
    <cdr:from>
      <cdr:x>0.43576</cdr:x>
      <cdr:y>0.91891</cdr:y>
    </cdr:from>
    <cdr:to>
      <cdr:x>0.5261</cdr:x>
      <cdr:y>1</cdr:y>
    </cdr:to>
    <cdr:sp macro="" textlink="">
      <cdr:nvSpPr>
        <cdr:cNvPr id="18" name="Tekstboks 1"/>
        <cdr:cNvSpPr txBox="1"/>
      </cdr:nvSpPr>
      <cdr:spPr>
        <a:xfrm xmlns:a="http://schemas.openxmlformats.org/drawingml/2006/main">
          <a:off x="3120957" y="2678992"/>
          <a:ext cx="647024"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dr:relSizeAnchor xmlns:cdr="http://schemas.openxmlformats.org/drawingml/2006/chartDrawing">
    <cdr:from>
      <cdr:x>0.65975</cdr:x>
      <cdr:y>0.91567</cdr:y>
    </cdr:from>
    <cdr:to>
      <cdr:x>0.7501</cdr:x>
      <cdr:y>0.99676</cdr:y>
    </cdr:to>
    <cdr:sp macro="" textlink="">
      <cdr:nvSpPr>
        <cdr:cNvPr id="19" name="Tekstboks 1"/>
        <cdr:cNvSpPr txBox="1"/>
      </cdr:nvSpPr>
      <cdr:spPr>
        <a:xfrm xmlns:a="http://schemas.openxmlformats.org/drawingml/2006/main">
          <a:off x="4725192" y="2669537"/>
          <a:ext cx="647096" cy="2364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a-DK" sz="1000"/>
            <a:t>Tech</a:t>
          </a:r>
          <a:endParaRPr lang="da-DK" sz="1100"/>
        </a:p>
      </cdr:txBody>
    </cdr:sp>
  </cdr:relSizeAnchor>
</c:userShapes>
</file>

<file path=xl/drawings/drawing9.xml><?xml version="1.0" encoding="utf-8"?>
<xdr:wsDr xmlns:xdr="http://schemas.openxmlformats.org/drawingml/2006/spreadsheetDrawing" xmlns:a="http://schemas.openxmlformats.org/drawingml/2006/main">
  <xdr:twoCellAnchor>
    <xdr:from>
      <xdr:col>31</xdr:col>
      <xdr:colOff>142876</xdr:colOff>
      <xdr:row>3</xdr:row>
      <xdr:rowOff>9525</xdr:rowOff>
    </xdr:from>
    <xdr:to>
      <xdr:col>32</xdr:col>
      <xdr:colOff>3169585</xdr:colOff>
      <xdr:row>6</xdr:row>
      <xdr:rowOff>657224</xdr:rowOff>
    </xdr:to>
    <xdr:sp macro="" textlink="">
      <xdr:nvSpPr>
        <xdr:cNvPr id="4" name="Tekstboks 3"/>
        <xdr:cNvSpPr txBox="1"/>
      </xdr:nvSpPr>
      <xdr:spPr>
        <a:xfrm>
          <a:off x="27622501" y="1076325"/>
          <a:ext cx="4445934" cy="2066924"/>
        </a:xfrm>
        <a:prstGeom prst="rect">
          <a:avLst/>
        </a:prstGeom>
        <a:solidFill>
          <a:schemeClr val="bg1">
            <a:lumMod val="85000"/>
          </a:schemeClr>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2000" b="1"/>
            <a:t>Do </a:t>
          </a:r>
          <a:r>
            <a:rPr lang="da-DK" sz="2000" b="1">
              <a:solidFill>
                <a:srgbClr val="FF0000"/>
              </a:solidFill>
            </a:rPr>
            <a:t>NOT </a:t>
          </a:r>
          <a:r>
            <a:rPr lang="da-DK" sz="2000" b="1"/>
            <a:t>change formulas</a:t>
          </a:r>
          <a:r>
            <a:rPr lang="da-DK" sz="2000" b="1" baseline="0"/>
            <a:t> or text in ANY of the grey cells (any tones of grey)</a:t>
          </a:r>
        </a:p>
        <a:p>
          <a:endParaRPr lang="da-DK" sz="1100"/>
        </a:p>
      </xdr:txBody>
    </xdr:sp>
    <xdr:clientData/>
  </xdr:twoCellAnchor>
  <xdr:twoCellAnchor>
    <xdr:from>
      <xdr:col>0</xdr:col>
      <xdr:colOff>49357</xdr:colOff>
      <xdr:row>0</xdr:row>
      <xdr:rowOff>51089</xdr:rowOff>
    </xdr:from>
    <xdr:to>
      <xdr:col>1</xdr:col>
      <xdr:colOff>1116157</xdr:colOff>
      <xdr:row>1</xdr:row>
      <xdr:rowOff>384464</xdr:rowOff>
    </xdr:to>
    <xdr:sp macro="" textlink="">
      <xdr:nvSpPr>
        <xdr:cNvPr id="2" name="Rounded Rectangle 1"/>
        <xdr:cNvSpPr/>
      </xdr:nvSpPr>
      <xdr:spPr>
        <a:xfrm>
          <a:off x="49357" y="51089"/>
          <a:ext cx="3274868" cy="541193"/>
        </a:xfrm>
        <a:prstGeom prst="roundRect">
          <a:avLst/>
        </a:prstGeom>
        <a:solidFill>
          <a:srgbClr val="FFFF00"/>
        </a:solidFill>
        <a:ln>
          <a:solidFill>
            <a:srgbClr val="FF0000"/>
          </a:solidFill>
        </a:ln>
        <a:effectLst>
          <a:outerShdw blurRad="50800" dist="50800" dir="5280000" sx="103000" sy="103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cap="none" spc="0">
              <a:ln>
                <a:noFill/>
              </a:ln>
              <a:solidFill>
                <a:schemeClr val="tx1"/>
              </a:solidFill>
              <a:effectLst/>
              <a:latin typeface="+mn-lt"/>
            </a:rPr>
            <a:t>Users</a:t>
          </a:r>
          <a:r>
            <a:rPr lang="en-GB" sz="1200" b="1" cap="none" spc="0" baseline="0">
              <a:ln>
                <a:noFill/>
              </a:ln>
              <a:solidFill>
                <a:schemeClr val="tx1"/>
              </a:solidFill>
              <a:effectLst/>
              <a:latin typeface="+mn-lt"/>
            </a:rPr>
            <a:t> can insert new data in yellow cells.</a:t>
          </a:r>
        </a:p>
        <a:p>
          <a:pPr algn="l"/>
          <a:r>
            <a:rPr lang="en-GB" sz="1200" b="1" cap="none" spc="0" baseline="0">
              <a:ln>
                <a:noFill/>
              </a:ln>
              <a:solidFill>
                <a:schemeClr val="tx1"/>
              </a:solidFill>
              <a:effectLst/>
              <a:latin typeface="+mn-lt"/>
            </a:rPr>
            <a:t>Do NOT change formulas in other cells</a:t>
          </a:r>
          <a:endParaRPr lang="en-GB" sz="1200" b="1" cap="none" spc="0">
            <a:ln>
              <a:noFill/>
            </a:ln>
            <a:solidFill>
              <a:schemeClr val="tx1"/>
            </a:solidFill>
            <a:effectLst/>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63"/>
  <sheetViews>
    <sheetView tabSelected="1" zoomScaleNormal="100" workbookViewId="0">
      <pane ySplit="1" topLeftCell="A2" activePane="bottomLeft" state="frozen"/>
      <selection pane="bottomLeft" activeCell="B9" sqref="B9"/>
    </sheetView>
  </sheetViews>
  <sheetFormatPr defaultRowHeight="15" x14ac:dyDescent="0.25"/>
  <cols>
    <col min="1" max="1" width="1.28515625" style="747" customWidth="1"/>
    <col min="2" max="2" width="91.140625" style="747" customWidth="1"/>
    <col min="3" max="3" width="4.42578125" style="747" customWidth="1"/>
    <col min="4" max="4" width="18.42578125" style="747" customWidth="1"/>
    <col min="5" max="5" width="9" style="747" customWidth="1"/>
    <col min="6" max="6" width="9.42578125" style="747" customWidth="1"/>
    <col min="7" max="7" width="7.28515625" style="747" customWidth="1"/>
    <col min="8" max="8" width="10.140625" style="747" customWidth="1"/>
    <col min="9" max="9" width="10.5703125" style="747" customWidth="1"/>
    <col min="10" max="10" width="9.28515625" style="747" customWidth="1"/>
    <col min="11" max="11" width="9.5703125" style="747" customWidth="1"/>
    <col min="12" max="12" width="10.140625" style="747" customWidth="1"/>
    <col min="13" max="13" width="9.85546875" style="747" customWidth="1"/>
    <col min="14" max="14" width="58.28515625" style="747" customWidth="1"/>
    <col min="15" max="16" width="9.140625" style="747"/>
    <col min="17" max="17" width="6.7109375" style="747" customWidth="1"/>
    <col min="18" max="18" width="9.140625" style="747"/>
    <col min="19" max="19" width="37.85546875" style="747" customWidth="1"/>
    <col min="20" max="49" width="9.140625" style="747"/>
    <col min="50" max="50" width="56.42578125" style="747" customWidth="1"/>
    <col min="51" max="16384" width="9.140625" style="747"/>
  </cols>
  <sheetData>
    <row r="1" spans="1:18" ht="33.75" customHeight="1" thickBot="1" x14ac:dyDescent="0.3">
      <c r="B1" s="1195"/>
    </row>
    <row r="2" spans="1:18" ht="6.75" customHeight="1" x14ac:dyDescent="0.25">
      <c r="B2" s="751"/>
    </row>
    <row r="3" spans="1:18" ht="8.25" customHeight="1" x14ac:dyDescent="0.25">
      <c r="D3" s="502"/>
      <c r="E3" s="502"/>
      <c r="F3" s="502"/>
      <c r="G3" s="502"/>
      <c r="H3" s="502"/>
      <c r="I3" s="502"/>
      <c r="J3" s="502"/>
      <c r="K3" s="502"/>
      <c r="L3" s="502"/>
      <c r="M3" s="502"/>
      <c r="N3" s="502"/>
      <c r="O3" s="502"/>
      <c r="P3" s="502"/>
      <c r="Q3" s="502"/>
      <c r="R3" s="502"/>
    </row>
    <row r="4" spans="1:18" x14ac:dyDescent="0.25">
      <c r="B4" s="1137"/>
      <c r="D4" s="502"/>
      <c r="J4" s="502"/>
      <c r="K4" s="502"/>
      <c r="L4" s="502"/>
      <c r="M4" s="502"/>
      <c r="N4" s="502"/>
      <c r="O4" s="502"/>
      <c r="P4" s="502"/>
      <c r="Q4" s="502"/>
      <c r="R4" s="502"/>
    </row>
    <row r="5" spans="1:18" ht="26.25" x14ac:dyDescent="0.25">
      <c r="B5" s="1138" t="s">
        <v>861</v>
      </c>
      <c r="D5" s="502"/>
      <c r="F5" s="1087" t="s">
        <v>911</v>
      </c>
      <c r="G5" s="1088">
        <f>+'Report &amp; Results '!$H$96</f>
        <v>-0.49568651838908162</v>
      </c>
      <c r="H5" s="1087" t="s">
        <v>912</v>
      </c>
      <c r="I5" s="798"/>
      <c r="J5" s="1089">
        <f>+'Report &amp; Results '!$H$117</f>
        <v>0.22083951494434029</v>
      </c>
      <c r="K5" s="1090" t="s">
        <v>908</v>
      </c>
      <c r="L5" s="1089">
        <f>+'Report &amp; Results '!$H$122</f>
        <v>0</v>
      </c>
      <c r="M5" s="1090" t="s">
        <v>909</v>
      </c>
      <c r="N5" s="502"/>
      <c r="O5" s="502"/>
      <c r="P5" s="502"/>
      <c r="Q5" s="502"/>
      <c r="R5" s="502"/>
    </row>
    <row r="6" spans="1:18" s="541" customFormat="1" ht="12.75" x14ac:dyDescent="0.2">
      <c r="B6" s="1139"/>
      <c r="D6" s="579"/>
      <c r="E6" s="579"/>
      <c r="F6" s="579"/>
      <c r="G6" s="579"/>
      <c r="H6" s="579"/>
      <c r="I6" s="579"/>
      <c r="J6" s="579"/>
      <c r="K6" s="579"/>
      <c r="L6" s="579"/>
      <c r="O6" s="579"/>
      <c r="P6" s="579"/>
      <c r="Q6" s="579"/>
      <c r="R6" s="579"/>
    </row>
    <row r="7" spans="1:18" x14ac:dyDescent="0.25">
      <c r="B7" s="1140" t="s">
        <v>1018</v>
      </c>
      <c r="D7" s="502"/>
      <c r="E7" s="502"/>
      <c r="F7" s="502"/>
      <c r="G7" s="502"/>
      <c r="H7" s="502"/>
      <c r="I7" s="502"/>
      <c r="J7" s="502"/>
      <c r="K7" s="502"/>
      <c r="L7" s="502"/>
      <c r="M7" s="502"/>
      <c r="N7" s="502"/>
      <c r="O7" s="502"/>
      <c r="P7" s="502"/>
      <c r="Q7" s="502"/>
      <c r="R7" s="502"/>
    </row>
    <row r="8" spans="1:18" x14ac:dyDescent="0.25">
      <c r="B8" s="1132"/>
      <c r="D8" s="502"/>
      <c r="E8" s="502"/>
      <c r="F8" s="502"/>
      <c r="G8" s="502"/>
      <c r="H8" s="502"/>
      <c r="I8" s="502"/>
      <c r="J8" s="502"/>
      <c r="K8" s="502"/>
      <c r="L8" s="502"/>
      <c r="M8" s="502"/>
      <c r="N8" s="502"/>
      <c r="O8" s="502"/>
      <c r="P8" s="502"/>
      <c r="Q8" s="502"/>
      <c r="R8" s="502"/>
    </row>
    <row r="9" spans="1:18" s="749" customFormat="1" ht="12.75" customHeight="1" x14ac:dyDescent="0.25">
      <c r="B9" s="1080"/>
      <c r="D9" s="502"/>
      <c r="E9" s="502"/>
      <c r="F9" s="502"/>
      <c r="G9" s="502"/>
      <c r="H9" s="502"/>
      <c r="I9" s="502"/>
      <c r="J9" s="502"/>
      <c r="K9" s="502"/>
      <c r="L9" s="502"/>
      <c r="M9" s="502"/>
      <c r="N9" s="502"/>
      <c r="Q9" s="502"/>
      <c r="R9" s="502"/>
    </row>
    <row r="10" spans="1:18" ht="15.75" x14ac:dyDescent="0.25">
      <c r="B10" s="748" t="s">
        <v>1008</v>
      </c>
      <c r="D10" s="502"/>
      <c r="E10" s="502"/>
      <c r="F10" s="502"/>
      <c r="G10" s="502"/>
      <c r="H10" s="502"/>
      <c r="I10" s="502"/>
      <c r="J10" s="502"/>
      <c r="K10" s="502"/>
      <c r="L10" s="502"/>
      <c r="M10" s="502"/>
      <c r="N10" s="502"/>
      <c r="O10" s="502"/>
      <c r="P10" s="502"/>
      <c r="Q10" s="502"/>
      <c r="R10" s="502"/>
    </row>
    <row r="11" spans="1:18" ht="25.5" x14ac:dyDescent="0.25">
      <c r="B11" s="750" t="s">
        <v>893</v>
      </c>
      <c r="D11" s="502"/>
      <c r="E11" s="502"/>
      <c r="F11" s="502"/>
      <c r="G11" s="502"/>
      <c r="H11" s="502"/>
      <c r="I11" s="502"/>
      <c r="J11" s="502"/>
      <c r="K11" s="502"/>
      <c r="L11" s="502"/>
      <c r="M11" s="502"/>
      <c r="N11" s="502"/>
      <c r="O11" s="502"/>
      <c r="P11" s="502"/>
      <c r="Q11" s="502"/>
      <c r="R11" s="502"/>
    </row>
    <row r="12" spans="1:18" x14ac:dyDescent="0.25">
      <c r="D12" s="502"/>
      <c r="E12" s="502"/>
      <c r="F12" s="502"/>
      <c r="G12" s="502"/>
      <c r="H12" s="502"/>
      <c r="I12" s="502"/>
      <c r="J12" s="502"/>
      <c r="K12" s="502"/>
      <c r="L12" s="502"/>
      <c r="M12" s="502"/>
      <c r="N12" s="502"/>
      <c r="O12" s="502"/>
      <c r="P12" s="502"/>
      <c r="Q12" s="502"/>
      <c r="R12" s="502"/>
    </row>
    <row r="13" spans="1:18" ht="15.75" x14ac:dyDescent="0.25">
      <c r="A13" s="749"/>
      <c r="B13" s="1083" t="s">
        <v>406</v>
      </c>
      <c r="D13" s="502"/>
      <c r="E13" s="502"/>
      <c r="F13" s="502"/>
      <c r="G13" s="502"/>
      <c r="H13" s="502"/>
      <c r="I13" s="502"/>
      <c r="J13" s="502"/>
      <c r="K13" s="502"/>
      <c r="L13" s="502"/>
      <c r="M13" s="502"/>
      <c r="N13" s="502"/>
      <c r="O13" s="502"/>
      <c r="P13" s="502"/>
      <c r="Q13" s="502"/>
      <c r="R13" s="502"/>
    </row>
    <row r="14" spans="1:18" s="541" customFormat="1" ht="19.5" customHeight="1" x14ac:dyDescent="0.25">
      <c r="B14" s="1081" t="s">
        <v>871</v>
      </c>
      <c r="D14" s="579"/>
      <c r="E14" s="579"/>
      <c r="F14" s="579"/>
      <c r="G14" s="579"/>
      <c r="H14" s="579"/>
      <c r="I14" s="579"/>
      <c r="J14" s="579"/>
      <c r="K14" s="579"/>
      <c r="L14" s="579"/>
      <c r="M14" s="579"/>
      <c r="N14" s="502"/>
      <c r="O14" s="579"/>
      <c r="P14" s="579"/>
      <c r="Q14" s="579"/>
      <c r="R14" s="579"/>
    </row>
    <row r="15" spans="1:18" ht="15.75" x14ac:dyDescent="0.25">
      <c r="A15" s="749"/>
      <c r="B15" s="1084"/>
      <c r="D15" s="502"/>
      <c r="E15" s="502"/>
      <c r="F15" s="502"/>
      <c r="G15" s="502"/>
      <c r="H15" s="502"/>
      <c r="I15" s="502"/>
      <c r="J15" s="502"/>
      <c r="K15" s="502"/>
      <c r="L15" s="502"/>
      <c r="M15" s="502"/>
      <c r="N15" s="502"/>
      <c r="O15" s="502"/>
      <c r="P15" s="502"/>
      <c r="Q15" s="502"/>
      <c r="R15" s="502"/>
    </row>
    <row r="16" spans="1:18" ht="15.75" x14ac:dyDescent="0.25">
      <c r="A16" s="749"/>
      <c r="B16" s="1083" t="s">
        <v>1009</v>
      </c>
      <c r="C16" s="751"/>
      <c r="D16" s="502"/>
      <c r="E16" s="502"/>
      <c r="F16" s="502"/>
      <c r="J16" s="1127" t="s">
        <v>911</v>
      </c>
      <c r="K16" s="1128">
        <f>+'Report &amp; Results '!$H$112</f>
        <v>35.155466851895142</v>
      </c>
      <c r="L16" s="1087" t="s">
        <v>910</v>
      </c>
      <c r="M16" s="798"/>
      <c r="N16" s="502"/>
      <c r="O16" s="502"/>
      <c r="P16" s="502"/>
      <c r="Q16" s="502"/>
      <c r="R16" s="502"/>
    </row>
    <row r="17" spans="1:18" ht="32.25" customHeight="1" x14ac:dyDescent="0.25">
      <c r="A17" s="752"/>
      <c r="B17" s="1082" t="s">
        <v>604</v>
      </c>
      <c r="C17" s="751"/>
      <c r="D17" s="502"/>
      <c r="E17" s="502"/>
      <c r="F17" s="502"/>
      <c r="I17" s="502"/>
      <c r="N17" s="502"/>
      <c r="O17" s="502"/>
      <c r="P17" s="502"/>
      <c r="Q17" s="502"/>
      <c r="R17" s="502"/>
    </row>
    <row r="18" spans="1:18" ht="15.75" x14ac:dyDescent="0.25">
      <c r="A18" s="752"/>
      <c r="B18" s="1085"/>
      <c r="C18" s="751"/>
      <c r="D18" s="502"/>
      <c r="E18" s="502"/>
      <c r="F18" s="502"/>
      <c r="I18" s="502"/>
      <c r="J18" s="502"/>
      <c r="K18" s="502"/>
      <c r="L18" s="502"/>
      <c r="M18" s="502"/>
      <c r="N18" s="502"/>
      <c r="O18" s="502"/>
      <c r="P18" s="502"/>
      <c r="Q18" s="502"/>
      <c r="R18" s="502"/>
    </row>
    <row r="19" spans="1:18" ht="15.75" x14ac:dyDescent="0.25">
      <c r="A19" s="749"/>
      <c r="B19" s="1083" t="s">
        <v>1010</v>
      </c>
      <c r="C19" s="751"/>
      <c r="D19" s="502"/>
      <c r="E19" s="502"/>
      <c r="F19" s="502"/>
      <c r="G19" s="502"/>
      <c r="H19" s="502"/>
      <c r="N19" s="502"/>
      <c r="O19" s="502"/>
      <c r="P19" s="502"/>
      <c r="Q19" s="502"/>
      <c r="R19" s="502"/>
    </row>
    <row r="20" spans="1:18" ht="32.25" customHeight="1" x14ac:dyDescent="0.25">
      <c r="A20" s="753"/>
      <c r="B20" s="1082" t="s">
        <v>1200</v>
      </c>
      <c r="C20" s="751"/>
      <c r="D20" s="502"/>
      <c r="E20" s="502"/>
      <c r="F20" s="502"/>
      <c r="G20" s="502"/>
      <c r="H20" s="502"/>
      <c r="I20" s="502"/>
      <c r="J20" s="502"/>
      <c r="K20" s="502"/>
      <c r="L20" s="502"/>
      <c r="M20" s="502"/>
      <c r="N20" s="502"/>
      <c r="O20" s="502"/>
      <c r="P20" s="502"/>
      <c r="Q20" s="502"/>
      <c r="R20" s="502"/>
    </row>
    <row r="21" spans="1:18" ht="15.75" x14ac:dyDescent="0.25">
      <c r="A21" s="749"/>
      <c r="B21" s="1084"/>
      <c r="C21" s="751"/>
      <c r="D21" s="502"/>
      <c r="E21" s="502"/>
      <c r="F21" s="502"/>
      <c r="G21" s="502"/>
      <c r="H21" s="502"/>
      <c r="I21" s="502"/>
      <c r="J21" s="502"/>
      <c r="K21" s="502"/>
      <c r="L21" s="502"/>
      <c r="M21" s="502"/>
      <c r="N21" s="502"/>
      <c r="O21" s="502"/>
      <c r="P21" s="502"/>
      <c r="Q21" s="502"/>
      <c r="R21" s="502"/>
    </row>
    <row r="22" spans="1:18" ht="15.75" x14ac:dyDescent="0.25">
      <c r="A22" s="749"/>
      <c r="B22" s="1083" t="s">
        <v>1011</v>
      </c>
      <c r="C22" s="751"/>
      <c r="D22" s="502"/>
      <c r="E22" s="502"/>
      <c r="F22" s="502"/>
      <c r="G22" s="502"/>
      <c r="H22" s="502"/>
      <c r="I22" s="502"/>
      <c r="J22" s="502"/>
      <c r="K22" s="502"/>
      <c r="L22" s="502"/>
      <c r="M22" s="502"/>
      <c r="N22" s="502"/>
      <c r="O22" s="502"/>
      <c r="P22" s="502"/>
      <c r="Q22" s="502"/>
      <c r="R22" s="502"/>
    </row>
    <row r="23" spans="1:18" ht="32.25" customHeight="1" x14ac:dyDescent="0.25">
      <c r="A23" s="749"/>
      <c r="B23" s="1082" t="s">
        <v>1069</v>
      </c>
      <c r="C23" s="751"/>
      <c r="D23" s="502"/>
      <c r="E23" s="502"/>
      <c r="F23" s="502"/>
      <c r="G23" s="502"/>
      <c r="H23" s="502"/>
      <c r="I23" s="502"/>
      <c r="J23" s="502"/>
      <c r="K23" s="502"/>
      <c r="L23" s="502"/>
      <c r="M23" s="502"/>
      <c r="N23" s="502"/>
      <c r="O23" s="502"/>
      <c r="P23" s="502"/>
      <c r="Q23" s="502"/>
      <c r="R23" s="502"/>
    </row>
    <row r="24" spans="1:18" x14ac:dyDescent="0.25">
      <c r="A24" s="749"/>
      <c r="B24" s="751"/>
      <c r="C24" s="751"/>
      <c r="D24" s="502"/>
      <c r="E24" s="502"/>
      <c r="F24" s="502"/>
      <c r="G24" s="502"/>
      <c r="H24" s="502"/>
      <c r="I24" s="502"/>
      <c r="J24" s="502"/>
      <c r="K24" s="502"/>
      <c r="L24" s="502"/>
      <c r="M24" s="502"/>
      <c r="N24" s="502"/>
      <c r="O24" s="502"/>
      <c r="P24" s="502"/>
      <c r="Q24" s="502"/>
      <c r="R24" s="502"/>
    </row>
    <row r="25" spans="1:18" ht="15.75" x14ac:dyDescent="0.25">
      <c r="A25" s="749"/>
      <c r="B25" s="748" t="s">
        <v>813</v>
      </c>
      <c r="C25" s="751"/>
      <c r="D25" s="502"/>
      <c r="E25" s="502"/>
      <c r="F25" s="502"/>
      <c r="G25" s="502"/>
      <c r="H25" s="502"/>
      <c r="I25" s="502"/>
      <c r="J25" s="502"/>
      <c r="K25" s="502"/>
      <c r="L25" s="502"/>
      <c r="M25" s="502"/>
      <c r="N25" s="502"/>
      <c r="O25" s="502"/>
      <c r="P25" s="502"/>
      <c r="Q25" s="502"/>
      <c r="R25" s="502"/>
    </row>
    <row r="26" spans="1:18" ht="88.5" customHeight="1" x14ac:dyDescent="0.25">
      <c r="A26" s="749"/>
      <c r="B26" s="1086" t="s">
        <v>1195</v>
      </c>
      <c r="C26" s="751"/>
      <c r="D26" s="502"/>
      <c r="E26" s="502"/>
      <c r="F26" s="502"/>
      <c r="G26" s="502"/>
      <c r="H26" s="502"/>
      <c r="I26" s="502"/>
      <c r="J26" s="502"/>
      <c r="K26" s="502"/>
      <c r="L26" s="502"/>
      <c r="M26" s="502"/>
      <c r="N26" s="502"/>
      <c r="O26" s="502"/>
      <c r="P26" s="502"/>
      <c r="Q26" s="502"/>
      <c r="R26" s="502"/>
    </row>
    <row r="27" spans="1:18" s="541" customFormat="1" ht="106.5" x14ac:dyDescent="0.2">
      <c r="B27" s="586" t="s">
        <v>1042</v>
      </c>
      <c r="C27" s="1092"/>
      <c r="D27" s="579"/>
      <c r="E27" s="579"/>
      <c r="F27" s="579"/>
      <c r="G27" s="579"/>
      <c r="H27" s="579"/>
      <c r="I27" s="579"/>
      <c r="J27" s="579"/>
      <c r="K27" s="579"/>
      <c r="L27" s="579"/>
      <c r="M27" s="579"/>
      <c r="N27" s="579"/>
      <c r="O27" s="579"/>
      <c r="P27" s="579"/>
      <c r="Q27" s="579"/>
      <c r="R27" s="579"/>
    </row>
    <row r="28" spans="1:18" s="541" customFormat="1" ht="89.25" customHeight="1" x14ac:dyDescent="0.2">
      <c r="B28" s="586" t="s">
        <v>1019</v>
      </c>
      <c r="C28" s="1092"/>
      <c r="D28" s="579"/>
      <c r="E28" s="579"/>
      <c r="F28" s="579"/>
      <c r="G28" s="579"/>
      <c r="H28" s="579"/>
      <c r="I28" s="579"/>
      <c r="J28" s="579"/>
      <c r="K28" s="579"/>
      <c r="L28" s="579"/>
      <c r="M28" s="579"/>
      <c r="N28" s="579"/>
      <c r="O28" s="579"/>
      <c r="P28" s="579"/>
      <c r="Q28" s="579"/>
      <c r="R28" s="579"/>
    </row>
    <row r="29" spans="1:18" s="541" customFormat="1" ht="89.25" x14ac:dyDescent="0.2">
      <c r="B29" s="586" t="s">
        <v>1043</v>
      </c>
      <c r="C29" s="1092"/>
      <c r="D29" s="579"/>
      <c r="E29" s="579"/>
      <c r="F29" s="579"/>
      <c r="G29" s="579"/>
      <c r="H29" s="579"/>
      <c r="I29" s="579"/>
      <c r="J29" s="579"/>
      <c r="K29" s="579"/>
      <c r="L29" s="579"/>
      <c r="M29" s="579"/>
      <c r="N29" s="579"/>
      <c r="O29" s="579"/>
      <c r="P29" s="579"/>
      <c r="Q29" s="579"/>
      <c r="R29" s="579"/>
    </row>
    <row r="30" spans="1:18" s="541" customFormat="1" ht="51" x14ac:dyDescent="0.2">
      <c r="B30" s="586" t="s">
        <v>1020</v>
      </c>
      <c r="C30" s="1092"/>
      <c r="D30" s="579"/>
      <c r="E30" s="579"/>
      <c r="F30" s="579"/>
      <c r="G30" s="579"/>
      <c r="H30" s="579"/>
      <c r="I30" s="579"/>
      <c r="J30" s="579"/>
      <c r="K30" s="579"/>
      <c r="L30" s="579"/>
      <c r="M30" s="579"/>
      <c r="N30" s="579"/>
      <c r="O30" s="579"/>
      <c r="P30" s="579"/>
      <c r="Q30" s="579"/>
      <c r="R30" s="579"/>
    </row>
    <row r="31" spans="1:18" s="541" customFormat="1" ht="12.75" x14ac:dyDescent="0.2">
      <c r="B31" s="704" t="s">
        <v>1021</v>
      </c>
      <c r="C31" s="1092"/>
      <c r="D31" s="579"/>
      <c r="E31" s="579"/>
      <c r="F31" s="579"/>
      <c r="G31" s="579"/>
      <c r="H31" s="579"/>
      <c r="I31" s="579"/>
      <c r="J31" s="579"/>
      <c r="K31" s="579"/>
      <c r="L31" s="579"/>
      <c r="M31" s="579"/>
      <c r="N31" s="579"/>
      <c r="O31" s="579"/>
      <c r="P31" s="579"/>
      <c r="Q31" s="579"/>
      <c r="R31" s="579"/>
    </row>
    <row r="32" spans="1:18" s="541" customFormat="1" ht="12.75" x14ac:dyDescent="0.2">
      <c r="C32" s="1092"/>
      <c r="D32" s="579"/>
      <c r="E32" s="579"/>
      <c r="F32" s="579"/>
      <c r="G32" s="579"/>
      <c r="H32" s="579"/>
      <c r="I32" s="579"/>
      <c r="J32" s="579"/>
      <c r="K32" s="579"/>
      <c r="L32" s="579"/>
      <c r="M32" s="579"/>
      <c r="N32" s="579"/>
      <c r="O32" s="579"/>
      <c r="P32" s="579"/>
      <c r="Q32" s="579"/>
      <c r="R32" s="579"/>
    </row>
    <row r="33" spans="1:18" s="541" customFormat="1" ht="143.25" x14ac:dyDescent="0.2">
      <c r="B33" s="704" t="s">
        <v>1044</v>
      </c>
      <c r="C33" s="1092"/>
      <c r="D33" s="579"/>
      <c r="E33" s="579"/>
      <c r="F33" s="579"/>
      <c r="G33" s="579"/>
      <c r="H33" s="579"/>
      <c r="I33" s="579"/>
      <c r="J33" s="579"/>
      <c r="K33" s="579"/>
      <c r="L33" s="579"/>
      <c r="M33" s="579"/>
      <c r="N33" s="579"/>
      <c r="O33" s="579"/>
      <c r="P33" s="579"/>
      <c r="Q33" s="579"/>
      <c r="R33" s="579"/>
    </row>
    <row r="34" spans="1:18" s="541" customFormat="1" ht="51" x14ac:dyDescent="0.2">
      <c r="B34" s="1091" t="s">
        <v>1202</v>
      </c>
      <c r="C34" s="1092"/>
      <c r="D34" s="579"/>
      <c r="E34" s="579"/>
      <c r="F34" s="579"/>
      <c r="G34" s="579"/>
      <c r="H34" s="579"/>
      <c r="I34" s="579"/>
      <c r="J34" s="579"/>
      <c r="K34" s="579"/>
      <c r="L34" s="579"/>
      <c r="M34" s="579"/>
      <c r="N34" s="579"/>
      <c r="O34" s="579"/>
      <c r="P34" s="579"/>
      <c r="Q34" s="579"/>
      <c r="R34" s="579"/>
    </row>
    <row r="35" spans="1:18" s="541" customFormat="1" ht="51" x14ac:dyDescent="0.2">
      <c r="B35" s="704" t="s">
        <v>1204</v>
      </c>
      <c r="C35" s="1092"/>
      <c r="D35" s="579"/>
      <c r="E35" s="579"/>
      <c r="F35" s="579"/>
      <c r="G35" s="579"/>
      <c r="H35" s="579"/>
      <c r="I35" s="579"/>
      <c r="J35" s="579"/>
      <c r="K35" s="579"/>
      <c r="L35" s="579"/>
      <c r="M35" s="579"/>
      <c r="N35" s="579"/>
      <c r="O35" s="579"/>
      <c r="P35" s="579"/>
      <c r="Q35" s="579"/>
      <c r="R35" s="579"/>
    </row>
    <row r="36" spans="1:18" x14ac:dyDescent="0.25">
      <c r="A36" s="749"/>
      <c r="B36" s="704"/>
      <c r="C36" s="751"/>
      <c r="D36" s="502"/>
      <c r="E36" s="502"/>
      <c r="F36" s="502"/>
      <c r="G36" s="502"/>
      <c r="H36" s="502"/>
      <c r="I36" s="502"/>
      <c r="J36" s="502"/>
      <c r="K36" s="502"/>
      <c r="L36" s="502"/>
      <c r="M36" s="502"/>
      <c r="N36" s="502"/>
      <c r="O36" s="502"/>
      <c r="P36" s="502"/>
      <c r="Q36" s="502"/>
      <c r="R36" s="502"/>
    </row>
    <row r="37" spans="1:18" ht="15.75" x14ac:dyDescent="0.25">
      <c r="A37" s="749"/>
      <c r="B37" s="748" t="s">
        <v>861</v>
      </c>
      <c r="C37" s="751"/>
      <c r="D37" s="502"/>
      <c r="E37" s="502"/>
      <c r="F37" s="502"/>
      <c r="G37" s="502"/>
      <c r="H37" s="502"/>
      <c r="I37" s="502"/>
      <c r="J37" s="502"/>
      <c r="K37" s="502"/>
      <c r="L37" s="502"/>
      <c r="M37" s="502"/>
      <c r="N37" s="502"/>
      <c r="O37" s="502"/>
      <c r="P37" s="502"/>
      <c r="Q37" s="502"/>
      <c r="R37" s="502"/>
    </row>
    <row r="38" spans="1:18" s="541" customFormat="1" ht="78" x14ac:dyDescent="0.2">
      <c r="B38" s="704" t="s">
        <v>1203</v>
      </c>
      <c r="C38" s="1092"/>
      <c r="D38" s="579"/>
      <c r="E38" s="579"/>
      <c r="F38" s="579"/>
      <c r="G38" s="579"/>
      <c r="H38" s="579"/>
      <c r="I38" s="579"/>
      <c r="J38" s="579"/>
      <c r="K38" s="579"/>
      <c r="L38" s="579"/>
      <c r="M38" s="579"/>
      <c r="N38" s="579"/>
      <c r="O38" s="579"/>
      <c r="P38" s="579"/>
      <c r="Q38" s="579"/>
      <c r="R38" s="579"/>
    </row>
    <row r="39" spans="1:18" s="541" customFormat="1" ht="12.75" x14ac:dyDescent="0.2">
      <c r="B39" s="704"/>
      <c r="C39" s="1092"/>
      <c r="D39" s="579"/>
      <c r="E39" s="579"/>
      <c r="F39" s="579"/>
      <c r="G39" s="579"/>
      <c r="H39" s="579"/>
      <c r="I39" s="579"/>
      <c r="J39" s="579"/>
      <c r="K39" s="579"/>
      <c r="L39" s="579"/>
      <c r="M39" s="579"/>
      <c r="N39" s="579"/>
      <c r="O39" s="579"/>
      <c r="P39" s="579"/>
      <c r="Q39" s="579"/>
      <c r="R39" s="579"/>
    </row>
    <row r="40" spans="1:18" s="541" customFormat="1" ht="95.25" x14ac:dyDescent="0.2">
      <c r="B40" s="704" t="s">
        <v>1205</v>
      </c>
      <c r="C40" s="1092"/>
      <c r="D40" s="579"/>
      <c r="E40" s="579"/>
      <c r="F40" s="579"/>
      <c r="G40" s="579"/>
      <c r="H40" s="579"/>
      <c r="I40" s="579"/>
      <c r="J40" s="579"/>
      <c r="K40" s="579"/>
      <c r="L40" s="579"/>
      <c r="M40" s="579"/>
      <c r="N40" s="579"/>
      <c r="O40" s="579"/>
      <c r="P40" s="579"/>
      <c r="Q40" s="579"/>
      <c r="R40" s="579"/>
    </row>
    <row r="41" spans="1:18" s="541" customFormat="1" ht="38.25" x14ac:dyDescent="0.2">
      <c r="B41" s="704" t="s">
        <v>1206</v>
      </c>
      <c r="C41" s="1092"/>
      <c r="D41" s="579"/>
      <c r="E41" s="579"/>
      <c r="F41" s="579"/>
      <c r="G41" s="579"/>
      <c r="H41" s="579"/>
      <c r="I41" s="579"/>
      <c r="J41" s="579"/>
      <c r="K41" s="579"/>
      <c r="L41" s="579"/>
      <c r="M41" s="579"/>
      <c r="N41" s="579"/>
      <c r="O41" s="579"/>
      <c r="P41" s="579"/>
      <c r="Q41" s="579"/>
      <c r="R41" s="579"/>
    </row>
    <row r="42" spans="1:18" s="541" customFormat="1" ht="38.25" x14ac:dyDescent="0.25">
      <c r="B42" s="704" t="s">
        <v>1207</v>
      </c>
    </row>
    <row r="43" spans="1:18" s="541" customFormat="1" ht="25.5" x14ac:dyDescent="0.2">
      <c r="B43" s="586" t="s">
        <v>1209</v>
      </c>
      <c r="C43" s="1092"/>
      <c r="D43" s="579"/>
      <c r="E43" s="579"/>
      <c r="F43" s="579"/>
      <c r="G43" s="579"/>
      <c r="H43" s="579"/>
      <c r="I43" s="579"/>
      <c r="J43" s="579"/>
      <c r="K43" s="579"/>
      <c r="L43" s="579"/>
      <c r="M43" s="579"/>
      <c r="N43" s="579"/>
      <c r="O43" s="579"/>
      <c r="P43" s="579"/>
      <c r="Q43" s="579"/>
      <c r="R43" s="579"/>
    </row>
    <row r="44" spans="1:18" s="541" customFormat="1" ht="42.75" x14ac:dyDescent="0.2">
      <c r="B44" s="704" t="s">
        <v>1208</v>
      </c>
      <c r="C44" s="1092"/>
      <c r="D44" s="579"/>
      <c r="E44" s="579"/>
      <c r="F44" s="579"/>
      <c r="G44" s="579"/>
      <c r="H44" s="579"/>
      <c r="I44" s="579"/>
      <c r="J44" s="579"/>
      <c r="K44" s="579"/>
      <c r="L44" s="579"/>
      <c r="M44" s="579"/>
      <c r="N44" s="579"/>
      <c r="O44" s="579"/>
      <c r="P44" s="579"/>
      <c r="Q44" s="579"/>
      <c r="R44" s="579"/>
    </row>
    <row r="45" spans="1:18" ht="15.75" x14ac:dyDescent="0.25">
      <c r="A45" s="749"/>
      <c r="B45" s="748" t="s">
        <v>814</v>
      </c>
      <c r="C45" s="751"/>
      <c r="D45" s="751"/>
    </row>
    <row r="46" spans="1:18" ht="38.25" x14ac:dyDescent="0.25">
      <c r="A46" s="749"/>
      <c r="B46" s="704" t="s">
        <v>1210</v>
      </c>
      <c r="C46" s="751"/>
      <c r="D46" s="751"/>
    </row>
    <row r="47" spans="1:18" ht="15.75" x14ac:dyDescent="0.25">
      <c r="A47" s="749"/>
      <c r="B47" s="748" t="s">
        <v>845</v>
      </c>
      <c r="C47" s="751"/>
      <c r="D47" s="751"/>
    </row>
    <row r="48" spans="1:18" ht="76.5" x14ac:dyDescent="0.25">
      <c r="A48" s="749"/>
      <c r="B48" s="527" t="s">
        <v>1211</v>
      </c>
      <c r="C48" s="751"/>
      <c r="D48" s="751"/>
    </row>
    <row r="49" spans="1:4" x14ac:dyDescent="0.25">
      <c r="A49" s="749"/>
      <c r="B49" s="704"/>
      <c r="C49" s="751"/>
      <c r="D49" s="751"/>
    </row>
    <row r="50" spans="1:4" ht="23.25" x14ac:dyDescent="0.25">
      <c r="A50" s="749"/>
      <c r="B50" s="754" t="s">
        <v>815</v>
      </c>
      <c r="C50" s="751"/>
      <c r="D50" s="751"/>
    </row>
    <row r="51" spans="1:4" ht="25.5" x14ac:dyDescent="0.25">
      <c r="A51" s="749"/>
      <c r="B51" s="704" t="s">
        <v>1212</v>
      </c>
      <c r="C51" s="751"/>
      <c r="D51" s="751"/>
    </row>
    <row r="52" spans="1:4" ht="15.75" x14ac:dyDescent="0.25">
      <c r="A52" s="749"/>
      <c r="B52" s="748" t="s">
        <v>816</v>
      </c>
      <c r="C52" s="751"/>
      <c r="D52" s="751"/>
    </row>
    <row r="53" spans="1:4" ht="38.25" x14ac:dyDescent="0.25">
      <c r="A53" s="749"/>
      <c r="B53" s="1091" t="s">
        <v>1213</v>
      </c>
      <c r="C53" s="751"/>
      <c r="D53" s="751"/>
    </row>
    <row r="54" spans="1:4" ht="15.75" x14ac:dyDescent="0.25">
      <c r="B54" s="748" t="s">
        <v>920</v>
      </c>
    </row>
    <row r="55" spans="1:4" x14ac:dyDescent="0.25">
      <c r="B55" s="704" t="s">
        <v>921</v>
      </c>
    </row>
    <row r="56" spans="1:4" x14ac:dyDescent="0.25">
      <c r="B56" s="704" t="s">
        <v>922</v>
      </c>
    </row>
    <row r="57" spans="1:4" x14ac:dyDescent="0.25">
      <c r="A57" s="749"/>
      <c r="B57" s="704"/>
      <c r="C57" s="751"/>
      <c r="D57" s="751"/>
    </row>
    <row r="58" spans="1:4" ht="15.75" x14ac:dyDescent="0.25">
      <c r="B58" s="748" t="s">
        <v>846</v>
      </c>
    </row>
    <row r="59" spans="1:4" ht="63.75" x14ac:dyDescent="0.25">
      <c r="B59" s="704" t="s">
        <v>1022</v>
      </c>
    </row>
    <row r="60" spans="1:4" ht="38.25" x14ac:dyDescent="0.25">
      <c r="B60" s="704" t="s">
        <v>1214</v>
      </c>
    </row>
    <row r="61" spans="1:4" ht="51" x14ac:dyDescent="0.25">
      <c r="B61" s="704" t="s">
        <v>1215</v>
      </c>
    </row>
    <row r="62" spans="1:4" ht="63.75" x14ac:dyDescent="0.25">
      <c r="B62" s="704" t="s">
        <v>1216</v>
      </c>
    </row>
    <row r="63" spans="1:4" ht="15.75" x14ac:dyDescent="0.25">
      <c r="B63" s="748" t="s">
        <v>821</v>
      </c>
    </row>
    <row r="64" spans="1:4" x14ac:dyDescent="0.25">
      <c r="B64" s="704" t="s">
        <v>1023</v>
      </c>
    </row>
    <row r="65" spans="2:2" x14ac:dyDescent="0.25">
      <c r="B65" s="704"/>
    </row>
    <row r="66" spans="2:2" ht="38.25" x14ac:dyDescent="0.25">
      <c r="B66" s="704" t="s">
        <v>1217</v>
      </c>
    </row>
    <row r="67" spans="2:2" ht="38.25" x14ac:dyDescent="0.25">
      <c r="B67" s="704" t="s">
        <v>1218</v>
      </c>
    </row>
    <row r="68" spans="2:2" ht="89.25" x14ac:dyDescent="0.25">
      <c r="B68" s="704" t="s">
        <v>1219</v>
      </c>
    </row>
    <row r="69" spans="2:2" ht="15.75" x14ac:dyDescent="0.25">
      <c r="B69" s="748" t="s">
        <v>847</v>
      </c>
    </row>
    <row r="70" spans="2:2" ht="63.75" x14ac:dyDescent="0.25">
      <c r="B70" s="704" t="s">
        <v>1035</v>
      </c>
    </row>
    <row r="71" spans="2:2" ht="15.75" x14ac:dyDescent="0.25">
      <c r="B71" s="748" t="s">
        <v>848</v>
      </c>
    </row>
    <row r="72" spans="2:2" ht="76.5" x14ac:dyDescent="0.25">
      <c r="B72" s="704" t="s">
        <v>1220</v>
      </c>
    </row>
    <row r="73" spans="2:2" ht="15.75" x14ac:dyDescent="0.25">
      <c r="B73" s="748" t="s">
        <v>852</v>
      </c>
    </row>
    <row r="74" spans="2:2" ht="25.5" x14ac:dyDescent="0.25">
      <c r="B74" s="704" t="s">
        <v>1036</v>
      </c>
    </row>
    <row r="75" spans="2:2" ht="79.5" x14ac:dyDescent="0.25">
      <c r="B75" s="704" t="s">
        <v>1080</v>
      </c>
    </row>
    <row r="76" spans="2:2" ht="63.75" x14ac:dyDescent="0.25">
      <c r="B76" s="666" t="s">
        <v>1221</v>
      </c>
    </row>
    <row r="77" spans="2:2" ht="76.5" x14ac:dyDescent="0.25">
      <c r="B77" s="666" t="s">
        <v>1222</v>
      </c>
    </row>
    <row r="78" spans="2:2" ht="15.75" x14ac:dyDescent="0.25">
      <c r="B78" s="748" t="s">
        <v>1017</v>
      </c>
    </row>
    <row r="79" spans="2:2" ht="38.25" x14ac:dyDescent="0.25">
      <c r="B79" s="666" t="s">
        <v>1037</v>
      </c>
    </row>
    <row r="80" spans="2:2" ht="38.25" x14ac:dyDescent="0.25">
      <c r="B80" s="1097" t="s">
        <v>1039</v>
      </c>
    </row>
    <row r="81" spans="2:2" ht="38.25" x14ac:dyDescent="0.25">
      <c r="B81" s="1097" t="s">
        <v>1040</v>
      </c>
    </row>
    <row r="82" spans="2:2" ht="38.25" x14ac:dyDescent="0.25">
      <c r="B82" s="1097" t="s">
        <v>1041</v>
      </c>
    </row>
    <row r="83" spans="2:2" ht="63.75" x14ac:dyDescent="0.25">
      <c r="B83" s="1097" t="s">
        <v>1078</v>
      </c>
    </row>
    <row r="84" spans="2:2" ht="102" x14ac:dyDescent="0.25">
      <c r="B84" s="1097" t="s">
        <v>1077</v>
      </c>
    </row>
    <row r="85" spans="2:2" ht="51" x14ac:dyDescent="0.25">
      <c r="B85" s="1097" t="s">
        <v>1079</v>
      </c>
    </row>
    <row r="86" spans="2:2" ht="25.5" x14ac:dyDescent="0.25">
      <c r="B86" s="1097" t="s">
        <v>1038</v>
      </c>
    </row>
    <row r="87" spans="2:2" x14ac:dyDescent="0.25">
      <c r="B87" s="1098"/>
    </row>
    <row r="88" spans="2:2" x14ac:dyDescent="0.25">
      <c r="B88" s="1098"/>
    </row>
    <row r="89" spans="2:2" x14ac:dyDescent="0.25">
      <c r="B89" s="1098"/>
    </row>
    <row r="90" spans="2:2" x14ac:dyDescent="0.25">
      <c r="B90" s="1098"/>
    </row>
    <row r="91" spans="2:2" x14ac:dyDescent="0.25">
      <c r="B91" s="1098"/>
    </row>
    <row r="92" spans="2:2" x14ac:dyDescent="0.25">
      <c r="B92" s="1098"/>
    </row>
    <row r="93" spans="2:2" x14ac:dyDescent="0.25">
      <c r="B93" s="1098"/>
    </row>
    <row r="94" spans="2:2" x14ac:dyDescent="0.25">
      <c r="B94" s="1098"/>
    </row>
    <row r="95" spans="2:2" x14ac:dyDescent="0.25">
      <c r="B95" s="1098"/>
    </row>
    <row r="96" spans="2:2" x14ac:dyDescent="0.25">
      <c r="B96" s="1098"/>
    </row>
    <row r="97" spans="2:2" x14ac:dyDescent="0.25">
      <c r="B97" s="1098"/>
    </row>
    <row r="98" spans="2:2" x14ac:dyDescent="0.25">
      <c r="B98" s="1098"/>
    </row>
    <row r="99" spans="2:2" x14ac:dyDescent="0.25">
      <c r="B99" s="1098"/>
    </row>
    <row r="100" spans="2:2" x14ac:dyDescent="0.25">
      <c r="B100" s="1098"/>
    </row>
    <row r="101" spans="2:2" x14ac:dyDescent="0.25">
      <c r="B101" s="1098"/>
    </row>
    <row r="102" spans="2:2" x14ac:dyDescent="0.25">
      <c r="B102" s="1098"/>
    </row>
    <row r="103" spans="2:2" x14ac:dyDescent="0.25">
      <c r="B103" s="1098"/>
    </row>
    <row r="104" spans="2:2" x14ac:dyDescent="0.25">
      <c r="B104" s="1098"/>
    </row>
    <row r="105" spans="2:2" x14ac:dyDescent="0.25">
      <c r="B105" s="1098"/>
    </row>
    <row r="106" spans="2:2" x14ac:dyDescent="0.25">
      <c r="B106" s="1098"/>
    </row>
    <row r="107" spans="2:2" x14ac:dyDescent="0.25">
      <c r="B107" s="1098"/>
    </row>
    <row r="108" spans="2:2" x14ac:dyDescent="0.25">
      <c r="B108" s="1098"/>
    </row>
    <row r="109" spans="2:2" x14ac:dyDescent="0.25">
      <c r="B109" s="1098"/>
    </row>
    <row r="110" spans="2:2" x14ac:dyDescent="0.25">
      <c r="B110" s="1098"/>
    </row>
    <row r="111" spans="2:2" x14ac:dyDescent="0.25">
      <c r="B111" s="1098"/>
    </row>
    <row r="112" spans="2:2" x14ac:dyDescent="0.25">
      <c r="B112" s="1098"/>
    </row>
    <row r="113" spans="2:2" x14ac:dyDescent="0.25">
      <c r="B113" s="1098"/>
    </row>
    <row r="114" spans="2:2" x14ac:dyDescent="0.25">
      <c r="B114" s="541"/>
    </row>
    <row r="115" spans="2:2" x14ac:dyDescent="0.25">
      <c r="B115" s="541"/>
    </row>
    <row r="116" spans="2:2" x14ac:dyDescent="0.25">
      <c r="B116" s="541"/>
    </row>
    <row r="117" spans="2:2" x14ac:dyDescent="0.25">
      <c r="B117" s="541"/>
    </row>
    <row r="118" spans="2:2" x14ac:dyDescent="0.25">
      <c r="B118" s="541"/>
    </row>
    <row r="119" spans="2:2" x14ac:dyDescent="0.25">
      <c r="B119" s="541"/>
    </row>
    <row r="120" spans="2:2" x14ac:dyDescent="0.25">
      <c r="B120" s="541"/>
    </row>
    <row r="121" spans="2:2" x14ac:dyDescent="0.25">
      <c r="B121" s="541"/>
    </row>
    <row r="122" spans="2:2" x14ac:dyDescent="0.25">
      <c r="B122" s="541"/>
    </row>
    <row r="123" spans="2:2" x14ac:dyDescent="0.25">
      <c r="B123" s="541"/>
    </row>
    <row r="124" spans="2:2" x14ac:dyDescent="0.25">
      <c r="B124" s="541"/>
    </row>
    <row r="125" spans="2:2" x14ac:dyDescent="0.25">
      <c r="B125" s="541"/>
    </row>
    <row r="126" spans="2:2" x14ac:dyDescent="0.25">
      <c r="B126" s="541"/>
    </row>
    <row r="127" spans="2:2" x14ac:dyDescent="0.25">
      <c r="B127" s="541"/>
    </row>
    <row r="128" spans="2:2" x14ac:dyDescent="0.25">
      <c r="B128" s="541"/>
    </row>
    <row r="129" spans="2:2" x14ac:dyDescent="0.25">
      <c r="B129" s="541"/>
    </row>
    <row r="130" spans="2:2" x14ac:dyDescent="0.25">
      <c r="B130" s="541"/>
    </row>
    <row r="131" spans="2:2" x14ac:dyDescent="0.25">
      <c r="B131" s="541"/>
    </row>
    <row r="132" spans="2:2" x14ac:dyDescent="0.25">
      <c r="B132" s="541"/>
    </row>
    <row r="133" spans="2:2" x14ac:dyDescent="0.25">
      <c r="B133" s="541"/>
    </row>
    <row r="134" spans="2:2" x14ac:dyDescent="0.25">
      <c r="B134" s="541"/>
    </row>
    <row r="135" spans="2:2" x14ac:dyDescent="0.25">
      <c r="B135" s="541"/>
    </row>
    <row r="136" spans="2:2" x14ac:dyDescent="0.25">
      <c r="B136" s="541"/>
    </row>
    <row r="137" spans="2:2" x14ac:dyDescent="0.25">
      <c r="B137" s="541"/>
    </row>
    <row r="138" spans="2:2" x14ac:dyDescent="0.25">
      <c r="B138" s="541"/>
    </row>
    <row r="139" spans="2:2" x14ac:dyDescent="0.25">
      <c r="B139" s="541"/>
    </row>
    <row r="140" spans="2:2" x14ac:dyDescent="0.25">
      <c r="B140" s="541"/>
    </row>
    <row r="141" spans="2:2" x14ac:dyDescent="0.25">
      <c r="B141" s="541"/>
    </row>
    <row r="142" spans="2:2" x14ac:dyDescent="0.25">
      <c r="B142" s="541"/>
    </row>
    <row r="143" spans="2:2" x14ac:dyDescent="0.25">
      <c r="B143" s="541"/>
    </row>
    <row r="144" spans="2:2" x14ac:dyDescent="0.25">
      <c r="B144" s="541"/>
    </row>
    <row r="145" spans="2:2" x14ac:dyDescent="0.25">
      <c r="B145" s="541"/>
    </row>
    <row r="146" spans="2:2" x14ac:dyDescent="0.25">
      <c r="B146" s="541"/>
    </row>
    <row r="147" spans="2:2" x14ac:dyDescent="0.25">
      <c r="B147" s="541"/>
    </row>
    <row r="148" spans="2:2" x14ac:dyDescent="0.25">
      <c r="B148" s="541"/>
    </row>
    <row r="149" spans="2:2" x14ac:dyDescent="0.25">
      <c r="B149" s="541"/>
    </row>
    <row r="150" spans="2:2" x14ac:dyDescent="0.25">
      <c r="B150" s="541"/>
    </row>
    <row r="151" spans="2:2" x14ac:dyDescent="0.25">
      <c r="B151" s="541"/>
    </row>
    <row r="152" spans="2:2" x14ac:dyDescent="0.25">
      <c r="B152" s="541"/>
    </row>
    <row r="153" spans="2:2" x14ac:dyDescent="0.25">
      <c r="B153" s="541"/>
    </row>
    <row r="154" spans="2:2" x14ac:dyDescent="0.25">
      <c r="B154" s="541"/>
    </row>
    <row r="155" spans="2:2" x14ac:dyDescent="0.25">
      <c r="B155" s="541"/>
    </row>
    <row r="156" spans="2:2" x14ac:dyDescent="0.25">
      <c r="B156" s="541"/>
    </row>
    <row r="157" spans="2:2" x14ac:dyDescent="0.25">
      <c r="B157" s="541"/>
    </row>
    <row r="158" spans="2:2" x14ac:dyDescent="0.25">
      <c r="B158" s="541"/>
    </row>
    <row r="159" spans="2:2" x14ac:dyDescent="0.25">
      <c r="B159" s="541"/>
    </row>
    <row r="160" spans="2:2" x14ac:dyDescent="0.25">
      <c r="B160" s="541"/>
    </row>
    <row r="161" spans="2:2" x14ac:dyDescent="0.25">
      <c r="B161" s="541"/>
    </row>
    <row r="162" spans="2:2" x14ac:dyDescent="0.25">
      <c r="B162" s="541"/>
    </row>
    <row r="163" spans="2:2" x14ac:dyDescent="0.25">
      <c r="B163" s="541"/>
    </row>
  </sheetData>
  <pageMargins left="0.70866141732283472" right="0.70866141732283472" top="0.74803149606299213" bottom="0.74803149606299213" header="0.31496062992125984" footer="0.31496062992125984"/>
  <pageSetup paperSize="9" orientation="portrait" horizontalDpi="1200" verticalDpi="1200" r:id="rId1"/>
  <headerFooter>
    <oddHeader>&amp;CThe Manure Tool. Version 02, December 2013</oddHeader>
    <oddFooter>&amp;C&amp;9Page &amp;P</oddFooter>
  </headerFooter>
  <rowBreaks count="1" manualBreakCount="1">
    <brk id="72" max="16383" man="1"/>
  </rowBreaks>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Title="Select Animal Category" prompt="Use arrow to the right">
          <x14:formula1>
            <xm:f>'Reference Systems'!$C$2:$R$2</xm:f>
          </x14:formula1>
          <xm:sqref>B14</xm:sqref>
        </x14:dataValidation>
        <x14:dataValidation type="list" allowBlank="1" showInputMessage="1" showErrorMessage="1" promptTitle="Select Animal Category" prompt="Use arrow to the right">
          <x14:formula1>
            <xm:f>'Reference Systems'!$AO$2:$AO$5</xm:f>
          </x14:formula1>
          <xm:sqref>B18</xm:sqref>
        </x14:dataValidation>
        <x14:dataValidation type="list" allowBlank="1" showInputMessage="1" showErrorMessage="1" promptTitle="Select Technique" prompt="Use arrow to the right">
          <x14:formula1>
            <xm:f>'Field Techniques'!$D$1:$EX$1</xm:f>
          </x14:formula1>
          <xm:sqref>B23</xm:sqref>
        </x14:dataValidation>
        <x14:dataValidation type="list" allowBlank="1" showInputMessage="1" showErrorMessage="1" promptTitle="Select Technique" prompt="Use arrow to the right">
          <x14:formula1>
            <xm:f>'Outdoor Storage Techniques'!$D$1:$BM$1</xm:f>
          </x14:formula1>
          <xm:sqref>B20</xm:sqref>
        </x14:dataValidation>
        <x14:dataValidation type="list" allowBlank="1" showInputMessage="1" showErrorMessage="1" promptTitle="Select Technique" prompt="Use arrow to the right">
          <x14:formula1>
            <xm:f>'In-House Techniques'!$D$1:$CW$1</xm:f>
          </x14:formula1>
          <xm:sqref>B17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1"/>
  <sheetViews>
    <sheetView topLeftCell="A18" workbookViewId="0">
      <selection activeCell="W25" sqref="W25"/>
    </sheetView>
  </sheetViews>
  <sheetFormatPr defaultRowHeight="15" x14ac:dyDescent="0.25"/>
  <cols>
    <col min="1" max="1" width="44.28515625" customWidth="1"/>
    <col min="2" max="2" width="20" customWidth="1"/>
    <col min="3" max="3" width="20.42578125" customWidth="1"/>
    <col min="4" max="4" width="19" customWidth="1"/>
    <col min="5" max="5" width="17.140625" customWidth="1"/>
    <col min="6" max="11" width="13.28515625" customWidth="1"/>
    <col min="12" max="12" width="11.140625" customWidth="1"/>
    <col min="13" max="13" width="21.42578125" customWidth="1"/>
    <col min="14" max="14" width="13.28515625" customWidth="1"/>
    <col min="15" max="15" width="15.28515625" customWidth="1"/>
    <col min="16" max="16" width="12.85546875" customWidth="1"/>
    <col min="17" max="17" width="14.7109375" customWidth="1"/>
    <col min="18" max="27" width="14" customWidth="1"/>
    <col min="28" max="29" width="13.42578125" customWidth="1"/>
  </cols>
  <sheetData>
    <row r="1" spans="1:29" s="305" customFormat="1" ht="30" x14ac:dyDescent="0.25">
      <c r="A1" s="499" t="s">
        <v>513</v>
      </c>
      <c r="B1" s="469"/>
    </row>
    <row r="2" spans="1:29" s="305" customFormat="1" ht="12" x14ac:dyDescent="0.2">
      <c r="B2" s="469"/>
    </row>
    <row r="3" spans="1:29" s="476" customFormat="1" ht="72" x14ac:dyDescent="0.25">
      <c r="A3" s="473" t="s">
        <v>397</v>
      </c>
      <c r="B3" s="474" t="s">
        <v>475</v>
      </c>
      <c r="C3" s="475" t="s">
        <v>476</v>
      </c>
      <c r="D3" s="479" t="s">
        <v>477</v>
      </c>
      <c r="E3" s="479" t="s">
        <v>479</v>
      </c>
      <c r="F3" s="479" t="s">
        <v>492</v>
      </c>
      <c r="G3" s="479" t="s">
        <v>493</v>
      </c>
      <c r="H3" s="479" t="s">
        <v>485</v>
      </c>
      <c r="I3" s="479" t="s">
        <v>486</v>
      </c>
      <c r="J3" s="479" t="s">
        <v>489</v>
      </c>
      <c r="K3" s="479" t="s">
        <v>487</v>
      </c>
      <c r="L3" s="479" t="s">
        <v>496</v>
      </c>
      <c r="M3" s="479" t="s">
        <v>495</v>
      </c>
      <c r="N3" s="479" t="s">
        <v>488</v>
      </c>
      <c r="O3" s="479" t="s">
        <v>497</v>
      </c>
      <c r="P3" s="479" t="s">
        <v>498</v>
      </c>
      <c r="Q3" s="479" t="s">
        <v>499</v>
      </c>
      <c r="R3" s="479" t="s">
        <v>500</v>
      </c>
      <c r="S3" s="479" t="s">
        <v>501</v>
      </c>
      <c r="T3" s="479" t="s">
        <v>502</v>
      </c>
      <c r="U3" s="479" t="s">
        <v>503</v>
      </c>
      <c r="V3" s="479" t="s">
        <v>504</v>
      </c>
      <c r="W3" s="479" t="s">
        <v>505</v>
      </c>
      <c r="X3" s="479" t="s">
        <v>506</v>
      </c>
      <c r="Y3" s="479" t="s">
        <v>507</v>
      </c>
      <c r="Z3" s="479" t="s">
        <v>508</v>
      </c>
      <c r="AA3" s="479" t="s">
        <v>509</v>
      </c>
      <c r="AB3" s="479" t="s">
        <v>510</v>
      </c>
      <c r="AC3" s="479" t="s">
        <v>511</v>
      </c>
    </row>
    <row r="4" spans="1:29" s="477" customFormat="1" ht="12.75" x14ac:dyDescent="0.25">
      <c r="A4" s="427" t="s">
        <v>466</v>
      </c>
      <c r="B4" s="331">
        <f>+'Reference Systems'!AC178</f>
        <v>0</v>
      </c>
      <c r="C4" s="331">
        <f>+'Reference Systems'!$AC$174</f>
        <v>2.85</v>
      </c>
      <c r="D4" s="477">
        <f>+B4*C4</f>
        <v>0</v>
      </c>
      <c r="E4" s="482">
        <f>+'Reference Systems'!$AC$175</f>
        <v>6.2666666666666666</v>
      </c>
      <c r="F4" s="485">
        <f>+'Reference Systems'!$AC$176</f>
        <v>454.78723404255322</v>
      </c>
      <c r="G4" s="484">
        <f>+B4*F4/100</f>
        <v>0</v>
      </c>
      <c r="H4" s="488">
        <v>0.69399999999999995</v>
      </c>
      <c r="I4" s="484">
        <f>+H4*G4</f>
        <v>0</v>
      </c>
      <c r="J4" s="491">
        <v>0.95</v>
      </c>
      <c r="K4" s="493">
        <v>5</v>
      </c>
      <c r="L4" s="488">
        <v>1</v>
      </c>
      <c r="N4" s="483">
        <f t="shared" ref="N4:N14" si="0">(1/K4)*J4*G4*(1/L4)*(1/1000)</f>
        <v>0</v>
      </c>
      <c r="Q4" s="484">
        <f>N4*O4</f>
        <v>0</v>
      </c>
    </row>
    <row r="5" spans="1:29" s="477" customFormat="1" ht="12.75" x14ac:dyDescent="0.25">
      <c r="A5" s="427" t="s">
        <v>467</v>
      </c>
      <c r="B5" s="331">
        <f>+'Reference Systems'!AC179</f>
        <v>88.26</v>
      </c>
      <c r="C5" s="331">
        <f>+'Reference Systems'!$AC$174</f>
        <v>2.85</v>
      </c>
      <c r="D5" s="477">
        <f t="shared" ref="D5:D15" si="1">+B5*C5</f>
        <v>251.54100000000003</v>
      </c>
      <c r="E5" s="482">
        <f>+'Reference Systems'!$AC$175</f>
        <v>6.2666666666666666</v>
      </c>
      <c r="F5" s="485">
        <f>+'Reference Systems'!$AC$176</f>
        <v>454.78723404255322</v>
      </c>
      <c r="G5" s="484">
        <f t="shared" ref="G5:G15" si="2">+B5*F5/100</f>
        <v>401.39521276595747</v>
      </c>
      <c r="H5" s="477">
        <v>0.69399999999999995</v>
      </c>
      <c r="I5" s="484">
        <f t="shared" ref="I5:I15" si="3">+H5*G5</f>
        <v>278.56827765957445</v>
      </c>
      <c r="J5" s="482">
        <v>0.95</v>
      </c>
      <c r="K5" s="492">
        <v>5</v>
      </c>
      <c r="L5" s="488">
        <v>1</v>
      </c>
      <c r="N5" s="483">
        <f t="shared" si="0"/>
        <v>7.6265090425531923E-2</v>
      </c>
      <c r="O5" s="492">
        <f>(308.53*1000)/20</f>
        <v>15426.5</v>
      </c>
      <c r="P5" s="492">
        <f>(477*1000)/20</f>
        <v>23850</v>
      </c>
      <c r="Q5" s="484">
        <f>N5*O5</f>
        <v>1176.5034174494683</v>
      </c>
    </row>
    <row r="6" spans="1:29" s="477" customFormat="1" x14ac:dyDescent="0.25">
      <c r="A6" s="427" t="s">
        <v>468</v>
      </c>
      <c r="B6" s="331">
        <f>+'Reference Systems'!AC180</f>
        <v>0</v>
      </c>
      <c r="C6" s="331">
        <f>+'Reference Systems'!$AC$174</f>
        <v>2.85</v>
      </c>
      <c r="D6" s="477">
        <f t="shared" si="1"/>
        <v>0</v>
      </c>
      <c r="E6" s="482">
        <f>+'Reference Systems'!$AC$175</f>
        <v>6.2666666666666666</v>
      </c>
      <c r="F6" s="485">
        <f>+'Reference Systems'!$AC$176</f>
        <v>454.78723404255322</v>
      </c>
      <c r="G6" s="484">
        <f t="shared" si="2"/>
        <v>0</v>
      </c>
      <c r="H6" s="488">
        <v>0.69399999999999995</v>
      </c>
      <c r="I6" s="484">
        <f t="shared" si="3"/>
        <v>0</v>
      </c>
      <c r="J6" s="491">
        <v>0.95</v>
      </c>
      <c r="K6" s="493">
        <v>5</v>
      </c>
      <c r="L6" s="488">
        <v>1</v>
      </c>
      <c r="N6" s="492">
        <f t="shared" si="0"/>
        <v>0</v>
      </c>
      <c r="O6" s="492"/>
      <c r="P6" s="492"/>
      <c r="Q6" s="484">
        <f t="shared" ref="Q6:Q14" si="4">N6*O6</f>
        <v>0</v>
      </c>
      <c r="R6" s="339"/>
      <c r="S6" s="339"/>
    </row>
    <row r="7" spans="1:29" s="477" customFormat="1" x14ac:dyDescent="0.25">
      <c r="A7" s="427" t="s">
        <v>299</v>
      </c>
      <c r="B7" s="331">
        <f>+'Reference Systems'!AC181</f>
        <v>11.74</v>
      </c>
      <c r="C7" s="331">
        <f>+'Reference Systems'!$AC$174</f>
        <v>2.85</v>
      </c>
      <c r="D7" s="477">
        <f t="shared" si="1"/>
        <v>33.459000000000003</v>
      </c>
      <c r="E7" s="482">
        <f>+'Reference Systems'!$AC$175</f>
        <v>6.2666666666666666</v>
      </c>
      <c r="F7" s="485">
        <f>+'Reference Systems'!$AC$176</f>
        <v>454.78723404255322</v>
      </c>
      <c r="G7" s="484">
        <f t="shared" si="2"/>
        <v>53.392021276595749</v>
      </c>
      <c r="H7" s="477">
        <v>0.93400000000000005</v>
      </c>
      <c r="I7" s="484">
        <f t="shared" si="3"/>
        <v>49.86814787234043</v>
      </c>
      <c r="J7" s="482">
        <f>80%</f>
        <v>0.8</v>
      </c>
      <c r="K7" s="492">
        <v>3.02</v>
      </c>
      <c r="L7" s="482">
        <v>0.83333333333333337</v>
      </c>
      <c r="M7" s="497" t="s">
        <v>361</v>
      </c>
      <c r="N7" s="492">
        <f t="shared" si="0"/>
        <v>1.6972298154149645E-2</v>
      </c>
      <c r="O7" s="492">
        <f>0.47*10000</f>
        <v>4700</v>
      </c>
      <c r="P7" s="492">
        <f>4.1*10000</f>
        <v>41000</v>
      </c>
      <c r="Q7" s="484">
        <f t="shared" si="4"/>
        <v>79.769801324503334</v>
      </c>
      <c r="R7" s="339"/>
      <c r="S7" s="339"/>
    </row>
    <row r="8" spans="1:29" s="477" customFormat="1" x14ac:dyDescent="0.25">
      <c r="A8" s="427" t="s">
        <v>494</v>
      </c>
      <c r="B8" s="331">
        <f>+'Reference Systems'!AC182</f>
        <v>0</v>
      </c>
      <c r="C8" s="331">
        <f>+'Reference Systems'!$AC$174</f>
        <v>2.85</v>
      </c>
      <c r="D8" s="477">
        <f t="shared" si="1"/>
        <v>0</v>
      </c>
      <c r="E8" s="482">
        <f>+'Reference Systems'!$AC$175</f>
        <v>6.2666666666666666</v>
      </c>
      <c r="F8" s="485">
        <f>+'Reference Systems'!$AC$176</f>
        <v>454.78723404255322</v>
      </c>
      <c r="G8" s="484">
        <f t="shared" si="2"/>
        <v>0</v>
      </c>
      <c r="H8" s="488">
        <v>0.93400000000000005</v>
      </c>
      <c r="I8" s="484">
        <f t="shared" si="3"/>
        <v>0</v>
      </c>
      <c r="J8" s="491">
        <v>0.8</v>
      </c>
      <c r="K8" s="492">
        <v>3.02</v>
      </c>
      <c r="L8" s="482">
        <v>0.83333333333333337</v>
      </c>
      <c r="M8" s="497" t="s">
        <v>361</v>
      </c>
      <c r="N8" s="492">
        <f t="shared" si="0"/>
        <v>0</v>
      </c>
      <c r="Q8" s="484">
        <f t="shared" si="4"/>
        <v>0</v>
      </c>
      <c r="R8" s="339"/>
      <c r="S8" s="339"/>
    </row>
    <row r="9" spans="1:29" s="477" customFormat="1" x14ac:dyDescent="0.25">
      <c r="A9" s="427" t="s">
        <v>469</v>
      </c>
      <c r="B9" s="331">
        <f>+'Reference Systems'!AC183</f>
        <v>0</v>
      </c>
      <c r="C9" s="331">
        <f>+'Reference Systems'!$AC$174</f>
        <v>2.85</v>
      </c>
      <c r="D9" s="477">
        <f t="shared" si="1"/>
        <v>0</v>
      </c>
      <c r="E9" s="482">
        <f>+'Reference Systems'!$AC$175</f>
        <v>6.2666666666666666</v>
      </c>
      <c r="F9" s="485">
        <f>+'Reference Systems'!$AC$176</f>
        <v>454.78723404255322</v>
      </c>
      <c r="G9" s="484">
        <f t="shared" si="2"/>
        <v>0</v>
      </c>
      <c r="H9" s="488">
        <v>0.69399999999999995</v>
      </c>
      <c r="I9" s="484">
        <f t="shared" si="3"/>
        <v>0</v>
      </c>
      <c r="J9" s="491">
        <v>0.95</v>
      </c>
      <c r="K9" s="493">
        <v>5</v>
      </c>
      <c r="L9" s="488">
        <v>1</v>
      </c>
      <c r="N9" s="492">
        <f t="shared" si="0"/>
        <v>0</v>
      </c>
      <c r="Q9" s="484">
        <f t="shared" si="4"/>
        <v>0</v>
      </c>
      <c r="R9" s="339"/>
      <c r="S9" s="339"/>
    </row>
    <row r="10" spans="1:29" s="477" customFormat="1" x14ac:dyDescent="0.25">
      <c r="A10" s="427" t="s">
        <v>470</v>
      </c>
      <c r="B10" s="331">
        <f>+'Reference Systems'!AC184</f>
        <v>0</v>
      </c>
      <c r="C10" s="331">
        <f>+'Reference Systems'!$AC$174</f>
        <v>2.85</v>
      </c>
      <c r="D10" s="477">
        <f t="shared" si="1"/>
        <v>0</v>
      </c>
      <c r="E10" s="482">
        <f>+'Reference Systems'!$AC$175</f>
        <v>6.2666666666666666</v>
      </c>
      <c r="F10" s="485">
        <f>+'Reference Systems'!$AC$176</f>
        <v>454.78723404255322</v>
      </c>
      <c r="G10" s="484">
        <f t="shared" si="2"/>
        <v>0</v>
      </c>
      <c r="H10" s="488">
        <v>0.69399999999999995</v>
      </c>
      <c r="I10" s="484">
        <f t="shared" si="3"/>
        <v>0</v>
      </c>
      <c r="J10" s="491">
        <v>0.95</v>
      </c>
      <c r="K10" s="493">
        <v>5</v>
      </c>
      <c r="L10" s="488">
        <v>0.8</v>
      </c>
      <c r="N10" s="492">
        <f t="shared" si="0"/>
        <v>0</v>
      </c>
      <c r="Q10" s="484">
        <f t="shared" si="4"/>
        <v>0</v>
      </c>
      <c r="R10" s="339"/>
      <c r="S10" s="339"/>
    </row>
    <row r="11" spans="1:29" s="477" customFormat="1" x14ac:dyDescent="0.25">
      <c r="A11" s="427" t="s">
        <v>471</v>
      </c>
      <c r="B11" s="331">
        <f>+'Reference Systems'!AC185</f>
        <v>0</v>
      </c>
      <c r="C11" s="331">
        <f>+'Reference Systems'!$AC$174</f>
        <v>2.85</v>
      </c>
      <c r="D11" s="477">
        <f t="shared" si="1"/>
        <v>0</v>
      </c>
      <c r="E11" s="482">
        <f>+'Reference Systems'!$AC$175</f>
        <v>6.2666666666666666</v>
      </c>
      <c r="F11" s="485">
        <f>+'Reference Systems'!$AC$176</f>
        <v>454.78723404255322</v>
      </c>
      <c r="G11" s="484">
        <f t="shared" si="2"/>
        <v>0</v>
      </c>
      <c r="H11" s="488">
        <v>0.69399999999999995</v>
      </c>
      <c r="I11" s="484">
        <f t="shared" si="3"/>
        <v>0</v>
      </c>
      <c r="J11" s="491">
        <v>0.95</v>
      </c>
      <c r="K11" s="493">
        <v>5</v>
      </c>
      <c r="L11" s="488">
        <v>0.8</v>
      </c>
      <c r="N11" s="492">
        <f t="shared" si="0"/>
        <v>0</v>
      </c>
      <c r="Q11" s="484">
        <f t="shared" si="4"/>
        <v>0</v>
      </c>
      <c r="R11" s="339"/>
      <c r="S11" s="339"/>
    </row>
    <row r="12" spans="1:29" s="477" customFormat="1" x14ac:dyDescent="0.25">
      <c r="A12" s="427" t="s">
        <v>472</v>
      </c>
      <c r="B12" s="331">
        <f>+'Reference Systems'!AC186</f>
        <v>0</v>
      </c>
      <c r="C12" s="331">
        <f>+'Reference Systems'!$AC$174</f>
        <v>2.85</v>
      </c>
      <c r="D12" s="477">
        <f t="shared" si="1"/>
        <v>0</v>
      </c>
      <c r="E12" s="482">
        <f>+'Reference Systems'!$AC$175</f>
        <v>6.2666666666666666</v>
      </c>
      <c r="F12" s="485">
        <f>+'Reference Systems'!$AC$176</f>
        <v>454.78723404255322</v>
      </c>
      <c r="G12" s="484">
        <f t="shared" si="2"/>
        <v>0</v>
      </c>
      <c r="H12" s="488">
        <v>0.69399999999999995</v>
      </c>
      <c r="I12" s="484">
        <f t="shared" si="3"/>
        <v>0</v>
      </c>
      <c r="J12" s="491">
        <v>0.95</v>
      </c>
      <c r="K12" s="493">
        <v>5</v>
      </c>
      <c r="L12" s="488">
        <v>1</v>
      </c>
      <c r="N12" s="492">
        <f t="shared" si="0"/>
        <v>0</v>
      </c>
      <c r="Q12" s="484">
        <f t="shared" si="4"/>
        <v>0</v>
      </c>
      <c r="R12" s="339"/>
      <c r="S12" s="339"/>
    </row>
    <row r="13" spans="1:29" s="477" customFormat="1" x14ac:dyDescent="0.25">
      <c r="A13" s="427" t="s">
        <v>473</v>
      </c>
      <c r="B13" s="331">
        <f>+'Reference Systems'!AC187</f>
        <v>0</v>
      </c>
      <c r="C13" s="331">
        <f>+'Reference Systems'!$AC$174</f>
        <v>2.85</v>
      </c>
      <c r="D13" s="477">
        <f t="shared" si="1"/>
        <v>0</v>
      </c>
      <c r="E13" s="482">
        <f>+'Reference Systems'!$AC$175</f>
        <v>6.2666666666666666</v>
      </c>
      <c r="F13" s="485">
        <f>+'Reference Systems'!$AC$176</f>
        <v>454.78723404255322</v>
      </c>
      <c r="G13" s="484">
        <f t="shared" si="2"/>
        <v>0</v>
      </c>
      <c r="H13" s="488">
        <v>0.69399999999999995</v>
      </c>
      <c r="I13" s="484">
        <f t="shared" si="3"/>
        <v>0</v>
      </c>
      <c r="J13" s="491">
        <v>0.95</v>
      </c>
      <c r="K13" s="493">
        <v>5</v>
      </c>
      <c r="L13" s="488">
        <v>1</v>
      </c>
      <c r="N13" s="492">
        <f t="shared" si="0"/>
        <v>0</v>
      </c>
      <c r="Q13" s="484">
        <f t="shared" si="4"/>
        <v>0</v>
      </c>
      <c r="R13" s="339"/>
      <c r="S13" s="339"/>
    </row>
    <row r="14" spans="1:29" s="477" customFormat="1" ht="12.75" x14ac:dyDescent="0.25">
      <c r="A14" s="427" t="s">
        <v>461</v>
      </c>
      <c r="B14" s="331">
        <f>+'Reference Systems'!AC188</f>
        <v>0</v>
      </c>
      <c r="C14" s="331">
        <f>+'Reference Systems'!$AC$174</f>
        <v>2.85</v>
      </c>
      <c r="D14" s="477">
        <f t="shared" si="1"/>
        <v>0</v>
      </c>
      <c r="E14" s="482">
        <f>+'Reference Systems'!$AC$175</f>
        <v>6.2666666666666666</v>
      </c>
      <c r="F14" s="485">
        <f>+'Reference Systems'!$AC$176</f>
        <v>454.78723404255322</v>
      </c>
      <c r="G14" s="484">
        <f t="shared" si="2"/>
        <v>0</v>
      </c>
      <c r="H14" s="488">
        <v>0.69399999999999995</v>
      </c>
      <c r="I14" s="484">
        <f t="shared" si="3"/>
        <v>0</v>
      </c>
      <c r="J14" s="491">
        <v>0.95</v>
      </c>
      <c r="K14" s="493">
        <v>5</v>
      </c>
      <c r="L14" s="488">
        <v>1</v>
      </c>
      <c r="N14" s="492">
        <f t="shared" si="0"/>
        <v>0</v>
      </c>
      <c r="Q14" s="484">
        <f t="shared" si="4"/>
        <v>0</v>
      </c>
    </row>
    <row r="15" spans="1:29" s="477" customFormat="1" ht="12.75" x14ac:dyDescent="0.25">
      <c r="A15" s="427" t="s">
        <v>474</v>
      </c>
      <c r="B15" s="331">
        <f>+'Reference Systems'!AC189</f>
        <v>0</v>
      </c>
      <c r="C15" s="331">
        <f>+'Reference Systems'!$AC$174</f>
        <v>2.85</v>
      </c>
      <c r="D15" s="477">
        <f t="shared" si="1"/>
        <v>0</v>
      </c>
      <c r="E15" s="482">
        <f>+'Reference Systems'!$AC$175</f>
        <v>6.2666666666666666</v>
      </c>
      <c r="F15" s="485">
        <f>+'Reference Systems'!$AC$176</f>
        <v>454.78723404255322</v>
      </c>
      <c r="G15" s="484">
        <f t="shared" si="2"/>
        <v>0</v>
      </c>
      <c r="I15" s="484">
        <f t="shared" si="3"/>
        <v>0</v>
      </c>
      <c r="L15" s="488">
        <v>1</v>
      </c>
      <c r="N15" s="492"/>
    </row>
    <row r="16" spans="1:29" s="477" customFormat="1" ht="12.75" x14ac:dyDescent="0.25">
      <c r="A16" s="480" t="s">
        <v>478</v>
      </c>
      <c r="B16" s="481">
        <f>+'Reference Systems'!AC190</f>
        <v>100</v>
      </c>
      <c r="C16" s="331"/>
      <c r="D16" s="501">
        <f>SUM(D4:D15)</f>
        <v>285</v>
      </c>
      <c r="E16" s="331"/>
      <c r="G16" s="486">
        <f>SUM(G4:G15)</f>
        <v>454.78723404255322</v>
      </c>
      <c r="I16" s="486">
        <f>SUM(I4:I15)</f>
        <v>328.43642553191489</v>
      </c>
      <c r="Q16" s="486">
        <f>SUM(Q4:Q15)</f>
        <v>1256.2732187739716</v>
      </c>
    </row>
    <row r="17" spans="1:29" s="477" customFormat="1" ht="24" x14ac:dyDescent="0.25">
      <c r="A17" s="331"/>
      <c r="B17" s="478"/>
      <c r="C17" s="331"/>
      <c r="H17" s="487" t="s">
        <v>480</v>
      </c>
      <c r="J17" s="487" t="s">
        <v>480</v>
      </c>
      <c r="K17" s="487" t="s">
        <v>480</v>
      </c>
    </row>
    <row r="18" spans="1:29" s="305" customFormat="1" ht="12" x14ac:dyDescent="0.2">
      <c r="B18" s="469"/>
    </row>
    <row r="19" spans="1:29" s="305" customFormat="1" ht="12" x14ac:dyDescent="0.2">
      <c r="B19" s="469"/>
    </row>
    <row r="20" spans="1:29" s="476" customFormat="1" ht="72" x14ac:dyDescent="0.25">
      <c r="A20" s="498" t="s">
        <v>481</v>
      </c>
      <c r="B20" s="474" t="s">
        <v>475</v>
      </c>
      <c r="C20" s="475" t="s">
        <v>476</v>
      </c>
      <c r="D20" s="479" t="s">
        <v>477</v>
      </c>
      <c r="E20" s="479" t="s">
        <v>479</v>
      </c>
      <c r="F20" s="479" t="s">
        <v>492</v>
      </c>
      <c r="G20" s="479" t="s">
        <v>493</v>
      </c>
      <c r="H20" s="479" t="s">
        <v>485</v>
      </c>
      <c r="I20" s="479" t="s">
        <v>486</v>
      </c>
      <c r="J20" s="479" t="s">
        <v>489</v>
      </c>
      <c r="K20" s="479" t="s">
        <v>487</v>
      </c>
      <c r="L20" s="479" t="s">
        <v>496</v>
      </c>
      <c r="M20" s="479" t="s">
        <v>495</v>
      </c>
      <c r="N20" s="479" t="s">
        <v>488</v>
      </c>
      <c r="O20" s="479" t="s">
        <v>497</v>
      </c>
      <c r="P20" s="479" t="s">
        <v>498</v>
      </c>
      <c r="Q20" s="479" t="s">
        <v>499</v>
      </c>
      <c r="R20" s="479" t="s">
        <v>500</v>
      </c>
      <c r="S20" s="479" t="s">
        <v>501</v>
      </c>
      <c r="T20" s="479" t="s">
        <v>502</v>
      </c>
      <c r="U20" s="479" t="s">
        <v>503</v>
      </c>
      <c r="V20" s="479" t="s">
        <v>504</v>
      </c>
      <c r="W20" s="479" t="s">
        <v>505</v>
      </c>
      <c r="X20" s="479" t="s">
        <v>506</v>
      </c>
      <c r="Y20" s="479" t="s">
        <v>507</v>
      </c>
      <c r="Z20" s="479" t="s">
        <v>508</v>
      </c>
      <c r="AA20" s="479" t="s">
        <v>509</v>
      </c>
      <c r="AB20" s="479" t="s">
        <v>510</v>
      </c>
      <c r="AC20" s="479" t="s">
        <v>511</v>
      </c>
    </row>
    <row r="21" spans="1:29" s="477" customFormat="1" ht="12.75" x14ac:dyDescent="0.25">
      <c r="A21" s="427" t="s">
        <v>466</v>
      </c>
      <c r="B21" s="331">
        <f>+'In-House Techniques'!B42</f>
        <v>0</v>
      </c>
      <c r="C21" s="331">
        <f>+'Reference Systems'!$AC$174</f>
        <v>2.85</v>
      </c>
      <c r="D21" s="477">
        <f>+B21*C21</f>
        <v>0</v>
      </c>
      <c r="E21" s="482">
        <f>+'Reference Systems'!$AC$175</f>
        <v>6.2666666666666666</v>
      </c>
      <c r="F21" s="485">
        <f>+'Reference Systems'!$AC$176</f>
        <v>454.78723404255322</v>
      </c>
      <c r="G21" s="484">
        <f>+B21*F21/100</f>
        <v>0</v>
      </c>
      <c r="H21" s="488">
        <v>0.69399999999999995</v>
      </c>
      <c r="I21" s="484">
        <f>+H21*G21</f>
        <v>0</v>
      </c>
      <c r="J21" s="491">
        <v>0.95</v>
      </c>
      <c r="K21" s="493">
        <v>5</v>
      </c>
      <c r="L21" s="488">
        <v>1</v>
      </c>
      <c r="N21" s="483">
        <f t="shared" ref="N21:N31" si="5">(1/K21)*J21*G21*(1/L21)*(1/1000)</f>
        <v>0</v>
      </c>
      <c r="Q21" s="484">
        <f>N21*O21</f>
        <v>0</v>
      </c>
    </row>
    <row r="22" spans="1:29" s="477" customFormat="1" ht="12.75" x14ac:dyDescent="0.25">
      <c r="A22" s="427" t="s">
        <v>467</v>
      </c>
      <c r="B22" s="331">
        <f>+'In-House Techniques'!B43</f>
        <v>0</v>
      </c>
      <c r="C22" s="331">
        <f>+'Reference Systems'!$AC$174</f>
        <v>2.85</v>
      </c>
      <c r="D22" s="477">
        <f t="shared" ref="D22:D31" si="6">+B22*C22</f>
        <v>0</v>
      </c>
      <c r="E22" s="482">
        <f>+'Reference Systems'!$AC$175</f>
        <v>6.2666666666666666</v>
      </c>
      <c r="F22" s="485">
        <f>+'Reference Systems'!$AC$176</f>
        <v>454.78723404255322</v>
      </c>
      <c r="G22" s="484">
        <f t="shared" ref="G22:G31" si="7">+B22*F22/100</f>
        <v>0</v>
      </c>
      <c r="H22" s="477">
        <v>0.69399999999999995</v>
      </c>
      <c r="I22" s="484">
        <f t="shared" ref="I22:I31" si="8">+H22*G22</f>
        <v>0</v>
      </c>
      <c r="J22" s="482">
        <v>0.95</v>
      </c>
      <c r="K22" s="492">
        <v>5</v>
      </c>
      <c r="L22" s="488">
        <v>1</v>
      </c>
      <c r="N22" s="483">
        <f t="shared" si="5"/>
        <v>0</v>
      </c>
      <c r="O22" s="492">
        <f>(308.53*1000)/20</f>
        <v>15426.5</v>
      </c>
      <c r="P22" s="492">
        <f>(477*1000)/20</f>
        <v>23850</v>
      </c>
      <c r="Q22" s="484">
        <f>N22*O22</f>
        <v>0</v>
      </c>
    </row>
    <row r="23" spans="1:29" s="477" customFormat="1" x14ac:dyDescent="0.25">
      <c r="A23" s="427" t="s">
        <v>468</v>
      </c>
      <c r="B23" s="331">
        <f>+'In-House Techniques'!B44</f>
        <v>0</v>
      </c>
      <c r="C23" s="331">
        <f>+'Reference Systems'!$AC$174</f>
        <v>2.85</v>
      </c>
      <c r="D23" s="477">
        <f t="shared" si="6"/>
        <v>0</v>
      </c>
      <c r="E23" s="482">
        <f>+'Reference Systems'!$AC$175</f>
        <v>6.2666666666666666</v>
      </c>
      <c r="F23" s="485">
        <f>+'Reference Systems'!$AC$176</f>
        <v>454.78723404255322</v>
      </c>
      <c r="G23" s="484">
        <f t="shared" si="7"/>
        <v>0</v>
      </c>
      <c r="H23" s="488">
        <v>0.69399999999999995</v>
      </c>
      <c r="I23" s="484">
        <f t="shared" si="8"/>
        <v>0</v>
      </c>
      <c r="J23" s="491">
        <v>0.95</v>
      </c>
      <c r="K23" s="493">
        <v>5</v>
      </c>
      <c r="L23" s="488">
        <v>1</v>
      </c>
      <c r="N23" s="492">
        <f t="shared" si="5"/>
        <v>0</v>
      </c>
      <c r="O23" s="492"/>
      <c r="P23" s="492"/>
      <c r="Q23" s="484">
        <f t="shared" ref="Q23:Q31" si="9">N23*O23</f>
        <v>0</v>
      </c>
      <c r="R23" s="339"/>
      <c r="S23" s="339"/>
    </row>
    <row r="24" spans="1:29" s="477" customFormat="1" x14ac:dyDescent="0.25">
      <c r="A24" s="427" t="s">
        <v>299</v>
      </c>
      <c r="B24" s="331">
        <f>+'In-House Techniques'!B45</f>
        <v>0</v>
      </c>
      <c r="C24" s="331">
        <f>+'Reference Systems'!$AC$174</f>
        <v>2.85</v>
      </c>
      <c r="D24" s="477">
        <f t="shared" si="6"/>
        <v>0</v>
      </c>
      <c r="E24" s="482">
        <f>+'Reference Systems'!$AC$175</f>
        <v>6.2666666666666666</v>
      </c>
      <c r="F24" s="485">
        <f>+'Reference Systems'!$AC$176</f>
        <v>454.78723404255322</v>
      </c>
      <c r="G24" s="484">
        <f t="shared" si="7"/>
        <v>0</v>
      </c>
      <c r="H24" s="477">
        <v>0.93400000000000005</v>
      </c>
      <c r="I24" s="484">
        <f t="shared" si="8"/>
        <v>0</v>
      </c>
      <c r="J24" s="482">
        <f>80%</f>
        <v>0.8</v>
      </c>
      <c r="K24" s="492">
        <v>3.02</v>
      </c>
      <c r="L24" s="492">
        <v>0.83333333333333337</v>
      </c>
      <c r="M24" s="497" t="s">
        <v>361</v>
      </c>
      <c r="N24" s="492">
        <f t="shared" si="5"/>
        <v>0</v>
      </c>
      <c r="O24" s="492">
        <f>0.47*10000</f>
        <v>4700</v>
      </c>
      <c r="P24" s="492">
        <f>4.1*10000</f>
        <v>41000</v>
      </c>
      <c r="Q24" s="484">
        <f t="shared" si="9"/>
        <v>0</v>
      </c>
      <c r="R24" s="339"/>
      <c r="S24" s="339"/>
    </row>
    <row r="25" spans="1:29" s="477" customFormat="1" x14ac:dyDescent="0.25">
      <c r="A25" s="427" t="s">
        <v>494</v>
      </c>
      <c r="B25" s="331">
        <f>+'In-House Techniques'!B46</f>
        <v>0</v>
      </c>
      <c r="C25" s="331">
        <f>+'Reference Systems'!$AC$174</f>
        <v>2.85</v>
      </c>
      <c r="D25" s="477">
        <f t="shared" si="6"/>
        <v>0</v>
      </c>
      <c r="E25" s="482">
        <f>+'Reference Systems'!$AC$175</f>
        <v>6.2666666666666666</v>
      </c>
      <c r="F25" s="485">
        <f>+'Reference Systems'!$AC$176</f>
        <v>454.78723404255322</v>
      </c>
      <c r="G25" s="484">
        <f t="shared" si="7"/>
        <v>0</v>
      </c>
      <c r="H25" s="488">
        <v>0.93400000000000005</v>
      </c>
      <c r="I25" s="484">
        <f t="shared" si="8"/>
        <v>0</v>
      </c>
      <c r="J25" s="491">
        <v>0.8</v>
      </c>
      <c r="K25" s="492">
        <v>3.02</v>
      </c>
      <c r="L25" s="492">
        <v>0.83333333333333337</v>
      </c>
      <c r="M25" s="497" t="s">
        <v>361</v>
      </c>
      <c r="N25" s="492">
        <f t="shared" si="5"/>
        <v>0</v>
      </c>
      <c r="Q25" s="484">
        <f t="shared" si="9"/>
        <v>0</v>
      </c>
      <c r="R25" s="339"/>
      <c r="S25" s="339"/>
    </row>
    <row r="26" spans="1:29" s="477" customFormat="1" x14ac:dyDescent="0.25">
      <c r="A26" s="427" t="s">
        <v>469</v>
      </c>
      <c r="B26" s="331">
        <f>+'In-House Techniques'!B47</f>
        <v>0</v>
      </c>
      <c r="C26" s="331">
        <f>+'Reference Systems'!$AC$174</f>
        <v>2.85</v>
      </c>
      <c r="D26" s="477">
        <f t="shared" si="6"/>
        <v>0</v>
      </c>
      <c r="E26" s="482">
        <f>+'Reference Systems'!$AC$175</f>
        <v>6.2666666666666666</v>
      </c>
      <c r="F26" s="485">
        <f>+'Reference Systems'!$AC$176</f>
        <v>454.78723404255322</v>
      </c>
      <c r="G26" s="484">
        <f t="shared" si="7"/>
        <v>0</v>
      </c>
      <c r="H26" s="488">
        <v>0.69399999999999995</v>
      </c>
      <c r="I26" s="484">
        <f t="shared" si="8"/>
        <v>0</v>
      </c>
      <c r="J26" s="491">
        <v>0.95</v>
      </c>
      <c r="K26" s="493">
        <v>5</v>
      </c>
      <c r="L26" s="488">
        <v>1</v>
      </c>
      <c r="N26" s="492">
        <f t="shared" si="5"/>
        <v>0</v>
      </c>
      <c r="Q26" s="484">
        <f t="shared" si="9"/>
        <v>0</v>
      </c>
      <c r="R26" s="339"/>
      <c r="S26" s="339"/>
    </row>
    <row r="27" spans="1:29" s="477" customFormat="1" x14ac:dyDescent="0.25">
      <c r="A27" s="427" t="s">
        <v>470</v>
      </c>
      <c r="B27" s="331">
        <f>+'In-House Techniques'!B48</f>
        <v>0</v>
      </c>
      <c r="C27" s="331">
        <f>+'Reference Systems'!$AC$174</f>
        <v>2.85</v>
      </c>
      <c r="D27" s="477">
        <f t="shared" si="6"/>
        <v>0</v>
      </c>
      <c r="E27" s="482">
        <f>+'Reference Systems'!$AC$175</f>
        <v>6.2666666666666666</v>
      </c>
      <c r="F27" s="485">
        <f>+'Reference Systems'!$AC$176</f>
        <v>454.78723404255322</v>
      </c>
      <c r="G27" s="484">
        <f t="shared" si="7"/>
        <v>0</v>
      </c>
      <c r="H27" s="488">
        <v>0.69399999999999995</v>
      </c>
      <c r="I27" s="484">
        <f t="shared" si="8"/>
        <v>0</v>
      </c>
      <c r="J27" s="491">
        <v>0.95</v>
      </c>
      <c r="K27" s="493">
        <v>5</v>
      </c>
      <c r="L27" s="488">
        <v>0.8</v>
      </c>
      <c r="N27" s="492">
        <f t="shared" si="5"/>
        <v>0</v>
      </c>
      <c r="Q27" s="484">
        <f t="shared" si="9"/>
        <v>0</v>
      </c>
      <c r="R27" s="339"/>
      <c r="S27" s="339"/>
    </row>
    <row r="28" spans="1:29" s="477" customFormat="1" x14ac:dyDescent="0.25">
      <c r="A28" s="427" t="s">
        <v>471</v>
      </c>
      <c r="B28" s="331">
        <f>+'In-House Techniques'!B49</f>
        <v>0</v>
      </c>
      <c r="C28" s="331">
        <f>+'Reference Systems'!$AC$174</f>
        <v>2.85</v>
      </c>
      <c r="D28" s="477">
        <f t="shared" si="6"/>
        <v>0</v>
      </c>
      <c r="E28" s="482">
        <f>+'Reference Systems'!$AC$175</f>
        <v>6.2666666666666666</v>
      </c>
      <c r="F28" s="485">
        <f>+'Reference Systems'!$AC$176</f>
        <v>454.78723404255322</v>
      </c>
      <c r="G28" s="484">
        <f t="shared" si="7"/>
        <v>0</v>
      </c>
      <c r="H28" s="488">
        <v>0.69399999999999995</v>
      </c>
      <c r="I28" s="484">
        <f t="shared" si="8"/>
        <v>0</v>
      </c>
      <c r="J28" s="491">
        <v>0.95</v>
      </c>
      <c r="K28" s="493">
        <v>5</v>
      </c>
      <c r="L28" s="488">
        <v>0.8</v>
      </c>
      <c r="N28" s="492">
        <f t="shared" si="5"/>
        <v>0</v>
      </c>
      <c r="Q28" s="484">
        <f t="shared" si="9"/>
        <v>0</v>
      </c>
      <c r="R28" s="339"/>
      <c r="S28" s="339"/>
    </row>
    <row r="29" spans="1:29" s="477" customFormat="1" x14ac:dyDescent="0.25">
      <c r="A29" s="427" t="s">
        <v>472</v>
      </c>
      <c r="B29" s="331">
        <f>+'In-House Techniques'!B50</f>
        <v>0</v>
      </c>
      <c r="C29" s="331">
        <f>+'Reference Systems'!$AC$174</f>
        <v>2.85</v>
      </c>
      <c r="D29" s="477">
        <f t="shared" si="6"/>
        <v>0</v>
      </c>
      <c r="E29" s="482">
        <f>+'Reference Systems'!$AC$175</f>
        <v>6.2666666666666666</v>
      </c>
      <c r="F29" s="485">
        <f>+'Reference Systems'!$AC$176</f>
        <v>454.78723404255322</v>
      </c>
      <c r="G29" s="484">
        <f t="shared" si="7"/>
        <v>0</v>
      </c>
      <c r="H29" s="488">
        <v>0.69399999999999995</v>
      </c>
      <c r="I29" s="484">
        <f t="shared" si="8"/>
        <v>0</v>
      </c>
      <c r="J29" s="491">
        <v>0.95</v>
      </c>
      <c r="K29" s="493">
        <v>5</v>
      </c>
      <c r="L29" s="488">
        <v>1</v>
      </c>
      <c r="N29" s="492">
        <f t="shared" si="5"/>
        <v>0</v>
      </c>
      <c r="Q29" s="484">
        <f t="shared" si="9"/>
        <v>0</v>
      </c>
      <c r="R29" s="339"/>
      <c r="S29" s="339"/>
    </row>
    <row r="30" spans="1:29" s="477" customFormat="1" x14ac:dyDescent="0.25">
      <c r="A30" s="427" t="s">
        <v>473</v>
      </c>
      <c r="B30" s="331">
        <f>+'In-House Techniques'!B51</f>
        <v>0</v>
      </c>
      <c r="C30" s="331">
        <f>+'Reference Systems'!$AC$174</f>
        <v>2.85</v>
      </c>
      <c r="D30" s="477">
        <f t="shared" si="6"/>
        <v>0</v>
      </c>
      <c r="E30" s="482">
        <f>+'Reference Systems'!$AC$175</f>
        <v>6.2666666666666666</v>
      </c>
      <c r="F30" s="485">
        <f>+'Reference Systems'!$AC$176</f>
        <v>454.78723404255322</v>
      </c>
      <c r="G30" s="484">
        <f t="shared" si="7"/>
        <v>0</v>
      </c>
      <c r="H30" s="488">
        <v>0.69399999999999995</v>
      </c>
      <c r="I30" s="484">
        <f t="shared" si="8"/>
        <v>0</v>
      </c>
      <c r="J30" s="491">
        <v>0.95</v>
      </c>
      <c r="K30" s="493">
        <v>5</v>
      </c>
      <c r="L30" s="488">
        <v>1</v>
      </c>
      <c r="N30" s="492">
        <f t="shared" si="5"/>
        <v>0</v>
      </c>
      <c r="Q30" s="484">
        <f t="shared" si="9"/>
        <v>0</v>
      </c>
      <c r="R30" s="339"/>
      <c r="S30" s="339"/>
    </row>
    <row r="31" spans="1:29" s="477" customFormat="1" ht="12.75" x14ac:dyDescent="0.25">
      <c r="A31" s="427" t="s">
        <v>461</v>
      </c>
      <c r="B31" s="331">
        <f>+'In-House Techniques'!B52</f>
        <v>0</v>
      </c>
      <c r="C31" s="331">
        <f>+'Reference Systems'!$AC$174</f>
        <v>2.85</v>
      </c>
      <c r="D31" s="477">
        <f t="shared" si="6"/>
        <v>0</v>
      </c>
      <c r="E31" s="482">
        <f>+'Reference Systems'!$AC$175</f>
        <v>6.2666666666666666</v>
      </c>
      <c r="F31" s="485">
        <f>+'Reference Systems'!$AC$176</f>
        <v>454.78723404255322</v>
      </c>
      <c r="G31" s="484">
        <f t="shared" si="7"/>
        <v>0</v>
      </c>
      <c r="H31" s="488">
        <v>0.69399999999999995</v>
      </c>
      <c r="I31" s="484">
        <f t="shared" si="8"/>
        <v>0</v>
      </c>
      <c r="J31" s="491">
        <v>0.95</v>
      </c>
      <c r="K31" s="493">
        <v>5</v>
      </c>
      <c r="L31" s="488">
        <v>1</v>
      </c>
      <c r="N31" s="492">
        <f t="shared" si="5"/>
        <v>0</v>
      </c>
      <c r="Q31" s="484">
        <f t="shared" si="9"/>
        <v>0</v>
      </c>
    </row>
    <row r="32" spans="1:29" s="477" customFormat="1" ht="12.75" x14ac:dyDescent="0.25">
      <c r="A32" s="427"/>
      <c r="B32" s="331"/>
      <c r="C32" s="331"/>
      <c r="E32" s="482"/>
      <c r="F32" s="485"/>
      <c r="G32" s="484"/>
      <c r="I32" s="484"/>
      <c r="L32" s="488"/>
      <c r="N32" s="492"/>
    </row>
    <row r="33" spans="1:29" s="477" customFormat="1" ht="12.75" x14ac:dyDescent="0.25">
      <c r="A33" s="480" t="s">
        <v>478</v>
      </c>
      <c r="B33" s="481">
        <f>SUM(B21:B32)</f>
        <v>0</v>
      </c>
      <c r="C33" s="331"/>
      <c r="D33" s="481">
        <f>SUM(D21:D32)</f>
        <v>0</v>
      </c>
      <c r="E33" s="331"/>
      <c r="G33" s="486">
        <f>SUM(G21:G32)</f>
        <v>0</v>
      </c>
      <c r="I33" s="486">
        <f>SUM(I21:I32)</f>
        <v>0</v>
      </c>
      <c r="Q33" s="486">
        <f>SUM(Q21:Q32)</f>
        <v>0</v>
      </c>
    </row>
    <row r="34" spans="1:29" s="477" customFormat="1" ht="24" x14ac:dyDescent="0.25">
      <c r="A34" s="331"/>
      <c r="B34" s="478"/>
      <c r="C34" s="331"/>
      <c r="H34" s="487" t="s">
        <v>480</v>
      </c>
      <c r="J34" s="487" t="s">
        <v>480</v>
      </c>
      <c r="K34" s="487" t="s">
        <v>480</v>
      </c>
    </row>
    <row r="35" spans="1:29" s="305" customFormat="1" x14ac:dyDescent="0.25">
      <c r="K35"/>
    </row>
    <row r="36" spans="1:29" s="339" customFormat="1" x14ac:dyDescent="0.25">
      <c r="I36" s="305"/>
      <c r="J36" s="305"/>
      <c r="K36"/>
    </row>
    <row r="37" spans="1:29" s="476" customFormat="1" ht="72" x14ac:dyDescent="0.25">
      <c r="A37" s="498" t="s">
        <v>512</v>
      </c>
      <c r="B37" s="474" t="s">
        <v>475</v>
      </c>
      <c r="C37" s="475" t="s">
        <v>476</v>
      </c>
      <c r="D37" s="479" t="s">
        <v>477</v>
      </c>
      <c r="E37" s="479" t="s">
        <v>479</v>
      </c>
      <c r="F37" s="479" t="s">
        <v>492</v>
      </c>
      <c r="G37" s="479" t="s">
        <v>493</v>
      </c>
      <c r="H37" s="479" t="s">
        <v>485</v>
      </c>
      <c r="I37" s="479" t="s">
        <v>486</v>
      </c>
      <c r="J37" s="479" t="s">
        <v>489</v>
      </c>
      <c r="K37" s="479" t="s">
        <v>487</v>
      </c>
      <c r="L37" s="479" t="s">
        <v>496</v>
      </c>
      <c r="M37" s="479" t="s">
        <v>495</v>
      </c>
      <c r="N37" s="479" t="s">
        <v>488</v>
      </c>
      <c r="O37" s="479" t="s">
        <v>497</v>
      </c>
      <c r="P37" s="479" t="s">
        <v>498</v>
      </c>
      <c r="Q37" s="479" t="s">
        <v>499</v>
      </c>
      <c r="R37" s="479" t="s">
        <v>500</v>
      </c>
      <c r="S37" s="479" t="s">
        <v>501</v>
      </c>
      <c r="T37" s="479" t="s">
        <v>502</v>
      </c>
      <c r="U37" s="479" t="s">
        <v>503</v>
      </c>
      <c r="V37" s="479" t="s">
        <v>504</v>
      </c>
      <c r="W37" s="479" t="s">
        <v>505</v>
      </c>
      <c r="X37" s="479" t="s">
        <v>506</v>
      </c>
      <c r="Y37" s="479" t="s">
        <v>507</v>
      </c>
      <c r="Z37" s="479" t="s">
        <v>508</v>
      </c>
      <c r="AA37" s="479" t="s">
        <v>509</v>
      </c>
      <c r="AB37" s="479" t="s">
        <v>510</v>
      </c>
      <c r="AC37" s="479" t="s">
        <v>511</v>
      </c>
    </row>
    <row r="38" spans="1:29" s="477" customFormat="1" ht="12.75" x14ac:dyDescent="0.25">
      <c r="A38" s="427" t="s">
        <v>466</v>
      </c>
      <c r="B38" s="331">
        <f>+'In-House Techniques'!B61</f>
        <v>0</v>
      </c>
      <c r="C38" s="331">
        <f>+'Reference Systems'!$AC$174</f>
        <v>2.85</v>
      </c>
      <c r="D38" s="477">
        <f>+B38*C38</f>
        <v>0</v>
      </c>
      <c r="E38" s="482">
        <f>+'Reference Systems'!$AC$175</f>
        <v>6.2666666666666666</v>
      </c>
      <c r="F38" s="485">
        <f>+'Reference Systems'!$AC$176</f>
        <v>454.78723404255322</v>
      </c>
      <c r="G38" s="484">
        <f>+B38*F38/100</f>
        <v>0</v>
      </c>
      <c r="H38" s="488">
        <v>0.69399999999999995</v>
      </c>
      <c r="I38" s="484">
        <f>+H38*G38</f>
        <v>0</v>
      </c>
      <c r="J38" s="491">
        <v>0.95</v>
      </c>
      <c r="K38" s="493">
        <v>5</v>
      </c>
      <c r="L38" s="488">
        <v>1</v>
      </c>
      <c r="N38" s="483">
        <f t="shared" ref="N38:N48" si="10">(1/K38)*J38*G38*(1/L38)*(1/1000)</f>
        <v>0</v>
      </c>
      <c r="Q38" s="484">
        <f>+O38*N38</f>
        <v>0</v>
      </c>
    </row>
    <row r="39" spans="1:29" s="477" customFormat="1" ht="12.75" x14ac:dyDescent="0.25">
      <c r="A39" s="427" t="s">
        <v>467</v>
      </c>
      <c r="B39" s="331">
        <f>+'In-House Techniques'!B62</f>
        <v>0</v>
      </c>
      <c r="C39" s="331">
        <f>+'Reference Systems'!$AC$174</f>
        <v>2.85</v>
      </c>
      <c r="D39" s="477">
        <f t="shared" ref="D39:D49" si="11">+B39*C39</f>
        <v>0</v>
      </c>
      <c r="E39" s="482">
        <f>+'Reference Systems'!$AC$175</f>
        <v>6.2666666666666666</v>
      </c>
      <c r="F39" s="485">
        <f>+'Reference Systems'!$AC$176</f>
        <v>454.78723404255322</v>
      </c>
      <c r="G39" s="484">
        <f t="shared" ref="G39:G49" si="12">+B39*F39/100</f>
        <v>0</v>
      </c>
      <c r="H39" s="477">
        <v>0.69399999999999995</v>
      </c>
      <c r="I39" s="484">
        <f t="shared" ref="I39:I49" si="13">+H39*G39</f>
        <v>0</v>
      </c>
      <c r="J39" s="482">
        <v>0.95</v>
      </c>
      <c r="K39" s="492">
        <v>5</v>
      </c>
      <c r="L39" s="488">
        <v>1</v>
      </c>
      <c r="N39" s="483">
        <f t="shared" si="10"/>
        <v>0</v>
      </c>
      <c r="O39" s="492">
        <f>(308.53*1000)/20</f>
        <v>15426.5</v>
      </c>
      <c r="P39" s="492">
        <f>(477*1000)/20</f>
        <v>23850</v>
      </c>
      <c r="Q39" s="484">
        <f>N39*O39</f>
        <v>0</v>
      </c>
    </row>
    <row r="40" spans="1:29" s="477" customFormat="1" x14ac:dyDescent="0.25">
      <c r="A40" s="427" t="s">
        <v>468</v>
      </c>
      <c r="B40" s="331">
        <f>+'In-House Techniques'!B63</f>
        <v>0</v>
      </c>
      <c r="C40" s="331">
        <f>+'Reference Systems'!$AC$174</f>
        <v>2.85</v>
      </c>
      <c r="D40" s="477">
        <f t="shared" si="11"/>
        <v>0</v>
      </c>
      <c r="E40" s="482">
        <f>+'Reference Systems'!$AC$175</f>
        <v>6.2666666666666666</v>
      </c>
      <c r="F40" s="485">
        <f>+'Reference Systems'!$AC$176</f>
        <v>454.78723404255322</v>
      </c>
      <c r="G40" s="484">
        <f t="shared" si="12"/>
        <v>0</v>
      </c>
      <c r="H40" s="488">
        <v>0.69399999999999995</v>
      </c>
      <c r="I40" s="484">
        <f t="shared" si="13"/>
        <v>0</v>
      </c>
      <c r="J40" s="491">
        <v>0.95</v>
      </c>
      <c r="K40" s="493">
        <v>5</v>
      </c>
      <c r="L40" s="488">
        <v>1</v>
      </c>
      <c r="N40" s="492">
        <f t="shared" si="10"/>
        <v>0</v>
      </c>
      <c r="O40" s="492"/>
      <c r="P40" s="492"/>
      <c r="Q40" s="484">
        <f>+O40*N40</f>
        <v>0</v>
      </c>
      <c r="R40" s="339"/>
      <c r="S40" s="339"/>
    </row>
    <row r="41" spans="1:29" s="477" customFormat="1" x14ac:dyDescent="0.25">
      <c r="A41" s="427" t="s">
        <v>299</v>
      </c>
      <c r="B41" s="331">
        <f>+'In-House Techniques'!B64</f>
        <v>0</v>
      </c>
      <c r="C41" s="331">
        <f>+'Reference Systems'!$AC$174</f>
        <v>2.85</v>
      </c>
      <c r="D41" s="477">
        <f t="shared" si="11"/>
        <v>0</v>
      </c>
      <c r="E41" s="482">
        <f>+'Reference Systems'!$AC$175</f>
        <v>6.2666666666666666</v>
      </c>
      <c r="F41" s="485">
        <f>+'Reference Systems'!$AC$176</f>
        <v>454.78723404255322</v>
      </c>
      <c r="G41" s="484">
        <f t="shared" si="12"/>
        <v>0</v>
      </c>
      <c r="H41" s="477">
        <v>0.93400000000000005</v>
      </c>
      <c r="I41" s="484">
        <f t="shared" si="13"/>
        <v>0</v>
      </c>
      <c r="J41" s="482">
        <f>80%</f>
        <v>0.8</v>
      </c>
      <c r="K41" s="492">
        <v>3.02</v>
      </c>
      <c r="L41" s="492">
        <v>0.83333333333333337</v>
      </c>
      <c r="M41" s="497" t="s">
        <v>361</v>
      </c>
      <c r="N41" s="492">
        <f t="shared" si="10"/>
        <v>0</v>
      </c>
      <c r="O41" s="492">
        <f>0.47*10000</f>
        <v>4700</v>
      </c>
      <c r="P41" s="492">
        <f>4.1*10000</f>
        <v>41000</v>
      </c>
      <c r="Q41" s="484">
        <f>N41*O41</f>
        <v>0</v>
      </c>
      <c r="R41" s="339"/>
      <c r="S41" s="339"/>
    </row>
    <row r="42" spans="1:29" s="477" customFormat="1" x14ac:dyDescent="0.25">
      <c r="A42" s="427" t="s">
        <v>494</v>
      </c>
      <c r="B42" s="331">
        <f>+'In-House Techniques'!B65</f>
        <v>0</v>
      </c>
      <c r="C42" s="331">
        <f>+'Reference Systems'!$AC$174</f>
        <v>2.85</v>
      </c>
      <c r="D42" s="477">
        <f t="shared" si="11"/>
        <v>0</v>
      </c>
      <c r="E42" s="482">
        <f>+'Reference Systems'!$AC$175</f>
        <v>6.2666666666666666</v>
      </c>
      <c r="F42" s="485">
        <f>+'Reference Systems'!$AC$176</f>
        <v>454.78723404255322</v>
      </c>
      <c r="G42" s="484">
        <f t="shared" si="12"/>
        <v>0</v>
      </c>
      <c r="H42" s="488">
        <v>0.93400000000000005</v>
      </c>
      <c r="I42" s="484">
        <f t="shared" si="13"/>
        <v>0</v>
      </c>
      <c r="J42" s="491">
        <v>0.8</v>
      </c>
      <c r="K42" s="492">
        <v>3.02</v>
      </c>
      <c r="L42" s="492">
        <v>0.83333333333333337</v>
      </c>
      <c r="M42" s="497" t="s">
        <v>361</v>
      </c>
      <c r="N42" s="492">
        <f t="shared" si="10"/>
        <v>0</v>
      </c>
      <c r="Q42" s="484">
        <f t="shared" ref="Q42:Q48" si="14">+O42*N42</f>
        <v>0</v>
      </c>
      <c r="R42" s="339"/>
      <c r="S42" s="339"/>
    </row>
    <row r="43" spans="1:29" s="477" customFormat="1" x14ac:dyDescent="0.25">
      <c r="A43" s="427" t="s">
        <v>469</v>
      </c>
      <c r="B43" s="331">
        <f>+'In-House Techniques'!B66</f>
        <v>0</v>
      </c>
      <c r="C43" s="331">
        <f>+'Reference Systems'!$AC$174</f>
        <v>2.85</v>
      </c>
      <c r="D43" s="477">
        <f t="shared" si="11"/>
        <v>0</v>
      </c>
      <c r="E43" s="482">
        <f>+'Reference Systems'!$AC$175</f>
        <v>6.2666666666666666</v>
      </c>
      <c r="F43" s="485">
        <f>+'Reference Systems'!$AC$176</f>
        <v>454.78723404255322</v>
      </c>
      <c r="G43" s="484">
        <f t="shared" si="12"/>
        <v>0</v>
      </c>
      <c r="H43" s="488">
        <v>0.69399999999999995</v>
      </c>
      <c r="I43" s="484">
        <f t="shared" si="13"/>
        <v>0</v>
      </c>
      <c r="J43" s="491">
        <v>0.95</v>
      </c>
      <c r="K43" s="493">
        <v>5</v>
      </c>
      <c r="L43" s="488">
        <v>1</v>
      </c>
      <c r="N43" s="492">
        <f t="shared" si="10"/>
        <v>0</v>
      </c>
      <c r="Q43" s="484">
        <f t="shared" si="14"/>
        <v>0</v>
      </c>
      <c r="R43" s="339"/>
      <c r="S43" s="339"/>
    </row>
    <row r="44" spans="1:29" s="477" customFormat="1" x14ac:dyDescent="0.25">
      <c r="A44" s="427" t="s">
        <v>470</v>
      </c>
      <c r="B44" s="331">
        <f>+'In-House Techniques'!B67</f>
        <v>0</v>
      </c>
      <c r="C44" s="331">
        <f>+'Reference Systems'!$AC$174</f>
        <v>2.85</v>
      </c>
      <c r="D44" s="477">
        <f t="shared" si="11"/>
        <v>0</v>
      </c>
      <c r="E44" s="482">
        <f>+'Reference Systems'!$AC$175</f>
        <v>6.2666666666666666</v>
      </c>
      <c r="F44" s="485">
        <f>+'Reference Systems'!$AC$176</f>
        <v>454.78723404255322</v>
      </c>
      <c r="G44" s="484">
        <f t="shared" si="12"/>
        <v>0</v>
      </c>
      <c r="H44" s="488">
        <v>0.69399999999999995</v>
      </c>
      <c r="I44" s="484">
        <f t="shared" si="13"/>
        <v>0</v>
      </c>
      <c r="J44" s="491">
        <v>0.95</v>
      </c>
      <c r="K44" s="493">
        <v>5</v>
      </c>
      <c r="L44" s="488">
        <v>0.8</v>
      </c>
      <c r="N44" s="492">
        <f t="shared" si="10"/>
        <v>0</v>
      </c>
      <c r="Q44" s="484">
        <f t="shared" si="14"/>
        <v>0</v>
      </c>
      <c r="R44" s="339"/>
      <c r="S44" s="339"/>
    </row>
    <row r="45" spans="1:29" s="477" customFormat="1" x14ac:dyDescent="0.25">
      <c r="A45" s="427" t="s">
        <v>471</v>
      </c>
      <c r="B45" s="331">
        <f>+'In-House Techniques'!B68</f>
        <v>0</v>
      </c>
      <c r="C45" s="331">
        <f>+'Reference Systems'!$AC$174</f>
        <v>2.85</v>
      </c>
      <c r="D45" s="477">
        <f t="shared" si="11"/>
        <v>0</v>
      </c>
      <c r="E45" s="482">
        <f>+'Reference Systems'!$AC$175</f>
        <v>6.2666666666666666</v>
      </c>
      <c r="F45" s="485">
        <f>+'Reference Systems'!$AC$176</f>
        <v>454.78723404255322</v>
      </c>
      <c r="G45" s="484">
        <f t="shared" si="12"/>
        <v>0</v>
      </c>
      <c r="H45" s="488">
        <v>0.69399999999999995</v>
      </c>
      <c r="I45" s="484">
        <f t="shared" si="13"/>
        <v>0</v>
      </c>
      <c r="J45" s="491">
        <v>0.95</v>
      </c>
      <c r="K45" s="493">
        <v>5</v>
      </c>
      <c r="L45" s="488">
        <v>0.8</v>
      </c>
      <c r="N45" s="492">
        <f t="shared" si="10"/>
        <v>0</v>
      </c>
      <c r="Q45" s="484">
        <f t="shared" si="14"/>
        <v>0</v>
      </c>
      <c r="R45" s="339"/>
      <c r="S45" s="339"/>
    </row>
    <row r="46" spans="1:29" s="477" customFormat="1" x14ac:dyDescent="0.25">
      <c r="A46" s="427" t="s">
        <v>472</v>
      </c>
      <c r="B46" s="331">
        <f>+'In-House Techniques'!B69</f>
        <v>0</v>
      </c>
      <c r="C46" s="331">
        <f>+'Reference Systems'!$AC$174</f>
        <v>2.85</v>
      </c>
      <c r="D46" s="477">
        <f t="shared" si="11"/>
        <v>0</v>
      </c>
      <c r="E46" s="482">
        <f>+'Reference Systems'!$AC$175</f>
        <v>6.2666666666666666</v>
      </c>
      <c r="F46" s="485">
        <f>+'Reference Systems'!$AC$176</f>
        <v>454.78723404255322</v>
      </c>
      <c r="G46" s="484">
        <f t="shared" si="12"/>
        <v>0</v>
      </c>
      <c r="H46" s="488">
        <v>0.69399999999999995</v>
      </c>
      <c r="I46" s="484">
        <f t="shared" si="13"/>
        <v>0</v>
      </c>
      <c r="J46" s="491">
        <v>0.95</v>
      </c>
      <c r="K46" s="493">
        <v>5</v>
      </c>
      <c r="L46" s="488">
        <v>1</v>
      </c>
      <c r="N46" s="492">
        <f t="shared" si="10"/>
        <v>0</v>
      </c>
      <c r="Q46" s="484">
        <f t="shared" si="14"/>
        <v>0</v>
      </c>
      <c r="R46" s="339"/>
      <c r="S46" s="339"/>
    </row>
    <row r="47" spans="1:29" s="477" customFormat="1" x14ac:dyDescent="0.25">
      <c r="A47" s="427" t="s">
        <v>473</v>
      </c>
      <c r="B47" s="331">
        <f>+'In-House Techniques'!B70</f>
        <v>0</v>
      </c>
      <c r="C47" s="331">
        <f>+'Reference Systems'!$AC$174</f>
        <v>2.85</v>
      </c>
      <c r="D47" s="477">
        <f t="shared" si="11"/>
        <v>0</v>
      </c>
      <c r="E47" s="482">
        <f>+'Reference Systems'!$AC$175</f>
        <v>6.2666666666666666</v>
      </c>
      <c r="F47" s="485">
        <f>+'Reference Systems'!$AC$176</f>
        <v>454.78723404255322</v>
      </c>
      <c r="G47" s="484">
        <f t="shared" si="12"/>
        <v>0</v>
      </c>
      <c r="H47" s="488">
        <v>0.69399999999999995</v>
      </c>
      <c r="I47" s="484">
        <f t="shared" si="13"/>
        <v>0</v>
      </c>
      <c r="J47" s="491">
        <v>0.95</v>
      </c>
      <c r="K47" s="493">
        <v>5</v>
      </c>
      <c r="L47" s="488">
        <v>1</v>
      </c>
      <c r="N47" s="492">
        <f t="shared" si="10"/>
        <v>0</v>
      </c>
      <c r="Q47" s="484">
        <f t="shared" si="14"/>
        <v>0</v>
      </c>
      <c r="R47" s="339"/>
      <c r="S47" s="339"/>
    </row>
    <row r="48" spans="1:29" s="477" customFormat="1" ht="12.75" x14ac:dyDescent="0.25">
      <c r="A48" s="427" t="s">
        <v>461</v>
      </c>
      <c r="B48" s="331">
        <f>+'In-House Techniques'!B71</f>
        <v>0</v>
      </c>
      <c r="C48" s="331">
        <f>+'Reference Systems'!$AC$174</f>
        <v>2.85</v>
      </c>
      <c r="D48" s="477">
        <f t="shared" si="11"/>
        <v>0</v>
      </c>
      <c r="E48" s="482">
        <f>+'Reference Systems'!$AC$175</f>
        <v>6.2666666666666666</v>
      </c>
      <c r="F48" s="485">
        <f>+'Reference Systems'!$AC$176</f>
        <v>454.78723404255322</v>
      </c>
      <c r="G48" s="484">
        <f t="shared" si="12"/>
        <v>0</v>
      </c>
      <c r="H48" s="488">
        <v>0.69399999999999995</v>
      </c>
      <c r="I48" s="484">
        <f t="shared" si="13"/>
        <v>0</v>
      </c>
      <c r="J48" s="491">
        <v>0.95</v>
      </c>
      <c r="K48" s="493">
        <v>5</v>
      </c>
      <c r="L48" s="488">
        <v>1</v>
      </c>
      <c r="N48" s="492">
        <f t="shared" si="10"/>
        <v>0</v>
      </c>
      <c r="Q48" s="484">
        <f t="shared" si="14"/>
        <v>0</v>
      </c>
    </row>
    <row r="49" spans="1:17" s="477" customFormat="1" ht="12.75" x14ac:dyDescent="0.25">
      <c r="A49" s="427" t="s">
        <v>474</v>
      </c>
      <c r="B49" s="331">
        <f>+'In-House Techniques'!B72</f>
        <v>0</v>
      </c>
      <c r="C49" s="331">
        <f>+'Reference Systems'!$AC$174</f>
        <v>2.85</v>
      </c>
      <c r="D49" s="477">
        <f t="shared" si="11"/>
        <v>0</v>
      </c>
      <c r="E49" s="482">
        <f>+'Reference Systems'!$AC$175</f>
        <v>6.2666666666666666</v>
      </c>
      <c r="F49" s="485">
        <f>+'Reference Systems'!$AC$176</f>
        <v>454.78723404255322</v>
      </c>
      <c r="G49" s="484">
        <f t="shared" si="12"/>
        <v>0</v>
      </c>
      <c r="I49" s="484">
        <f t="shared" si="13"/>
        <v>0</v>
      </c>
      <c r="L49" s="488">
        <v>1</v>
      </c>
      <c r="N49" s="492"/>
    </row>
    <row r="50" spans="1:17" s="477" customFormat="1" ht="12.75" x14ac:dyDescent="0.25">
      <c r="A50" s="480" t="s">
        <v>478</v>
      </c>
      <c r="B50" s="481">
        <f>SUM(B38:B49)</f>
        <v>0</v>
      </c>
      <c r="C50" s="331"/>
      <c r="D50" s="481">
        <f>SUM(D38:D49)</f>
        <v>0</v>
      </c>
      <c r="E50" s="331"/>
      <c r="G50" s="486">
        <f>SUM(G38:G49)</f>
        <v>0</v>
      </c>
      <c r="I50" s="486">
        <f>SUM(I38:I49)</f>
        <v>0</v>
      </c>
      <c r="Q50" s="486">
        <f>SUM(Q38:Q49)</f>
        <v>0</v>
      </c>
    </row>
    <row r="51" spans="1:17" s="477" customFormat="1" ht="24" x14ac:dyDescent="0.25">
      <c r="A51" s="331"/>
      <c r="B51" s="478"/>
      <c r="C51" s="331"/>
      <c r="H51" s="487" t="s">
        <v>480</v>
      </c>
      <c r="J51" s="487" t="s">
        <v>480</v>
      </c>
      <c r="K51" s="487" t="s">
        <v>480</v>
      </c>
    </row>
    <row r="53" spans="1:17" x14ac:dyDescent="0.25">
      <c r="A53" s="502"/>
      <c r="B53" s="502"/>
      <c r="C53" s="502"/>
      <c r="D53" s="502"/>
    </row>
    <row r="54" spans="1:17" x14ac:dyDescent="0.25">
      <c r="A54" s="502"/>
      <c r="B54" s="502"/>
      <c r="C54" s="502"/>
      <c r="D54" s="502"/>
    </row>
    <row r="55" spans="1:17" x14ac:dyDescent="0.25">
      <c r="A55" s="502"/>
      <c r="B55" s="502"/>
      <c r="C55" s="502"/>
      <c r="D55" s="502"/>
    </row>
    <row r="56" spans="1:17" ht="15.75" x14ac:dyDescent="0.25">
      <c r="A56" s="508">
        <f>'Report &amp; Results '!H112</f>
        <v>35.155466851895142</v>
      </c>
      <c r="B56" s="504" t="s">
        <v>438</v>
      </c>
      <c r="C56" s="502"/>
      <c r="D56" s="502"/>
    </row>
    <row r="57" spans="1:17" x14ac:dyDescent="0.25">
      <c r="A57" s="502"/>
      <c r="B57" s="502"/>
      <c r="C57" s="502"/>
      <c r="D57" s="502"/>
    </row>
    <row r="58" spans="1:17" x14ac:dyDescent="0.25">
      <c r="A58" s="502"/>
      <c r="B58" s="502"/>
      <c r="C58" s="502"/>
      <c r="D58" s="502"/>
    </row>
    <row r="59" spans="1:17" x14ac:dyDescent="0.25">
      <c r="A59" s="502"/>
      <c r="B59" s="502"/>
      <c r="C59" s="502"/>
      <c r="D59" s="502"/>
    </row>
    <row r="60" spans="1:17" x14ac:dyDescent="0.25">
      <c r="A60" s="502"/>
      <c r="B60" s="502"/>
      <c r="C60" s="502"/>
      <c r="D60" s="502"/>
    </row>
    <row r="61" spans="1:17" x14ac:dyDescent="0.25">
      <c r="A61" s="502"/>
      <c r="B61" s="502"/>
      <c r="C61" s="502"/>
      <c r="D61" s="502"/>
    </row>
    <row r="62" spans="1:17" x14ac:dyDescent="0.25">
      <c r="A62" s="502"/>
      <c r="B62" s="502"/>
      <c r="C62" s="502"/>
      <c r="D62" s="502"/>
    </row>
    <row r="63" spans="1:17" x14ac:dyDescent="0.25">
      <c r="A63" s="502"/>
      <c r="B63" s="502"/>
      <c r="C63" s="502"/>
      <c r="D63" s="502"/>
    </row>
    <row r="64" spans="1:17" x14ac:dyDescent="0.25">
      <c r="A64" s="502"/>
      <c r="B64" s="502"/>
      <c r="C64" s="502"/>
      <c r="D64" s="502"/>
    </row>
    <row r="65" spans="1:4" x14ac:dyDescent="0.25">
      <c r="A65" s="502"/>
      <c r="B65" s="502"/>
      <c r="C65" s="502"/>
      <c r="D65" s="502"/>
    </row>
    <row r="66" spans="1:4" x14ac:dyDescent="0.25">
      <c r="A66" s="502"/>
      <c r="B66" s="502"/>
      <c r="C66" s="502"/>
      <c r="D66" s="502"/>
    </row>
    <row r="67" spans="1:4" x14ac:dyDescent="0.25">
      <c r="A67" s="502"/>
      <c r="B67" s="502"/>
      <c r="C67" s="502"/>
      <c r="D67" s="502"/>
    </row>
    <row r="68" spans="1:4" x14ac:dyDescent="0.25">
      <c r="A68" s="502"/>
      <c r="B68" s="502"/>
      <c r="C68" s="502"/>
      <c r="D68" s="502"/>
    </row>
    <row r="69" spans="1:4" x14ac:dyDescent="0.25">
      <c r="A69" s="502"/>
      <c r="B69" s="502"/>
      <c r="C69" s="502"/>
      <c r="D69" s="502"/>
    </row>
    <row r="70" spans="1:4" x14ac:dyDescent="0.25">
      <c r="A70" s="502"/>
      <c r="B70" s="502"/>
      <c r="C70" s="502"/>
      <c r="D70" s="502"/>
    </row>
    <row r="71" spans="1:4" x14ac:dyDescent="0.25">
      <c r="A71" s="502"/>
      <c r="B71" s="502"/>
      <c r="C71" s="502"/>
      <c r="D71" s="502"/>
    </row>
  </sheetData>
  <pageMargins left="0.7" right="0.7" top="0.75" bottom="0.75" header="0.3" footer="0.3"/>
  <pageSetup paperSize="9" orientation="portrait" horizontalDpi="1200" verticalDpi="12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33"/>
  <sheetViews>
    <sheetView zoomScaleNormal="100" workbookViewId="0">
      <selection activeCell="L26" sqref="L26"/>
    </sheetView>
  </sheetViews>
  <sheetFormatPr defaultRowHeight="15" x14ac:dyDescent="0.25"/>
  <cols>
    <col min="1" max="16384" width="9.140625" style="502"/>
  </cols>
  <sheetData>
    <row r="3" spans="3:13" ht="15.75" x14ac:dyDescent="0.25">
      <c r="C3" s="503">
        <f>+'Report &amp; Results '!H96</f>
        <v>-0.49568651838908162</v>
      </c>
      <c r="D3" s="504" t="s">
        <v>438</v>
      </c>
    </row>
    <row r="4" spans="3:13" ht="15.75" x14ac:dyDescent="0.25">
      <c r="J4" s="505">
        <f>+'Report &amp; Results '!$H$117</f>
        <v>0.22083951494434029</v>
      </c>
      <c r="K4" s="506" t="s">
        <v>438</v>
      </c>
    </row>
    <row r="7" spans="3:13" ht="15.75" x14ac:dyDescent="0.25">
      <c r="L7" s="505">
        <f>+'Report &amp; Results '!$H$122</f>
        <v>0</v>
      </c>
      <c r="M7" s="506" t="s">
        <v>438</v>
      </c>
    </row>
    <row r="16" spans="3:13" ht="15.75" x14ac:dyDescent="0.25">
      <c r="D16" s="507">
        <f>+'Calculations - Techn'!P89-'Calculations - Ref system'!P81</f>
        <v>35.155466851895142</v>
      </c>
      <c r="E16" s="504" t="s">
        <v>438</v>
      </c>
    </row>
    <row r="33" spans="4:5" ht="15.75" x14ac:dyDescent="0.25">
      <c r="D33" s="508"/>
      <c r="E33" s="504"/>
    </row>
  </sheetData>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C235"/>
  <sheetViews>
    <sheetView showWhiteSpace="0" zoomScaleNormal="100" zoomScaleSheetLayoutView="130" zoomScalePageLayoutView="85" workbookViewId="0">
      <pane ySplit="1" topLeftCell="A2" activePane="bottomLeft" state="frozen"/>
      <selection pane="bottomLeft"/>
    </sheetView>
  </sheetViews>
  <sheetFormatPr defaultRowHeight="15" x14ac:dyDescent="0.25"/>
  <cols>
    <col min="1" max="1" width="4.5703125" style="502" customWidth="1"/>
    <col min="2" max="2" width="28.5703125" style="301" customWidth="1"/>
    <col min="3" max="7" width="10.5703125" style="301" customWidth="1"/>
    <col min="8" max="8" width="12.140625" style="301" customWidth="1"/>
    <col min="9" max="9" width="12" style="502" customWidth="1"/>
    <col min="10" max="10" width="14" style="502" customWidth="1"/>
    <col min="11" max="107" width="9.140625" style="502"/>
    <col min="108" max="16384" width="9.140625" style="301"/>
  </cols>
  <sheetData>
    <row r="1" spans="1:107" s="747" customFormat="1" ht="33.75" customHeight="1" thickBot="1" x14ac:dyDescent="0.3">
      <c r="A1" s="1195"/>
      <c r="B1" s="1195"/>
      <c r="C1" s="1195"/>
      <c r="D1" s="1195"/>
      <c r="E1" s="1195"/>
      <c r="F1" s="1195"/>
      <c r="G1" s="1195"/>
      <c r="H1" s="1195"/>
    </row>
    <row r="2" spans="1:107" s="747" customFormat="1" ht="8.25" customHeight="1" x14ac:dyDescent="0.25">
      <c r="A2" s="751"/>
      <c r="B2" s="751"/>
      <c r="C2" s="751"/>
      <c r="D2" s="751"/>
      <c r="E2" s="751"/>
      <c r="F2" s="751"/>
      <c r="G2" s="751"/>
      <c r="H2" s="751"/>
    </row>
    <row r="3" spans="1:107" ht="16.5" x14ac:dyDescent="0.25">
      <c r="B3" s="778" t="s">
        <v>396</v>
      </c>
      <c r="C3" s="1159" t="str">
        <f>+'Reference Systems'!AC2</f>
        <v>Fattening pigs, slurry (DK)</v>
      </c>
      <c r="D3" s="1159"/>
      <c r="E3" s="1159"/>
      <c r="F3" s="1159"/>
      <c r="G3" s="1159"/>
      <c r="H3" s="1159"/>
    </row>
    <row r="4" spans="1:107" s="305" customFormat="1" ht="12" x14ac:dyDescent="0.2">
      <c r="A4" s="792"/>
      <c r="B4" s="779"/>
      <c r="C4" s="780"/>
      <c r="D4" s="780"/>
      <c r="E4" s="780"/>
      <c r="F4" s="780"/>
      <c r="G4" s="780"/>
      <c r="H4" s="780"/>
      <c r="I4" s="792"/>
      <c r="J4" s="792"/>
      <c r="K4" s="792"/>
      <c r="L4" s="792"/>
      <c r="M4" s="792"/>
      <c r="N4" s="792"/>
      <c r="O4" s="792"/>
      <c r="P4" s="792"/>
      <c r="Q4" s="792"/>
      <c r="R4" s="792"/>
      <c r="S4" s="792"/>
      <c r="T4" s="792"/>
      <c r="U4" s="792"/>
      <c r="V4" s="792"/>
      <c r="W4" s="792"/>
      <c r="X4" s="792"/>
      <c r="Y4" s="792"/>
      <c r="Z4" s="792"/>
      <c r="AA4" s="792"/>
      <c r="AB4" s="792"/>
      <c r="AC4" s="792"/>
      <c r="AD4" s="792"/>
      <c r="AE4" s="792"/>
      <c r="AF4" s="792"/>
      <c r="AG4" s="792"/>
      <c r="AH4" s="792"/>
      <c r="AI4" s="792"/>
      <c r="AJ4" s="792"/>
      <c r="AK4" s="792"/>
      <c r="AL4" s="792"/>
      <c r="AM4" s="792"/>
      <c r="AN4" s="792"/>
      <c r="AO4" s="792"/>
      <c r="AP4" s="792"/>
      <c r="AQ4" s="792"/>
      <c r="AR4" s="792"/>
      <c r="AS4" s="792"/>
      <c r="AT4" s="792"/>
      <c r="AU4" s="792"/>
      <c r="AV4" s="792"/>
      <c r="AW4" s="792"/>
      <c r="AX4" s="792"/>
      <c r="AY4" s="792"/>
      <c r="AZ4" s="792"/>
      <c r="BA4" s="792"/>
      <c r="BB4" s="792"/>
      <c r="BC4" s="792"/>
      <c r="BD4" s="792"/>
      <c r="BE4" s="792"/>
      <c r="BF4" s="792"/>
      <c r="BG4" s="792"/>
      <c r="BH4" s="792"/>
      <c r="BI4" s="792"/>
      <c r="BJ4" s="792"/>
      <c r="BK4" s="792"/>
      <c r="BL4" s="792"/>
      <c r="BM4" s="792"/>
      <c r="BN4" s="792"/>
      <c r="BO4" s="792"/>
      <c r="BP4" s="792"/>
      <c r="BQ4" s="792"/>
      <c r="BR4" s="792"/>
      <c r="BS4" s="792"/>
      <c r="BT4" s="792"/>
      <c r="BU4" s="792"/>
      <c r="BV4" s="792"/>
      <c r="BW4" s="792"/>
      <c r="BX4" s="792"/>
      <c r="BY4" s="792"/>
      <c r="BZ4" s="792"/>
      <c r="CA4" s="792"/>
      <c r="CB4" s="792"/>
      <c r="CC4" s="792"/>
      <c r="CD4" s="792"/>
      <c r="CE4" s="792"/>
      <c r="CF4" s="792"/>
      <c r="CG4" s="792"/>
      <c r="CH4" s="792"/>
      <c r="CI4" s="792"/>
      <c r="CJ4" s="792"/>
      <c r="CK4" s="792"/>
      <c r="CL4" s="792"/>
      <c r="CM4" s="792"/>
      <c r="CN4" s="792"/>
      <c r="CO4" s="792"/>
      <c r="CP4" s="792"/>
      <c r="CQ4" s="792"/>
      <c r="CR4" s="792"/>
      <c r="CS4" s="792"/>
      <c r="CT4" s="792"/>
      <c r="CU4" s="792"/>
      <c r="CV4" s="792"/>
      <c r="CW4" s="792"/>
      <c r="CX4" s="792"/>
      <c r="CY4" s="792"/>
      <c r="CZ4" s="792"/>
      <c r="DA4" s="792"/>
      <c r="DB4" s="792"/>
      <c r="DC4" s="792"/>
    </row>
    <row r="5" spans="1:107" s="304" customFormat="1" ht="46.5" customHeight="1" x14ac:dyDescent="0.25">
      <c r="A5" s="866"/>
      <c r="B5" s="781" t="s">
        <v>1045</v>
      </c>
      <c r="C5" s="1159" t="str">
        <f>+'In-House Techniques'!B1</f>
        <v>Fatt. pigs. Housing. Floor system: Cooling of manure chanal. Partly slatted floor, 25-49% solid floor. Cooling effect applied: 30 W/m2. (Ref. Denmark)</v>
      </c>
      <c r="D5" s="1159"/>
      <c r="E5" s="1159"/>
      <c r="F5" s="1159"/>
      <c r="G5" s="1159"/>
      <c r="H5" s="1159"/>
      <c r="I5" s="866"/>
      <c r="J5" s="866"/>
      <c r="K5" s="866"/>
      <c r="L5" s="866"/>
      <c r="M5" s="866"/>
      <c r="N5" s="866"/>
      <c r="O5" s="866"/>
      <c r="P5" s="866"/>
      <c r="Q5" s="866"/>
      <c r="R5" s="866"/>
      <c r="S5" s="866"/>
      <c r="T5" s="866"/>
      <c r="U5" s="866"/>
      <c r="V5" s="866"/>
      <c r="W5" s="866"/>
      <c r="X5" s="866"/>
      <c r="Y5" s="866"/>
      <c r="Z5" s="866"/>
      <c r="AA5" s="866"/>
      <c r="AB5" s="866"/>
      <c r="AC5" s="866"/>
      <c r="AD5" s="866"/>
      <c r="AE5" s="866"/>
      <c r="AF5" s="866"/>
      <c r="AG5" s="866"/>
      <c r="AH5" s="866"/>
      <c r="AI5" s="866"/>
      <c r="AJ5" s="866"/>
      <c r="AK5" s="866"/>
      <c r="AL5" s="866"/>
      <c r="AM5" s="866"/>
      <c r="AN5" s="866"/>
      <c r="AO5" s="866"/>
      <c r="AP5" s="866"/>
      <c r="AQ5" s="866"/>
      <c r="AR5" s="866"/>
      <c r="AS5" s="866"/>
      <c r="AT5" s="866"/>
      <c r="AU5" s="866"/>
      <c r="AV5" s="866"/>
      <c r="AW5" s="866"/>
      <c r="AX5" s="866"/>
      <c r="AY5" s="866"/>
      <c r="AZ5" s="866"/>
      <c r="BA5" s="866"/>
      <c r="BB5" s="866"/>
      <c r="BC5" s="866"/>
      <c r="BD5" s="866"/>
      <c r="BE5" s="866"/>
      <c r="BF5" s="866"/>
      <c r="BG5" s="866"/>
      <c r="BH5" s="866"/>
      <c r="BI5" s="866"/>
      <c r="BJ5" s="866"/>
      <c r="BK5" s="866"/>
      <c r="BL5" s="866"/>
      <c r="BM5" s="866"/>
      <c r="BN5" s="866"/>
      <c r="BO5" s="866"/>
      <c r="BP5" s="866"/>
      <c r="BQ5" s="866"/>
      <c r="BR5" s="866"/>
      <c r="BS5" s="866"/>
      <c r="BT5" s="866"/>
      <c r="BU5" s="866"/>
      <c r="BV5" s="866"/>
      <c r="BW5" s="866"/>
      <c r="BX5" s="866"/>
      <c r="BY5" s="866"/>
      <c r="BZ5" s="866"/>
      <c r="CA5" s="866"/>
      <c r="CB5" s="866"/>
      <c r="CC5" s="866"/>
      <c r="CD5" s="866"/>
      <c r="CE5" s="866"/>
      <c r="CF5" s="866"/>
      <c r="CG5" s="866"/>
      <c r="CH5" s="866"/>
      <c r="CI5" s="866"/>
      <c r="CJ5" s="866"/>
      <c r="CK5" s="866"/>
      <c r="CL5" s="866"/>
      <c r="CM5" s="866"/>
      <c r="CN5" s="866"/>
      <c r="CO5" s="866"/>
      <c r="CP5" s="866"/>
      <c r="CQ5" s="866"/>
      <c r="CR5" s="866"/>
      <c r="CS5" s="866"/>
      <c r="CT5" s="866"/>
      <c r="CU5" s="866"/>
      <c r="CV5" s="866"/>
      <c r="CW5" s="866"/>
      <c r="CX5" s="866"/>
      <c r="CY5" s="866"/>
      <c r="CZ5" s="866"/>
      <c r="DA5" s="866"/>
      <c r="DB5" s="866"/>
      <c r="DC5" s="866"/>
    </row>
    <row r="6" spans="1:107" s="304" customFormat="1" ht="46.5" customHeight="1" x14ac:dyDescent="0.25">
      <c r="A6" s="866"/>
      <c r="B6" s="781" t="s">
        <v>1046</v>
      </c>
      <c r="C6" s="1159" t="str">
        <f>+'Outdoor Storage Techniques'!B1</f>
        <v>Slurry storage. Cover for slurry stores: Plastic tent. Pig slurry. (Ref: Denmark, 2010)</v>
      </c>
      <c r="D6" s="1159"/>
      <c r="E6" s="1159"/>
      <c r="F6" s="1159"/>
      <c r="G6" s="1159"/>
      <c r="H6" s="1159"/>
      <c r="I6" s="866"/>
      <c r="J6" s="866"/>
      <c r="K6" s="866"/>
      <c r="L6" s="866"/>
      <c r="M6" s="866"/>
      <c r="N6" s="866"/>
      <c r="O6" s="866"/>
      <c r="P6" s="866"/>
      <c r="Q6" s="866"/>
      <c r="R6" s="866"/>
      <c r="S6" s="866"/>
      <c r="T6" s="866"/>
      <c r="U6" s="866"/>
      <c r="V6" s="866"/>
      <c r="W6" s="866"/>
      <c r="X6" s="866"/>
      <c r="Y6" s="866"/>
      <c r="Z6" s="866"/>
      <c r="AA6" s="866"/>
      <c r="AB6" s="866"/>
      <c r="AC6" s="866"/>
      <c r="AD6" s="866"/>
      <c r="AE6" s="866"/>
      <c r="AF6" s="866"/>
      <c r="AG6" s="866"/>
      <c r="AH6" s="866"/>
      <c r="AI6" s="866"/>
      <c r="AJ6" s="866"/>
      <c r="AK6" s="866"/>
      <c r="AL6" s="866"/>
      <c r="AM6" s="866"/>
      <c r="AN6" s="866"/>
      <c r="AO6" s="866"/>
      <c r="AP6" s="866"/>
      <c r="AQ6" s="866"/>
      <c r="AR6" s="866"/>
      <c r="AS6" s="866"/>
      <c r="AT6" s="866"/>
      <c r="AU6" s="866"/>
      <c r="AV6" s="866"/>
      <c r="AW6" s="866"/>
      <c r="AX6" s="866"/>
      <c r="AY6" s="866"/>
      <c r="AZ6" s="866"/>
      <c r="BA6" s="866"/>
      <c r="BB6" s="866"/>
      <c r="BC6" s="866"/>
      <c r="BD6" s="866"/>
      <c r="BE6" s="866"/>
      <c r="BF6" s="866"/>
      <c r="BG6" s="866"/>
      <c r="BH6" s="866"/>
      <c r="BI6" s="866"/>
      <c r="BJ6" s="866"/>
      <c r="BK6" s="866"/>
      <c r="BL6" s="866"/>
      <c r="BM6" s="866"/>
      <c r="BN6" s="866"/>
      <c r="BO6" s="866"/>
      <c r="BP6" s="866"/>
      <c r="BQ6" s="866"/>
      <c r="BR6" s="866"/>
      <c r="BS6" s="866"/>
      <c r="BT6" s="866"/>
      <c r="BU6" s="866"/>
      <c r="BV6" s="866"/>
      <c r="BW6" s="866"/>
      <c r="BX6" s="866"/>
      <c r="BY6" s="866"/>
      <c r="BZ6" s="866"/>
      <c r="CA6" s="866"/>
      <c r="CB6" s="866"/>
      <c r="CC6" s="866"/>
      <c r="CD6" s="866"/>
      <c r="CE6" s="866"/>
      <c r="CF6" s="866"/>
      <c r="CG6" s="866"/>
      <c r="CH6" s="866"/>
      <c r="CI6" s="866"/>
      <c r="CJ6" s="866"/>
      <c r="CK6" s="866"/>
      <c r="CL6" s="866"/>
      <c r="CM6" s="866"/>
      <c r="CN6" s="866"/>
      <c r="CO6" s="866"/>
      <c r="CP6" s="866"/>
      <c r="CQ6" s="866"/>
      <c r="CR6" s="866"/>
      <c r="CS6" s="866"/>
      <c r="CT6" s="866"/>
      <c r="CU6" s="866"/>
      <c r="CV6" s="866"/>
      <c r="CW6" s="866"/>
      <c r="CX6" s="866"/>
      <c r="CY6" s="866"/>
      <c r="CZ6" s="866"/>
      <c r="DA6" s="866"/>
      <c r="DB6" s="866"/>
      <c r="DC6" s="866"/>
    </row>
    <row r="7" spans="1:107" s="304" customFormat="1" ht="46.5" customHeight="1" x14ac:dyDescent="0.25">
      <c r="A7" s="866"/>
      <c r="B7" s="781" t="s">
        <v>1199</v>
      </c>
      <c r="C7" s="1159" t="str">
        <f>+'Field Techniques'!B2</f>
        <v xml:space="preserve">The SyreN technique was accepted on The Technology List by the Danish EPA (www.mst.dk) in Oct 2012 and verified in VERA Verification Statement (Oct 2012): (Technology: SyreN. Manufactured by: BioCover a/s.) www.veracert.eu. Further information from AgroTechnologyATLAS (2013): 1002 Slurry acidification during field spreading http://agro-technology-atlas.eu/techdescs.aspx?techgroup=1000. These information are combined with Information from the online system for revision of the IRPP BREF document the by the European IPPC Bureau, BAT Information System (BATIS). </v>
      </c>
      <c r="D7" s="1159"/>
      <c r="E7" s="1159"/>
      <c r="F7" s="1159"/>
      <c r="G7" s="1159"/>
      <c r="H7" s="1159"/>
      <c r="I7" s="866"/>
      <c r="J7" s="866"/>
      <c r="K7" s="866"/>
      <c r="L7" s="866"/>
      <c r="M7" s="866"/>
      <c r="N7" s="866"/>
      <c r="O7" s="866"/>
      <c r="P7" s="866"/>
      <c r="Q7" s="866"/>
      <c r="R7" s="866"/>
      <c r="S7" s="866"/>
      <c r="T7" s="866"/>
      <c r="U7" s="866"/>
      <c r="V7" s="866"/>
      <c r="W7" s="866"/>
      <c r="X7" s="866"/>
      <c r="Y7" s="866"/>
      <c r="Z7" s="866"/>
      <c r="AA7" s="866"/>
      <c r="AB7" s="866"/>
      <c r="AC7" s="866"/>
      <c r="AD7" s="866"/>
      <c r="AE7" s="866"/>
      <c r="AF7" s="866"/>
      <c r="AG7" s="866"/>
      <c r="AH7" s="866"/>
      <c r="AI7" s="866"/>
      <c r="AJ7" s="866"/>
      <c r="AK7" s="866"/>
      <c r="AL7" s="866"/>
      <c r="AM7" s="866"/>
      <c r="AN7" s="866"/>
      <c r="AO7" s="866"/>
      <c r="AP7" s="866"/>
      <c r="AQ7" s="866"/>
      <c r="AR7" s="866"/>
      <c r="AS7" s="866"/>
      <c r="AT7" s="866"/>
      <c r="AU7" s="866"/>
      <c r="AV7" s="866"/>
      <c r="AW7" s="866"/>
      <c r="AX7" s="866"/>
      <c r="AY7" s="866"/>
      <c r="AZ7" s="866"/>
      <c r="BA7" s="866"/>
      <c r="BB7" s="866"/>
      <c r="BC7" s="866"/>
      <c r="BD7" s="866"/>
      <c r="BE7" s="866"/>
      <c r="BF7" s="866"/>
      <c r="BG7" s="866"/>
      <c r="BH7" s="866"/>
      <c r="BI7" s="866"/>
      <c r="BJ7" s="866"/>
      <c r="BK7" s="866"/>
      <c r="BL7" s="866"/>
      <c r="BM7" s="866"/>
      <c r="BN7" s="866"/>
      <c r="BO7" s="866"/>
      <c r="BP7" s="866"/>
      <c r="BQ7" s="866"/>
      <c r="BR7" s="866"/>
      <c r="BS7" s="866"/>
      <c r="BT7" s="866"/>
      <c r="BU7" s="866"/>
      <c r="BV7" s="866"/>
      <c r="BW7" s="866"/>
      <c r="BX7" s="866"/>
      <c r="BY7" s="866"/>
      <c r="BZ7" s="866"/>
      <c r="CA7" s="866"/>
      <c r="CB7" s="866"/>
      <c r="CC7" s="866"/>
      <c r="CD7" s="866"/>
      <c r="CE7" s="866"/>
      <c r="CF7" s="866"/>
      <c r="CG7" s="866"/>
      <c r="CH7" s="866"/>
      <c r="CI7" s="866"/>
      <c r="CJ7" s="866"/>
      <c r="CK7" s="866"/>
      <c r="CL7" s="866"/>
      <c r="CM7" s="866"/>
      <c r="CN7" s="866"/>
      <c r="CO7" s="866"/>
      <c r="CP7" s="866"/>
      <c r="CQ7" s="866"/>
      <c r="CR7" s="866"/>
      <c r="CS7" s="866"/>
      <c r="CT7" s="866"/>
      <c r="CU7" s="866"/>
      <c r="CV7" s="866"/>
      <c r="CW7" s="866"/>
      <c r="CX7" s="866"/>
      <c r="CY7" s="866"/>
      <c r="CZ7" s="866"/>
      <c r="DA7" s="866"/>
      <c r="DB7" s="866"/>
      <c r="DC7" s="866"/>
    </row>
    <row r="8" spans="1:107" ht="17.25" thickBot="1" x14ac:dyDescent="0.3">
      <c r="B8" s="782" t="s">
        <v>386</v>
      </c>
      <c r="C8" s="783"/>
      <c r="D8" s="783"/>
      <c r="E8" s="783"/>
      <c r="F8" s="783"/>
      <c r="G8" s="783"/>
      <c r="H8" s="783"/>
    </row>
    <row r="9" spans="1:107" s="305" customFormat="1" ht="12" x14ac:dyDescent="0.2">
      <c r="A9" s="792"/>
      <c r="B9" s="354"/>
      <c r="C9" s="352"/>
      <c r="D9" s="352"/>
      <c r="E9" s="352" t="s">
        <v>385</v>
      </c>
      <c r="F9" s="352"/>
      <c r="G9" s="355"/>
      <c r="H9" s="353"/>
      <c r="I9" s="792"/>
      <c r="J9" s="792"/>
      <c r="K9" s="792"/>
      <c r="L9" s="792"/>
      <c r="M9" s="792"/>
      <c r="N9" s="792"/>
      <c r="O9" s="792"/>
      <c r="P9" s="792"/>
      <c r="Q9" s="792"/>
      <c r="R9" s="792"/>
      <c r="S9" s="792"/>
      <c r="T9" s="792"/>
      <c r="U9" s="792"/>
      <c r="V9" s="792"/>
      <c r="W9" s="792"/>
      <c r="X9" s="792"/>
      <c r="Y9" s="792"/>
      <c r="Z9" s="792"/>
      <c r="AA9" s="792"/>
      <c r="AB9" s="792"/>
      <c r="AC9" s="792"/>
      <c r="AD9" s="792"/>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c r="BC9" s="792"/>
      <c r="BD9" s="792"/>
      <c r="BE9" s="792"/>
      <c r="BF9" s="792"/>
      <c r="BG9" s="792"/>
      <c r="BH9" s="792"/>
      <c r="BI9" s="792"/>
      <c r="BJ9" s="792"/>
      <c r="BK9" s="792"/>
      <c r="BL9" s="792"/>
      <c r="BM9" s="792"/>
      <c r="BN9" s="792"/>
      <c r="BO9" s="792"/>
      <c r="BP9" s="792"/>
      <c r="BQ9" s="792"/>
      <c r="BR9" s="792"/>
      <c r="BS9" s="792"/>
      <c r="BT9" s="792"/>
      <c r="BU9" s="792"/>
      <c r="BV9" s="792"/>
      <c r="BW9" s="792"/>
      <c r="BX9" s="792"/>
      <c r="BY9" s="792"/>
      <c r="BZ9" s="792"/>
      <c r="CA9" s="792"/>
      <c r="CB9" s="792"/>
      <c r="CC9" s="792"/>
      <c r="CD9" s="792"/>
      <c r="CE9" s="792"/>
      <c r="CF9" s="792"/>
      <c r="CG9" s="792"/>
      <c r="CH9" s="792"/>
      <c r="CI9" s="792"/>
      <c r="CJ9" s="792"/>
      <c r="CK9" s="792"/>
      <c r="CL9" s="792"/>
      <c r="CM9" s="792"/>
      <c r="CN9" s="792"/>
      <c r="CO9" s="792"/>
      <c r="CP9" s="792"/>
      <c r="CQ9" s="792"/>
      <c r="CR9" s="792"/>
      <c r="CS9" s="792"/>
      <c r="CT9" s="792"/>
      <c r="CU9" s="792"/>
      <c r="CV9" s="792"/>
      <c r="CW9" s="792"/>
      <c r="CX9" s="792"/>
      <c r="CY9" s="792"/>
      <c r="CZ9" s="792"/>
      <c r="DA9" s="792"/>
      <c r="DB9" s="792"/>
      <c r="DC9" s="792"/>
    </row>
    <row r="10" spans="1:107" s="305" customFormat="1" ht="12.75" thickBot="1" x14ac:dyDescent="0.25">
      <c r="A10" s="792"/>
      <c r="B10" s="377"/>
      <c r="C10" s="1153" t="s">
        <v>384</v>
      </c>
      <c r="D10" s="1153"/>
      <c r="E10" s="1153" t="s">
        <v>383</v>
      </c>
      <c r="F10" s="1153"/>
      <c r="G10" s="1153" t="s">
        <v>382</v>
      </c>
      <c r="H10" s="1164"/>
      <c r="I10" s="792"/>
      <c r="J10" s="792"/>
      <c r="K10" s="792"/>
      <c r="L10" s="792"/>
      <c r="M10" s="792"/>
      <c r="N10" s="792"/>
      <c r="O10" s="792"/>
      <c r="P10" s="792"/>
      <c r="Q10" s="792"/>
      <c r="R10" s="792"/>
      <c r="S10" s="792"/>
      <c r="T10" s="792"/>
      <c r="U10" s="792"/>
      <c r="V10" s="792"/>
      <c r="W10" s="792"/>
      <c r="X10" s="792"/>
      <c r="Y10" s="792"/>
      <c r="Z10" s="792"/>
      <c r="AA10" s="792"/>
      <c r="AB10" s="792"/>
      <c r="AC10" s="792"/>
      <c r="AD10" s="792"/>
      <c r="AE10" s="792"/>
      <c r="AF10" s="792"/>
      <c r="AG10" s="792"/>
      <c r="AH10" s="792"/>
      <c r="AI10" s="792"/>
      <c r="AJ10" s="792"/>
      <c r="AK10" s="792"/>
      <c r="AL10" s="792"/>
      <c r="AM10" s="792"/>
      <c r="AN10" s="792"/>
      <c r="AO10" s="792"/>
      <c r="AP10" s="792"/>
      <c r="AQ10" s="792"/>
      <c r="AR10" s="792"/>
      <c r="AS10" s="792"/>
      <c r="AT10" s="792"/>
      <c r="AU10" s="792"/>
      <c r="AV10" s="792"/>
      <c r="AW10" s="792"/>
      <c r="AX10" s="792"/>
      <c r="AY10" s="792"/>
      <c r="AZ10" s="792"/>
      <c r="BA10" s="792"/>
      <c r="BB10" s="792"/>
      <c r="BC10" s="792"/>
      <c r="BD10" s="792"/>
      <c r="BE10" s="792"/>
      <c r="BF10" s="792"/>
      <c r="BG10" s="792"/>
      <c r="BH10" s="792"/>
      <c r="BI10" s="792"/>
      <c r="BJ10" s="792"/>
      <c r="BK10" s="792"/>
      <c r="BL10" s="792"/>
      <c r="BM10" s="792"/>
      <c r="BN10" s="792"/>
      <c r="BO10" s="792"/>
      <c r="BP10" s="792"/>
      <c r="BQ10" s="792"/>
      <c r="BR10" s="792"/>
      <c r="BS10" s="792"/>
      <c r="BT10" s="792"/>
      <c r="BU10" s="792"/>
      <c r="BV10" s="792"/>
      <c r="BW10" s="792"/>
      <c r="BX10" s="792"/>
      <c r="BY10" s="792"/>
      <c r="BZ10" s="792"/>
      <c r="CA10" s="792"/>
      <c r="CB10" s="792"/>
      <c r="CC10" s="792"/>
      <c r="CD10" s="792"/>
      <c r="CE10" s="792"/>
      <c r="CF10" s="792"/>
      <c r="CG10" s="792"/>
      <c r="CH10" s="792"/>
      <c r="CI10" s="792"/>
      <c r="CJ10" s="792"/>
      <c r="CK10" s="792"/>
      <c r="CL10" s="792"/>
      <c r="CM10" s="792"/>
      <c r="CN10" s="792"/>
      <c r="CO10" s="792"/>
      <c r="CP10" s="792"/>
      <c r="CQ10" s="792"/>
      <c r="CR10" s="792"/>
      <c r="CS10" s="792"/>
      <c r="CT10" s="792"/>
      <c r="CU10" s="792"/>
      <c r="CV10" s="792"/>
      <c r="CW10" s="792"/>
      <c r="CX10" s="792"/>
      <c r="CY10" s="792"/>
      <c r="CZ10" s="792"/>
      <c r="DA10" s="792"/>
      <c r="DB10" s="792"/>
      <c r="DC10" s="792"/>
    </row>
    <row r="11" spans="1:107" s="305" customFormat="1" ht="12" x14ac:dyDescent="0.2">
      <c r="A11" s="792"/>
      <c r="B11" s="788" t="s">
        <v>381</v>
      </c>
      <c r="C11" s="1160">
        <f>+'Reference Systems'!AC7</f>
        <v>1</v>
      </c>
      <c r="D11" s="1160"/>
      <c r="E11" s="1160">
        <f>+'Reference Systems'!AC20</f>
        <v>1</v>
      </c>
      <c r="F11" s="1160"/>
      <c r="G11" s="1160">
        <f>+'Reference Systems'!AC33</f>
        <v>1</v>
      </c>
      <c r="H11" s="1183"/>
      <c r="I11" s="792"/>
      <c r="J11" s="792"/>
      <c r="K11" s="792"/>
      <c r="L11" s="792"/>
      <c r="M11" s="792"/>
      <c r="N11" s="792"/>
      <c r="O11" s="792"/>
      <c r="P11" s="792"/>
      <c r="Q11" s="792"/>
      <c r="R11" s="792"/>
      <c r="S11" s="792"/>
      <c r="T11" s="792"/>
      <c r="U11" s="792"/>
      <c r="V11" s="792"/>
      <c r="W11" s="792"/>
      <c r="X11" s="792"/>
      <c r="Y11" s="792"/>
      <c r="Z11" s="792"/>
      <c r="AA11" s="792"/>
      <c r="AB11" s="792"/>
      <c r="AC11" s="792"/>
      <c r="AD11" s="792"/>
      <c r="AE11" s="792"/>
      <c r="AF11" s="792"/>
      <c r="AG11" s="792"/>
      <c r="AH11" s="792"/>
      <c r="AI11" s="792"/>
      <c r="AJ11" s="792"/>
      <c r="AK11" s="792"/>
      <c r="AL11" s="792"/>
      <c r="AM11" s="792"/>
      <c r="AN11" s="792"/>
      <c r="AO11" s="792"/>
      <c r="AP11" s="792"/>
      <c r="AQ11" s="792"/>
      <c r="AR11" s="792"/>
      <c r="AS11" s="792"/>
      <c r="AT11" s="792"/>
      <c r="AU11" s="792"/>
      <c r="AV11" s="792"/>
      <c r="AW11" s="792"/>
      <c r="AX11" s="792"/>
      <c r="AY11" s="792"/>
      <c r="AZ11" s="792"/>
      <c r="BA11" s="792"/>
      <c r="BB11" s="792"/>
      <c r="BC11" s="792"/>
      <c r="BD11" s="792"/>
      <c r="BE11" s="792"/>
      <c r="BF11" s="792"/>
      <c r="BG11" s="792"/>
      <c r="BH11" s="792"/>
      <c r="BI11" s="792"/>
      <c r="BJ11" s="792"/>
      <c r="BK11" s="792"/>
      <c r="BL11" s="792"/>
      <c r="BM11" s="792"/>
      <c r="BN11" s="792"/>
      <c r="BO11" s="792"/>
      <c r="BP11" s="792"/>
      <c r="BQ11" s="792"/>
      <c r="BR11" s="792"/>
      <c r="BS11" s="792"/>
      <c r="BT11" s="792"/>
      <c r="BU11" s="792"/>
      <c r="BV11" s="792"/>
      <c r="BW11" s="792"/>
      <c r="BX11" s="792"/>
      <c r="BY11" s="792"/>
      <c r="BZ11" s="792"/>
      <c r="CA11" s="792"/>
      <c r="CB11" s="792"/>
      <c r="CC11" s="792"/>
      <c r="CD11" s="792"/>
      <c r="CE11" s="792"/>
      <c r="CF11" s="792"/>
      <c r="CG11" s="792"/>
      <c r="CH11" s="792"/>
      <c r="CI11" s="792"/>
      <c r="CJ11" s="792"/>
      <c r="CK11" s="792"/>
      <c r="CL11" s="792"/>
      <c r="CM11" s="792"/>
      <c r="CN11" s="792"/>
      <c r="CO11" s="792"/>
      <c r="CP11" s="792"/>
      <c r="CQ11" s="792"/>
      <c r="CR11" s="792"/>
      <c r="CS11" s="792"/>
      <c r="CT11" s="792"/>
      <c r="CU11" s="792"/>
      <c r="CV11" s="792"/>
      <c r="CW11" s="792"/>
      <c r="CX11" s="792"/>
      <c r="CY11" s="792"/>
      <c r="CZ11" s="792"/>
      <c r="DA11" s="792"/>
      <c r="DB11" s="792"/>
      <c r="DC11" s="792"/>
    </row>
    <row r="12" spans="1:107" s="305" customFormat="1" ht="12" x14ac:dyDescent="0.2">
      <c r="A12" s="792"/>
      <c r="B12" s="789" t="s">
        <v>380</v>
      </c>
      <c r="C12" s="1146">
        <f>+'Reference Systems'!AC8</f>
        <v>74.518028055518201</v>
      </c>
      <c r="D12" s="1146"/>
      <c r="E12" s="1146">
        <f>+'Reference Systems'!AC21</f>
        <v>72.629503771866126</v>
      </c>
      <c r="F12" s="1146"/>
      <c r="G12" s="1184">
        <f>+'Reference Systems'!AC34</f>
        <v>66.963930920909903</v>
      </c>
      <c r="H12" s="1185"/>
      <c r="I12" s="792"/>
      <c r="J12" s="792"/>
      <c r="K12" s="792"/>
      <c r="L12" s="792"/>
      <c r="M12" s="792"/>
      <c r="N12" s="792"/>
      <c r="O12" s="792"/>
      <c r="P12" s="792"/>
      <c r="Q12" s="792"/>
      <c r="R12" s="792"/>
      <c r="S12" s="792"/>
      <c r="T12" s="792"/>
      <c r="U12" s="792"/>
      <c r="V12" s="792"/>
      <c r="W12" s="792"/>
      <c r="X12" s="792"/>
      <c r="Y12" s="792"/>
      <c r="Z12" s="792"/>
      <c r="AA12" s="792"/>
      <c r="AB12" s="792"/>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c r="BC12" s="792"/>
      <c r="BD12" s="792"/>
      <c r="BE12" s="792"/>
      <c r="BF12" s="792"/>
      <c r="BG12" s="792"/>
      <c r="BH12" s="792"/>
      <c r="BI12" s="792"/>
      <c r="BJ12" s="792"/>
      <c r="BK12" s="792"/>
      <c r="BL12" s="792"/>
      <c r="BM12" s="792"/>
      <c r="BN12" s="792"/>
      <c r="BO12" s="792"/>
      <c r="BP12" s="792"/>
      <c r="BQ12" s="792"/>
      <c r="BR12" s="792"/>
      <c r="BS12" s="792"/>
      <c r="BT12" s="792"/>
      <c r="BU12" s="792"/>
      <c r="BV12" s="792"/>
      <c r="BW12" s="792"/>
      <c r="BX12" s="792"/>
      <c r="BY12" s="792"/>
      <c r="BZ12" s="792"/>
      <c r="CA12" s="792"/>
      <c r="CB12" s="792"/>
      <c r="CC12" s="792"/>
      <c r="CD12" s="792"/>
      <c r="CE12" s="792"/>
      <c r="CF12" s="792"/>
      <c r="CG12" s="792"/>
      <c r="CH12" s="792"/>
      <c r="CI12" s="792"/>
      <c r="CJ12" s="792"/>
      <c r="CK12" s="792"/>
      <c r="CL12" s="792"/>
      <c r="CM12" s="792"/>
      <c r="CN12" s="792"/>
      <c r="CO12" s="792"/>
      <c r="CP12" s="792"/>
      <c r="CQ12" s="792"/>
      <c r="CR12" s="792"/>
      <c r="CS12" s="792"/>
      <c r="CT12" s="792"/>
      <c r="CU12" s="792"/>
      <c r="CV12" s="792"/>
      <c r="CW12" s="792"/>
      <c r="CX12" s="792"/>
      <c r="CY12" s="792"/>
      <c r="CZ12" s="792"/>
      <c r="DA12" s="792"/>
      <c r="DB12" s="792"/>
      <c r="DC12" s="792"/>
    </row>
    <row r="13" spans="1:107" s="305" customFormat="1" ht="12" x14ac:dyDescent="0.2">
      <c r="A13" s="792"/>
      <c r="B13" s="789" t="s">
        <v>379</v>
      </c>
      <c r="C13" s="1146">
        <f>+'Reference Systems'!AC9</f>
        <v>14.154893617021273</v>
      </c>
      <c r="D13" s="1146"/>
      <c r="E13" s="1146">
        <f>+'Reference Systems'!AC22</f>
        <v>14.154893617021273</v>
      </c>
      <c r="F13" s="1146"/>
      <c r="G13" s="1146">
        <f>+'Reference Systems'!AC35</f>
        <v>14.154893617021273</v>
      </c>
      <c r="H13" s="1147"/>
      <c r="I13" s="792"/>
      <c r="J13" s="792"/>
      <c r="K13" s="792"/>
      <c r="L13" s="792"/>
      <c r="M13" s="792"/>
      <c r="N13" s="792"/>
      <c r="O13" s="792"/>
      <c r="P13" s="792"/>
      <c r="Q13" s="792"/>
      <c r="R13" s="792"/>
      <c r="S13" s="792"/>
      <c r="T13" s="792"/>
      <c r="U13" s="792"/>
      <c r="V13" s="792"/>
      <c r="W13" s="792"/>
      <c r="X13" s="792"/>
      <c r="Y13" s="792"/>
      <c r="Z13" s="792"/>
      <c r="AA13" s="792"/>
      <c r="AB13" s="792"/>
      <c r="AC13" s="792"/>
      <c r="AD13" s="792"/>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c r="BC13" s="792"/>
      <c r="BD13" s="792"/>
      <c r="BE13" s="792"/>
      <c r="BF13" s="792"/>
      <c r="BG13" s="792"/>
      <c r="BH13" s="792"/>
      <c r="BI13" s="792"/>
      <c r="BJ13" s="792"/>
      <c r="BK13" s="792"/>
      <c r="BL13" s="792"/>
      <c r="BM13" s="792"/>
      <c r="BN13" s="792"/>
      <c r="BO13" s="792"/>
      <c r="BP13" s="792"/>
      <c r="BQ13" s="792"/>
      <c r="BR13" s="792"/>
      <c r="BS13" s="792"/>
      <c r="BT13" s="792"/>
      <c r="BU13" s="792"/>
      <c r="BV13" s="792"/>
      <c r="BW13" s="792"/>
      <c r="BX13" s="792"/>
      <c r="BY13" s="792"/>
      <c r="BZ13" s="792"/>
      <c r="CA13" s="792"/>
      <c r="CB13" s="792"/>
      <c r="CC13" s="792"/>
      <c r="CD13" s="792"/>
      <c r="CE13" s="792"/>
      <c r="CF13" s="792"/>
      <c r="CG13" s="792"/>
      <c r="CH13" s="792"/>
      <c r="CI13" s="792"/>
      <c r="CJ13" s="792"/>
      <c r="CK13" s="792"/>
      <c r="CL13" s="792"/>
      <c r="CM13" s="792"/>
      <c r="CN13" s="792"/>
      <c r="CO13" s="792"/>
      <c r="CP13" s="792"/>
      <c r="CQ13" s="792"/>
      <c r="CR13" s="792"/>
      <c r="CS13" s="792"/>
      <c r="CT13" s="792"/>
      <c r="CU13" s="792"/>
      <c r="CV13" s="792"/>
      <c r="CW13" s="792"/>
      <c r="CX13" s="792"/>
      <c r="CY13" s="792"/>
      <c r="CZ13" s="792"/>
      <c r="DA13" s="792"/>
      <c r="DB13" s="792"/>
      <c r="DC13" s="792"/>
    </row>
    <row r="14" spans="1:107" s="305" customFormat="1" ht="12" x14ac:dyDescent="0.2">
      <c r="A14" s="792"/>
      <c r="B14" s="789" t="s">
        <v>378</v>
      </c>
      <c r="C14" s="1146">
        <f>+'Reference Systems'!AC10</f>
        <v>60.363134438496928</v>
      </c>
      <c r="D14" s="1146"/>
      <c r="E14" s="1146">
        <f>+'Reference Systems'!AC23</f>
        <v>58.474610154844854</v>
      </c>
      <c r="F14" s="1146"/>
      <c r="G14" s="1146">
        <f>+'Reference Systems'!AC36</f>
        <v>52.80903730388863</v>
      </c>
      <c r="H14" s="1147"/>
      <c r="I14" s="792"/>
      <c r="J14" s="792"/>
      <c r="K14" s="792"/>
      <c r="L14" s="792"/>
      <c r="M14" s="792"/>
      <c r="N14" s="792"/>
      <c r="O14" s="792"/>
      <c r="P14" s="792"/>
      <c r="Q14" s="792"/>
      <c r="R14" s="792"/>
      <c r="S14" s="792"/>
      <c r="T14" s="792"/>
      <c r="U14" s="792"/>
      <c r="V14" s="792"/>
      <c r="W14" s="792"/>
      <c r="X14" s="792"/>
      <c r="Y14" s="792"/>
      <c r="Z14" s="792"/>
      <c r="AA14" s="792"/>
      <c r="AB14" s="792"/>
      <c r="AC14" s="792"/>
      <c r="AD14" s="792"/>
      <c r="AE14" s="792"/>
      <c r="AF14" s="792"/>
      <c r="AG14" s="792"/>
      <c r="AH14" s="792"/>
      <c r="AI14" s="792"/>
      <c r="AJ14" s="792"/>
      <c r="AK14" s="792"/>
      <c r="AL14" s="792"/>
      <c r="AM14" s="792"/>
      <c r="AN14" s="792"/>
      <c r="AO14" s="792"/>
      <c r="AP14" s="792"/>
      <c r="AQ14" s="792"/>
      <c r="AR14" s="792"/>
      <c r="AS14" s="792"/>
      <c r="AT14" s="792"/>
      <c r="AU14" s="792"/>
      <c r="AV14" s="792"/>
      <c r="AW14" s="792"/>
      <c r="AX14" s="792"/>
      <c r="AY14" s="792"/>
      <c r="AZ14" s="792"/>
      <c r="BA14" s="792"/>
      <c r="BB14" s="792"/>
      <c r="BC14" s="792"/>
      <c r="BD14" s="792"/>
      <c r="BE14" s="792"/>
      <c r="BF14" s="792"/>
      <c r="BG14" s="792"/>
      <c r="BH14" s="792"/>
      <c r="BI14" s="792"/>
      <c r="BJ14" s="792"/>
      <c r="BK14" s="792"/>
      <c r="BL14" s="792"/>
      <c r="BM14" s="792"/>
      <c r="BN14" s="792"/>
      <c r="BO14" s="792"/>
      <c r="BP14" s="792"/>
      <c r="BQ14" s="792"/>
      <c r="BR14" s="792"/>
      <c r="BS14" s="792"/>
      <c r="BT14" s="792"/>
      <c r="BU14" s="792"/>
      <c r="BV14" s="792"/>
      <c r="BW14" s="792"/>
      <c r="BX14" s="792"/>
      <c r="BY14" s="792"/>
      <c r="BZ14" s="792"/>
      <c r="CA14" s="792"/>
      <c r="CB14" s="792"/>
      <c r="CC14" s="792"/>
      <c r="CD14" s="792"/>
      <c r="CE14" s="792"/>
      <c r="CF14" s="792"/>
      <c r="CG14" s="792"/>
      <c r="CH14" s="792"/>
      <c r="CI14" s="792"/>
      <c r="CJ14" s="792"/>
      <c r="CK14" s="792"/>
      <c r="CL14" s="792"/>
      <c r="CM14" s="792"/>
      <c r="CN14" s="792"/>
      <c r="CO14" s="792"/>
      <c r="CP14" s="792"/>
      <c r="CQ14" s="792"/>
      <c r="CR14" s="792"/>
      <c r="CS14" s="792"/>
      <c r="CT14" s="792"/>
      <c r="CU14" s="792"/>
      <c r="CV14" s="792"/>
      <c r="CW14" s="792"/>
      <c r="CX14" s="792"/>
      <c r="CY14" s="792"/>
      <c r="CZ14" s="792"/>
      <c r="DA14" s="792"/>
      <c r="DB14" s="792"/>
      <c r="DC14" s="792"/>
    </row>
    <row r="15" spans="1:107" s="305" customFormat="1" ht="12" x14ac:dyDescent="0.2">
      <c r="A15" s="792"/>
      <c r="B15" s="789" t="s">
        <v>377</v>
      </c>
      <c r="C15" s="1144">
        <f>+'Reference Systems'!AC12</f>
        <v>6</v>
      </c>
      <c r="D15" s="1144"/>
      <c r="E15" s="1144">
        <f>+'Reference Systems'!AC25</f>
        <v>5.2642039999999994</v>
      </c>
      <c r="F15" s="1144"/>
      <c r="G15" s="1144">
        <f>+'Reference Systems'!AC38</f>
        <v>5.1324714688599995</v>
      </c>
      <c r="H15" s="1145"/>
      <c r="I15" s="792"/>
      <c r="J15" s="792"/>
      <c r="K15" s="792"/>
      <c r="L15" s="792"/>
      <c r="M15" s="792"/>
      <c r="N15" s="792"/>
      <c r="O15" s="792"/>
      <c r="P15" s="792"/>
      <c r="Q15" s="792"/>
      <c r="R15" s="792"/>
      <c r="S15" s="792"/>
      <c r="T15" s="792"/>
      <c r="U15" s="792"/>
      <c r="V15" s="792"/>
      <c r="W15" s="792"/>
      <c r="X15" s="792"/>
      <c r="Y15" s="792"/>
      <c r="Z15" s="792"/>
      <c r="AA15" s="792"/>
      <c r="AB15" s="792"/>
      <c r="AC15" s="792"/>
      <c r="AD15" s="792"/>
      <c r="AE15" s="792"/>
      <c r="AF15" s="792"/>
      <c r="AG15" s="792"/>
      <c r="AH15" s="792"/>
      <c r="AI15" s="792"/>
      <c r="AJ15" s="792"/>
      <c r="AK15" s="792"/>
      <c r="AL15" s="792"/>
      <c r="AM15" s="792"/>
      <c r="AN15" s="792"/>
      <c r="AO15" s="792"/>
      <c r="AP15" s="792"/>
      <c r="AQ15" s="792"/>
      <c r="AR15" s="792"/>
      <c r="AS15" s="792"/>
      <c r="AT15" s="792"/>
      <c r="AU15" s="792"/>
      <c r="AV15" s="792"/>
      <c r="AW15" s="792"/>
      <c r="AX15" s="792"/>
      <c r="AY15" s="792"/>
      <c r="AZ15" s="792"/>
      <c r="BA15" s="792"/>
      <c r="BB15" s="792"/>
      <c r="BC15" s="792"/>
      <c r="BD15" s="792"/>
      <c r="BE15" s="792"/>
      <c r="BF15" s="792"/>
      <c r="BG15" s="792"/>
      <c r="BH15" s="792"/>
      <c r="BI15" s="792"/>
      <c r="BJ15" s="792"/>
      <c r="BK15" s="792"/>
      <c r="BL15" s="792"/>
      <c r="BM15" s="792"/>
      <c r="BN15" s="792"/>
      <c r="BO15" s="792"/>
      <c r="BP15" s="792"/>
      <c r="BQ15" s="792"/>
      <c r="BR15" s="792"/>
      <c r="BS15" s="792"/>
      <c r="BT15" s="792"/>
      <c r="BU15" s="792"/>
      <c r="BV15" s="792"/>
      <c r="BW15" s="792"/>
      <c r="BX15" s="792"/>
      <c r="BY15" s="792"/>
      <c r="BZ15" s="792"/>
      <c r="CA15" s="792"/>
      <c r="CB15" s="792"/>
      <c r="CC15" s="792"/>
      <c r="CD15" s="792"/>
      <c r="CE15" s="792"/>
      <c r="CF15" s="792"/>
      <c r="CG15" s="792"/>
      <c r="CH15" s="792"/>
      <c r="CI15" s="792"/>
      <c r="CJ15" s="792"/>
      <c r="CK15" s="792"/>
      <c r="CL15" s="792"/>
      <c r="CM15" s="792"/>
      <c r="CN15" s="792"/>
      <c r="CO15" s="792"/>
      <c r="CP15" s="792"/>
      <c r="CQ15" s="792"/>
      <c r="CR15" s="792"/>
      <c r="CS15" s="792"/>
      <c r="CT15" s="792"/>
      <c r="CU15" s="792"/>
      <c r="CV15" s="792"/>
      <c r="CW15" s="792"/>
      <c r="CX15" s="792"/>
      <c r="CY15" s="792"/>
      <c r="CZ15" s="792"/>
      <c r="DA15" s="792"/>
      <c r="DB15" s="792"/>
      <c r="DC15" s="792"/>
    </row>
    <row r="16" spans="1:107" s="305" customFormat="1" ht="12.75" thickBot="1" x14ac:dyDescent="0.25">
      <c r="A16" s="792"/>
      <c r="B16" s="790" t="s">
        <v>375</v>
      </c>
      <c r="C16" s="1165">
        <f>+'Reference Systems'!AC14</f>
        <v>1.2127659574468084</v>
      </c>
      <c r="D16" s="1165"/>
      <c r="E16" s="1165">
        <f>+'Reference Systems'!AC27</f>
        <v>1.2127659574468084</v>
      </c>
      <c r="F16" s="1165"/>
      <c r="G16" s="1165">
        <f>+'Reference Systems'!AC40</f>
        <v>1.2127659574468084</v>
      </c>
      <c r="H16" s="1166"/>
      <c r="I16" s="792"/>
      <c r="J16" s="792"/>
      <c r="K16" s="792"/>
      <c r="L16" s="792"/>
      <c r="M16" s="792"/>
      <c r="N16" s="792"/>
      <c r="O16" s="792"/>
      <c r="P16" s="792"/>
      <c r="Q16" s="792"/>
      <c r="R16" s="792"/>
      <c r="S16" s="792"/>
      <c r="T16" s="792"/>
      <c r="U16" s="792"/>
      <c r="V16" s="792"/>
      <c r="W16" s="792"/>
      <c r="X16" s="792"/>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c r="BC16" s="792"/>
      <c r="BD16" s="792"/>
      <c r="BE16" s="792"/>
      <c r="BF16" s="792"/>
      <c r="BG16" s="792"/>
      <c r="BH16" s="792"/>
      <c r="BI16" s="792"/>
      <c r="BJ16" s="792"/>
      <c r="BK16" s="792"/>
      <c r="BL16" s="792"/>
      <c r="BM16" s="792"/>
      <c r="BN16" s="792"/>
      <c r="BO16" s="792"/>
      <c r="BP16" s="792"/>
      <c r="BQ16" s="792"/>
      <c r="BR16" s="792"/>
      <c r="BS16" s="792"/>
      <c r="BT16" s="792"/>
      <c r="BU16" s="792"/>
      <c r="BV16" s="792"/>
      <c r="BW16" s="792"/>
      <c r="BX16" s="792"/>
      <c r="BY16" s="792"/>
      <c r="BZ16" s="792"/>
      <c r="CA16" s="792"/>
      <c r="CB16" s="792"/>
      <c r="CC16" s="792"/>
      <c r="CD16" s="792"/>
      <c r="CE16" s="792"/>
      <c r="CF16" s="792"/>
      <c r="CG16" s="792"/>
      <c r="CH16" s="792"/>
      <c r="CI16" s="792"/>
      <c r="CJ16" s="792"/>
      <c r="CK16" s="792"/>
      <c r="CL16" s="792"/>
      <c r="CM16" s="792"/>
      <c r="CN16" s="792"/>
      <c r="CO16" s="792"/>
      <c r="CP16" s="792"/>
      <c r="CQ16" s="792"/>
      <c r="CR16" s="792"/>
      <c r="CS16" s="792"/>
      <c r="CT16" s="792"/>
      <c r="CU16" s="792"/>
      <c r="CV16" s="792"/>
      <c r="CW16" s="792"/>
      <c r="CX16" s="792"/>
      <c r="CY16" s="792"/>
      <c r="CZ16" s="792"/>
      <c r="DA16" s="792"/>
      <c r="DB16" s="792"/>
      <c r="DC16" s="792"/>
    </row>
    <row r="17" spans="1:107" s="305" customFormat="1" ht="12" x14ac:dyDescent="0.2">
      <c r="A17" s="792"/>
      <c r="B17" s="791" t="s">
        <v>410</v>
      </c>
      <c r="C17" s="792"/>
      <c r="D17" s="792"/>
      <c r="E17" s="792"/>
      <c r="F17" s="792"/>
      <c r="G17" s="792"/>
      <c r="H17" s="792"/>
      <c r="I17" s="792"/>
      <c r="J17" s="792"/>
      <c r="K17" s="792"/>
      <c r="L17" s="792"/>
      <c r="M17" s="792"/>
      <c r="N17" s="792"/>
      <c r="O17" s="792"/>
      <c r="P17" s="792"/>
      <c r="Q17" s="792"/>
      <c r="R17" s="792"/>
      <c r="S17" s="792"/>
      <c r="T17" s="792"/>
      <c r="U17" s="792"/>
      <c r="V17" s="792"/>
      <c r="W17" s="792"/>
      <c r="X17" s="792"/>
      <c r="Y17" s="792"/>
      <c r="Z17" s="792"/>
      <c r="AA17" s="792"/>
      <c r="AB17" s="792"/>
      <c r="AC17" s="792"/>
      <c r="AD17" s="792"/>
      <c r="AE17" s="792"/>
      <c r="AF17" s="792"/>
      <c r="AG17" s="792"/>
      <c r="AH17" s="792"/>
      <c r="AI17" s="792"/>
      <c r="AJ17" s="792"/>
      <c r="AK17" s="792"/>
      <c r="AL17" s="792"/>
      <c r="AM17" s="792"/>
      <c r="AN17" s="792"/>
      <c r="AO17" s="792"/>
      <c r="AP17" s="792"/>
      <c r="AQ17" s="792"/>
      <c r="AR17" s="792"/>
      <c r="AS17" s="792"/>
      <c r="AT17" s="792"/>
      <c r="AU17" s="792"/>
      <c r="AV17" s="792"/>
      <c r="AW17" s="792"/>
      <c r="AX17" s="792"/>
      <c r="AY17" s="792"/>
      <c r="AZ17" s="792"/>
      <c r="BA17" s="792"/>
      <c r="BB17" s="792"/>
      <c r="BC17" s="792"/>
      <c r="BD17" s="792"/>
      <c r="BE17" s="792"/>
      <c r="BF17" s="792"/>
      <c r="BG17" s="792"/>
      <c r="BH17" s="792"/>
      <c r="BI17" s="792"/>
      <c r="BJ17" s="792"/>
      <c r="BK17" s="792"/>
      <c r="BL17" s="792"/>
      <c r="BM17" s="792"/>
      <c r="BN17" s="792"/>
      <c r="BO17" s="792"/>
      <c r="BP17" s="792"/>
      <c r="BQ17" s="792"/>
      <c r="BR17" s="792"/>
      <c r="BS17" s="792"/>
      <c r="BT17" s="792"/>
      <c r="BU17" s="792"/>
      <c r="BV17" s="792"/>
      <c r="BW17" s="792"/>
      <c r="BX17" s="792"/>
      <c r="BY17" s="792"/>
      <c r="BZ17" s="792"/>
      <c r="CA17" s="792"/>
      <c r="CB17" s="792"/>
      <c r="CC17" s="792"/>
      <c r="CD17" s="792"/>
      <c r="CE17" s="792"/>
      <c r="CF17" s="792"/>
      <c r="CG17" s="792"/>
      <c r="CH17" s="792"/>
      <c r="CI17" s="792"/>
      <c r="CJ17" s="792"/>
      <c r="CK17" s="792"/>
      <c r="CL17" s="792"/>
      <c r="CM17" s="792"/>
      <c r="CN17" s="792"/>
      <c r="CO17" s="792"/>
      <c r="CP17" s="792"/>
      <c r="CQ17" s="792"/>
      <c r="CR17" s="792"/>
      <c r="CS17" s="792"/>
      <c r="CT17" s="792"/>
      <c r="CU17" s="792"/>
      <c r="CV17" s="792"/>
      <c r="CW17" s="792"/>
      <c r="CX17" s="792"/>
      <c r="CY17" s="792"/>
      <c r="CZ17" s="792"/>
      <c r="DA17" s="792"/>
      <c r="DB17" s="792"/>
      <c r="DC17" s="792"/>
    </row>
    <row r="18" spans="1:107" s="305" customFormat="1" ht="12" x14ac:dyDescent="0.2">
      <c r="A18" s="792"/>
      <c r="B18" s="791"/>
      <c r="C18" s="792"/>
      <c r="D18" s="792"/>
      <c r="E18" s="792"/>
      <c r="F18" s="792"/>
      <c r="G18" s="792"/>
      <c r="H18" s="792"/>
      <c r="I18" s="792"/>
      <c r="J18" s="792"/>
      <c r="K18" s="792"/>
      <c r="L18" s="792"/>
      <c r="M18" s="792"/>
      <c r="N18" s="792"/>
      <c r="O18" s="792"/>
      <c r="P18" s="792"/>
      <c r="Q18" s="792"/>
      <c r="R18" s="792"/>
      <c r="S18" s="792"/>
      <c r="T18" s="792"/>
      <c r="U18" s="792"/>
      <c r="V18" s="792"/>
      <c r="W18" s="792"/>
      <c r="X18" s="792"/>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c r="BC18" s="792"/>
      <c r="BD18" s="792"/>
      <c r="BE18" s="792"/>
      <c r="BF18" s="792"/>
      <c r="BG18" s="792"/>
      <c r="BH18" s="792"/>
      <c r="BI18" s="792"/>
      <c r="BJ18" s="792"/>
      <c r="BK18" s="792"/>
      <c r="BL18" s="792"/>
      <c r="BM18" s="792"/>
      <c r="BN18" s="792"/>
      <c r="BO18" s="792"/>
      <c r="BP18" s="792"/>
      <c r="BQ18" s="792"/>
      <c r="BR18" s="792"/>
      <c r="BS18" s="792"/>
      <c r="BT18" s="792"/>
      <c r="BU18" s="792"/>
      <c r="BV18" s="792"/>
      <c r="BW18" s="792"/>
      <c r="BX18" s="792"/>
      <c r="BY18" s="792"/>
      <c r="BZ18" s="792"/>
      <c r="CA18" s="792"/>
      <c r="CB18" s="792"/>
      <c r="CC18" s="792"/>
      <c r="CD18" s="792"/>
      <c r="CE18" s="792"/>
      <c r="CF18" s="792"/>
      <c r="CG18" s="792"/>
      <c r="CH18" s="792"/>
      <c r="CI18" s="792"/>
      <c r="CJ18" s="792"/>
      <c r="CK18" s="792"/>
      <c r="CL18" s="792"/>
      <c r="CM18" s="792"/>
      <c r="CN18" s="792"/>
      <c r="CO18" s="792"/>
      <c r="CP18" s="792"/>
      <c r="CQ18" s="792"/>
      <c r="CR18" s="792"/>
      <c r="CS18" s="792"/>
      <c r="CT18" s="792"/>
      <c r="CU18" s="792"/>
      <c r="CV18" s="792"/>
      <c r="CW18" s="792"/>
      <c r="CX18" s="792"/>
      <c r="CY18" s="792"/>
      <c r="CZ18" s="792"/>
      <c r="DA18" s="792"/>
      <c r="DB18" s="792"/>
      <c r="DC18" s="792"/>
    </row>
    <row r="19" spans="1:107" s="305" customFormat="1" ht="17.25" thickBot="1" x14ac:dyDescent="0.3">
      <c r="A19" s="792"/>
      <c r="B19" s="782" t="s">
        <v>395</v>
      </c>
      <c r="C19" s="976"/>
      <c r="D19" s="976"/>
      <c r="E19" s="976"/>
      <c r="F19" s="976"/>
      <c r="G19" s="976"/>
      <c r="H19" s="976"/>
      <c r="I19" s="792"/>
      <c r="J19" s="792"/>
      <c r="K19" s="792"/>
      <c r="L19" s="792"/>
      <c r="M19" s="792"/>
      <c r="N19" s="792"/>
      <c r="O19" s="792"/>
      <c r="P19" s="792"/>
      <c r="Q19" s="792"/>
      <c r="R19" s="792"/>
      <c r="S19" s="792"/>
      <c r="T19" s="792"/>
      <c r="U19" s="792"/>
      <c r="V19" s="792"/>
      <c r="W19" s="792"/>
      <c r="X19" s="792"/>
      <c r="Y19" s="792"/>
      <c r="Z19" s="792"/>
      <c r="AA19" s="792"/>
      <c r="AB19" s="792"/>
      <c r="AC19" s="792"/>
      <c r="AD19" s="792"/>
      <c r="AE19" s="792"/>
      <c r="AF19" s="792"/>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c r="BC19" s="792"/>
      <c r="BD19" s="792"/>
      <c r="BE19" s="792"/>
      <c r="BF19" s="792"/>
      <c r="BG19" s="792"/>
      <c r="BH19" s="792"/>
      <c r="BI19" s="792"/>
      <c r="BJ19" s="792"/>
      <c r="BK19" s="792"/>
      <c r="BL19" s="792"/>
      <c r="BM19" s="792"/>
      <c r="BN19" s="792"/>
      <c r="BO19" s="792"/>
      <c r="BP19" s="792"/>
      <c r="BQ19" s="792"/>
      <c r="BR19" s="792"/>
      <c r="BS19" s="792"/>
      <c r="BT19" s="792"/>
      <c r="BU19" s="792"/>
      <c r="BV19" s="792"/>
      <c r="BW19" s="792"/>
      <c r="BX19" s="792"/>
      <c r="BY19" s="792"/>
      <c r="BZ19" s="792"/>
      <c r="CA19" s="792"/>
      <c r="CB19" s="792"/>
      <c r="CC19" s="792"/>
      <c r="CD19" s="792"/>
      <c r="CE19" s="792"/>
      <c r="CF19" s="792"/>
      <c r="CG19" s="792"/>
      <c r="CH19" s="792"/>
      <c r="CI19" s="792"/>
      <c r="CJ19" s="792"/>
      <c r="CK19" s="792"/>
      <c r="CL19" s="792"/>
      <c r="CM19" s="792"/>
      <c r="CN19" s="792"/>
      <c r="CO19" s="792"/>
      <c r="CP19" s="792"/>
      <c r="CQ19" s="792"/>
      <c r="CR19" s="792"/>
      <c r="CS19" s="792"/>
      <c r="CT19" s="792"/>
      <c r="CU19" s="792"/>
      <c r="CV19" s="792"/>
      <c r="CW19" s="792"/>
      <c r="CX19" s="792"/>
      <c r="CY19" s="792"/>
      <c r="CZ19" s="792"/>
      <c r="DA19" s="792"/>
      <c r="DB19" s="792"/>
      <c r="DC19" s="792"/>
    </row>
    <row r="20" spans="1:107" s="305" customFormat="1" ht="12" x14ac:dyDescent="0.2">
      <c r="A20" s="792"/>
      <c r="B20" s="977" t="s">
        <v>24</v>
      </c>
      <c r="C20" s="395"/>
      <c r="D20" s="395"/>
      <c r="E20" s="395"/>
      <c r="F20" s="395"/>
      <c r="G20" s="395"/>
      <c r="H20" s="784"/>
      <c r="I20" s="792"/>
      <c r="J20" s="792"/>
      <c r="K20" s="792"/>
      <c r="L20" s="792"/>
      <c r="M20" s="792"/>
      <c r="N20" s="792"/>
      <c r="O20" s="792"/>
      <c r="P20" s="792"/>
      <c r="Q20" s="792"/>
      <c r="R20" s="792"/>
      <c r="S20" s="792"/>
      <c r="T20" s="792"/>
      <c r="U20" s="792"/>
      <c r="V20" s="792"/>
      <c r="W20" s="792"/>
      <c r="X20" s="792"/>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c r="BC20" s="792"/>
      <c r="BD20" s="792"/>
      <c r="BE20" s="792"/>
      <c r="BF20" s="792"/>
      <c r="BG20" s="792"/>
      <c r="BH20" s="792"/>
      <c r="BI20" s="792"/>
      <c r="BJ20" s="792"/>
      <c r="BK20" s="792"/>
      <c r="BL20" s="792"/>
      <c r="BM20" s="792"/>
      <c r="BN20" s="792"/>
      <c r="BO20" s="792"/>
      <c r="BP20" s="792"/>
      <c r="BQ20" s="792"/>
      <c r="BR20" s="792"/>
      <c r="BS20" s="792"/>
      <c r="BT20" s="792"/>
      <c r="BU20" s="792"/>
      <c r="BV20" s="792"/>
      <c r="BW20" s="792"/>
      <c r="BX20" s="792"/>
      <c r="BY20" s="792"/>
      <c r="BZ20" s="792"/>
      <c r="CA20" s="792"/>
      <c r="CB20" s="792"/>
      <c r="CC20" s="792"/>
      <c r="CD20" s="792"/>
      <c r="CE20" s="792"/>
      <c r="CF20" s="792"/>
      <c r="CG20" s="792"/>
      <c r="CH20" s="792"/>
      <c r="CI20" s="792"/>
      <c r="CJ20" s="792"/>
      <c r="CK20" s="792"/>
      <c r="CL20" s="792"/>
      <c r="CM20" s="792"/>
      <c r="CN20" s="792"/>
      <c r="CO20" s="792"/>
      <c r="CP20" s="792"/>
      <c r="CQ20" s="792"/>
      <c r="CR20" s="792"/>
      <c r="CS20" s="792"/>
      <c r="CT20" s="792"/>
      <c r="CU20" s="792"/>
      <c r="CV20" s="792"/>
      <c r="CW20" s="792"/>
      <c r="CX20" s="792"/>
      <c r="CY20" s="792"/>
      <c r="CZ20" s="792"/>
      <c r="DA20" s="792"/>
      <c r="DB20" s="792"/>
      <c r="DC20" s="792"/>
    </row>
    <row r="21" spans="1:107" s="305" customFormat="1" ht="12" x14ac:dyDescent="0.2">
      <c r="A21" s="792"/>
      <c r="B21" s="978" t="s">
        <v>394</v>
      </c>
      <c r="C21" s="1167" t="str">
        <f>+'Reference Systems'!AC146</f>
        <v>Partly slatted floors with 24-49% solid floor</v>
      </c>
      <c r="D21" s="1167"/>
      <c r="E21" s="1167"/>
      <c r="F21" s="1167"/>
      <c r="G21" s="1167"/>
      <c r="H21" s="1168"/>
      <c r="I21" s="792"/>
      <c r="J21" s="792"/>
      <c r="K21" s="792"/>
      <c r="L21" s="792"/>
      <c r="M21" s="792"/>
      <c r="N21" s="792"/>
      <c r="O21" s="792"/>
      <c r="P21" s="792"/>
      <c r="Q21" s="792"/>
      <c r="R21" s="792"/>
      <c r="S21" s="792"/>
      <c r="T21" s="792"/>
      <c r="U21" s="792"/>
      <c r="V21" s="792"/>
      <c r="W21" s="792"/>
      <c r="X21" s="792"/>
      <c r="Y21" s="792"/>
      <c r="Z21" s="792"/>
      <c r="AA21" s="792"/>
      <c r="AB21" s="792"/>
      <c r="AC21" s="792"/>
      <c r="AD21" s="792"/>
      <c r="AE21" s="792"/>
      <c r="AF21" s="792"/>
      <c r="AG21" s="792"/>
      <c r="AH21" s="792"/>
      <c r="AI21" s="792"/>
      <c r="AJ21" s="792"/>
      <c r="AK21" s="792"/>
      <c r="AL21" s="792"/>
      <c r="AM21" s="792"/>
      <c r="AN21" s="792"/>
      <c r="AO21" s="792"/>
      <c r="AP21" s="792"/>
      <c r="AQ21" s="792"/>
      <c r="AR21" s="792"/>
      <c r="AS21" s="792"/>
      <c r="AT21" s="792"/>
      <c r="AU21" s="792"/>
      <c r="AV21" s="792"/>
      <c r="AW21" s="792"/>
      <c r="AX21" s="792"/>
      <c r="AY21" s="792"/>
      <c r="AZ21" s="792"/>
      <c r="BA21" s="792"/>
      <c r="BB21" s="792"/>
      <c r="BC21" s="792"/>
      <c r="BD21" s="792"/>
      <c r="BE21" s="792"/>
      <c r="BF21" s="792"/>
      <c r="BG21" s="792"/>
      <c r="BH21" s="792"/>
      <c r="BI21" s="792"/>
      <c r="BJ21" s="792"/>
      <c r="BK21" s="792"/>
      <c r="BL21" s="792"/>
      <c r="BM21" s="792"/>
      <c r="BN21" s="792"/>
      <c r="BO21" s="792"/>
      <c r="BP21" s="792"/>
      <c r="BQ21" s="792"/>
      <c r="BR21" s="792"/>
      <c r="BS21" s="792"/>
      <c r="BT21" s="792"/>
      <c r="BU21" s="792"/>
      <c r="BV21" s="792"/>
      <c r="BW21" s="792"/>
      <c r="BX21" s="792"/>
      <c r="BY21" s="792"/>
      <c r="BZ21" s="792"/>
      <c r="CA21" s="792"/>
      <c r="CB21" s="792"/>
      <c r="CC21" s="792"/>
      <c r="CD21" s="792"/>
      <c r="CE21" s="792"/>
      <c r="CF21" s="792"/>
      <c r="CG21" s="792"/>
      <c r="CH21" s="792"/>
      <c r="CI21" s="792"/>
      <c r="CJ21" s="792"/>
      <c r="CK21" s="792"/>
      <c r="CL21" s="792"/>
      <c r="CM21" s="792"/>
      <c r="CN21" s="792"/>
      <c r="CO21" s="792"/>
      <c r="CP21" s="792"/>
      <c r="CQ21" s="792"/>
      <c r="CR21" s="792"/>
      <c r="CS21" s="792"/>
      <c r="CT21" s="792"/>
      <c r="CU21" s="792"/>
      <c r="CV21" s="792"/>
      <c r="CW21" s="792"/>
      <c r="CX21" s="792"/>
      <c r="CY21" s="792"/>
      <c r="CZ21" s="792"/>
      <c r="DA21" s="792"/>
      <c r="DB21" s="792"/>
      <c r="DC21" s="792"/>
    </row>
    <row r="22" spans="1:107" s="305" customFormat="1" ht="24" x14ac:dyDescent="0.2">
      <c r="A22" s="792"/>
      <c r="B22" s="979" t="s">
        <v>393</v>
      </c>
      <c r="C22" s="1169" t="str">
        <f>+'Reference Systems'!AC147&amp;". "&amp;'Reference Systems'!AC148</f>
        <v>15 days. Pumped towards pre-tank, and from there towards outdoor storage</v>
      </c>
      <c r="D22" s="1169"/>
      <c r="E22" s="1169"/>
      <c r="F22" s="1169"/>
      <c r="G22" s="1169"/>
      <c r="H22" s="1170"/>
      <c r="I22" s="792"/>
      <c r="J22" s="792"/>
      <c r="K22" s="792"/>
      <c r="L22" s="792"/>
      <c r="M22" s="792"/>
      <c r="N22" s="792"/>
      <c r="O22" s="792"/>
      <c r="P22" s="792"/>
      <c r="Q22" s="792"/>
      <c r="R22" s="792"/>
      <c r="S22" s="792"/>
      <c r="T22" s="792"/>
      <c r="U22" s="792"/>
      <c r="V22" s="792"/>
      <c r="W22" s="792"/>
      <c r="X22" s="792"/>
      <c r="Y22" s="792"/>
      <c r="Z22" s="792"/>
      <c r="AA22" s="792"/>
      <c r="AB22" s="792"/>
      <c r="AC22" s="792"/>
      <c r="AD22" s="792"/>
      <c r="AE22" s="792"/>
      <c r="AF22" s="792"/>
      <c r="AG22" s="792"/>
      <c r="AH22" s="792"/>
      <c r="AI22" s="792"/>
      <c r="AJ22" s="792"/>
      <c r="AK22" s="792"/>
      <c r="AL22" s="792"/>
      <c r="AM22" s="792"/>
      <c r="AN22" s="792"/>
      <c r="AO22" s="792"/>
      <c r="AP22" s="792"/>
      <c r="AQ22" s="792"/>
      <c r="AR22" s="792"/>
      <c r="AS22" s="792"/>
      <c r="AT22" s="792"/>
      <c r="AU22" s="792"/>
      <c r="AV22" s="792"/>
      <c r="AW22" s="792"/>
      <c r="AX22" s="792"/>
      <c r="AY22" s="792"/>
      <c r="AZ22" s="792"/>
      <c r="BA22" s="792"/>
      <c r="BB22" s="792"/>
      <c r="BC22" s="792"/>
      <c r="BD22" s="792"/>
      <c r="BE22" s="792"/>
      <c r="BF22" s="792"/>
      <c r="BG22" s="792"/>
      <c r="BH22" s="792"/>
      <c r="BI22" s="792"/>
      <c r="BJ22" s="792"/>
      <c r="BK22" s="792"/>
      <c r="BL22" s="792"/>
      <c r="BM22" s="792"/>
      <c r="BN22" s="792"/>
      <c r="BO22" s="792"/>
      <c r="BP22" s="792"/>
      <c r="BQ22" s="792"/>
      <c r="BR22" s="792"/>
      <c r="BS22" s="792"/>
      <c r="BT22" s="792"/>
      <c r="BU22" s="792"/>
      <c r="BV22" s="792"/>
      <c r="BW22" s="792"/>
      <c r="BX22" s="792"/>
      <c r="BY22" s="792"/>
      <c r="BZ22" s="792"/>
      <c r="CA22" s="792"/>
      <c r="CB22" s="792"/>
      <c r="CC22" s="792"/>
      <c r="CD22" s="792"/>
      <c r="CE22" s="792"/>
      <c r="CF22" s="792"/>
      <c r="CG22" s="792"/>
      <c r="CH22" s="792"/>
      <c r="CI22" s="792"/>
      <c r="CJ22" s="792"/>
      <c r="CK22" s="792"/>
      <c r="CL22" s="792"/>
      <c r="CM22" s="792"/>
      <c r="CN22" s="792"/>
      <c r="CO22" s="792"/>
      <c r="CP22" s="792"/>
      <c r="CQ22" s="792"/>
      <c r="CR22" s="792"/>
      <c r="CS22" s="792"/>
      <c r="CT22" s="792"/>
      <c r="CU22" s="792"/>
      <c r="CV22" s="792"/>
      <c r="CW22" s="792"/>
      <c r="CX22" s="792"/>
      <c r="CY22" s="792"/>
      <c r="CZ22" s="792"/>
      <c r="DA22" s="792"/>
      <c r="DB22" s="792"/>
      <c r="DC22" s="792"/>
    </row>
    <row r="23" spans="1:107" s="305" customFormat="1" ht="12" x14ac:dyDescent="0.2">
      <c r="A23" s="792"/>
      <c r="B23" s="785" t="s">
        <v>391</v>
      </c>
      <c r="C23" s="786"/>
      <c r="D23" s="787"/>
      <c r="E23" s="980"/>
      <c r="F23" s="980"/>
      <c r="G23" s="980"/>
      <c r="H23" s="981"/>
      <c r="I23" s="792"/>
      <c r="J23" s="792"/>
      <c r="K23" s="792"/>
      <c r="L23" s="792"/>
      <c r="M23" s="792"/>
      <c r="N23" s="792"/>
      <c r="O23" s="792"/>
      <c r="P23" s="792"/>
      <c r="Q23" s="792"/>
      <c r="R23" s="792"/>
      <c r="S23" s="792"/>
      <c r="T23" s="792"/>
      <c r="U23" s="792"/>
      <c r="V23" s="792"/>
      <c r="W23" s="792"/>
      <c r="X23" s="792"/>
      <c r="Y23" s="792"/>
      <c r="Z23" s="792"/>
      <c r="AA23" s="792"/>
      <c r="AB23" s="792"/>
      <c r="AC23" s="792"/>
      <c r="AD23" s="792"/>
      <c r="AE23" s="792"/>
      <c r="AF23" s="792"/>
      <c r="AG23" s="792"/>
      <c r="AH23" s="792"/>
      <c r="AI23" s="792"/>
      <c r="AJ23" s="792"/>
      <c r="AK23" s="792"/>
      <c r="AL23" s="792"/>
      <c r="AM23" s="792"/>
      <c r="AN23" s="792"/>
      <c r="AO23" s="792"/>
      <c r="AP23" s="792"/>
      <c r="AQ23" s="792"/>
      <c r="AR23" s="792"/>
      <c r="AS23" s="792"/>
      <c r="AT23" s="792"/>
      <c r="AU23" s="792"/>
      <c r="AV23" s="792"/>
      <c r="AW23" s="792"/>
      <c r="AX23" s="792"/>
      <c r="AY23" s="792"/>
      <c r="AZ23" s="792"/>
      <c r="BA23" s="792"/>
      <c r="BB23" s="792"/>
      <c r="BC23" s="792"/>
      <c r="BD23" s="792"/>
      <c r="BE23" s="792"/>
      <c r="BF23" s="792"/>
      <c r="BG23" s="792"/>
      <c r="BH23" s="792"/>
      <c r="BI23" s="792"/>
      <c r="BJ23" s="792"/>
      <c r="BK23" s="792"/>
      <c r="BL23" s="792"/>
      <c r="BM23" s="792"/>
      <c r="BN23" s="792"/>
      <c r="BO23" s="792"/>
      <c r="BP23" s="792"/>
      <c r="BQ23" s="792"/>
      <c r="BR23" s="792"/>
      <c r="BS23" s="792"/>
      <c r="BT23" s="792"/>
      <c r="BU23" s="792"/>
      <c r="BV23" s="792"/>
      <c r="BW23" s="792"/>
      <c r="BX23" s="792"/>
      <c r="BY23" s="792"/>
      <c r="BZ23" s="792"/>
      <c r="CA23" s="792"/>
      <c r="CB23" s="792"/>
      <c r="CC23" s="792"/>
      <c r="CD23" s="792"/>
      <c r="CE23" s="792"/>
      <c r="CF23" s="792"/>
      <c r="CG23" s="792"/>
      <c r="CH23" s="792"/>
      <c r="CI23" s="792"/>
      <c r="CJ23" s="792"/>
      <c r="CK23" s="792"/>
      <c r="CL23" s="792"/>
      <c r="CM23" s="792"/>
      <c r="CN23" s="792"/>
      <c r="CO23" s="792"/>
      <c r="CP23" s="792"/>
      <c r="CQ23" s="792"/>
      <c r="CR23" s="792"/>
      <c r="CS23" s="792"/>
      <c r="CT23" s="792"/>
      <c r="CU23" s="792"/>
      <c r="CV23" s="792"/>
      <c r="CW23" s="792"/>
      <c r="CX23" s="792"/>
      <c r="CY23" s="792"/>
      <c r="CZ23" s="792"/>
      <c r="DA23" s="792"/>
      <c r="DB23" s="792"/>
      <c r="DC23" s="792"/>
    </row>
    <row r="24" spans="1:107" s="305" customFormat="1" ht="23.25" customHeight="1" x14ac:dyDescent="0.2">
      <c r="A24" s="792"/>
      <c r="B24" s="978" t="s">
        <v>390</v>
      </c>
      <c r="C24" s="1169" t="str">
        <f>+'Reference Systems'!AC151</f>
        <v>Concrete tank, with a straw floating layer</v>
      </c>
      <c r="D24" s="1169"/>
      <c r="E24" s="1169"/>
      <c r="F24" s="1169"/>
      <c r="G24" s="1169"/>
      <c r="H24" s="1170"/>
      <c r="I24" s="792"/>
      <c r="J24" s="792"/>
      <c r="K24" s="792"/>
      <c r="L24" s="792"/>
      <c r="M24" s="792"/>
      <c r="N24" s="792"/>
      <c r="O24" s="792"/>
      <c r="P24" s="792"/>
      <c r="Q24" s="792"/>
      <c r="R24" s="792"/>
      <c r="S24" s="792"/>
      <c r="T24" s="792"/>
      <c r="U24" s="792"/>
      <c r="V24" s="792"/>
      <c r="W24" s="792"/>
      <c r="X24" s="792"/>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c r="BC24" s="792"/>
      <c r="BD24" s="792"/>
      <c r="BE24" s="792"/>
      <c r="BF24" s="792"/>
      <c r="BG24" s="792"/>
      <c r="BH24" s="792"/>
      <c r="BI24" s="792"/>
      <c r="BJ24" s="792"/>
      <c r="BK24" s="792"/>
      <c r="BL24" s="792"/>
      <c r="BM24" s="792"/>
      <c r="BN24" s="792"/>
      <c r="BO24" s="792"/>
      <c r="BP24" s="792"/>
      <c r="BQ24" s="792"/>
      <c r="BR24" s="792"/>
      <c r="BS24" s="792"/>
      <c r="BT24" s="792"/>
      <c r="BU24" s="792"/>
      <c r="BV24" s="792"/>
      <c r="BW24" s="792"/>
      <c r="BX24" s="792"/>
      <c r="BY24" s="792"/>
      <c r="BZ24" s="792"/>
      <c r="CA24" s="792"/>
      <c r="CB24" s="792"/>
      <c r="CC24" s="792"/>
      <c r="CD24" s="792"/>
      <c r="CE24" s="792"/>
      <c r="CF24" s="792"/>
      <c r="CG24" s="792"/>
      <c r="CH24" s="792"/>
      <c r="CI24" s="792"/>
      <c r="CJ24" s="792"/>
      <c r="CK24" s="792"/>
      <c r="CL24" s="792"/>
      <c r="CM24" s="792"/>
      <c r="CN24" s="792"/>
      <c r="CO24" s="792"/>
      <c r="CP24" s="792"/>
      <c r="CQ24" s="792"/>
      <c r="CR24" s="792"/>
      <c r="CS24" s="792"/>
      <c r="CT24" s="792"/>
      <c r="CU24" s="792"/>
      <c r="CV24" s="792"/>
      <c r="CW24" s="792"/>
      <c r="CX24" s="792"/>
      <c r="CY24" s="792"/>
      <c r="CZ24" s="792"/>
      <c r="DA24" s="792"/>
      <c r="DB24" s="792"/>
      <c r="DC24" s="792"/>
    </row>
    <row r="25" spans="1:107" s="305" customFormat="1" ht="12" x14ac:dyDescent="0.2">
      <c r="A25" s="792"/>
      <c r="B25" s="785" t="s">
        <v>389</v>
      </c>
      <c r="C25" s="980"/>
      <c r="D25" s="980"/>
      <c r="E25" s="980"/>
      <c r="F25" s="980"/>
      <c r="G25" s="980"/>
      <c r="H25" s="981"/>
      <c r="I25" s="792"/>
      <c r="J25" s="792"/>
      <c r="K25" s="792"/>
      <c r="L25" s="792"/>
      <c r="M25" s="792"/>
      <c r="N25" s="792"/>
      <c r="O25" s="792"/>
      <c r="P25" s="792"/>
      <c r="Q25" s="792"/>
      <c r="R25" s="792"/>
      <c r="S25" s="792"/>
      <c r="T25" s="792"/>
      <c r="U25" s="792"/>
      <c r="V25" s="792"/>
      <c r="W25" s="792"/>
      <c r="X25" s="792"/>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c r="BC25" s="792"/>
      <c r="BD25" s="792"/>
      <c r="BE25" s="792"/>
      <c r="BF25" s="792"/>
      <c r="BG25" s="792"/>
      <c r="BH25" s="792"/>
      <c r="BI25" s="792"/>
      <c r="BJ25" s="792"/>
      <c r="BK25" s="792"/>
      <c r="BL25" s="792"/>
      <c r="BM25" s="792"/>
      <c r="BN25" s="792"/>
      <c r="BO25" s="792"/>
      <c r="BP25" s="792"/>
      <c r="BQ25" s="792"/>
      <c r="BR25" s="792"/>
      <c r="BS25" s="792"/>
      <c r="BT25" s="792"/>
      <c r="BU25" s="792"/>
      <c r="BV25" s="792"/>
      <c r="BW25" s="792"/>
      <c r="BX25" s="792"/>
      <c r="BY25" s="792"/>
      <c r="BZ25" s="792"/>
      <c r="CA25" s="792"/>
      <c r="CB25" s="792"/>
      <c r="CC25" s="792"/>
      <c r="CD25" s="792"/>
      <c r="CE25" s="792"/>
      <c r="CF25" s="792"/>
      <c r="CG25" s="792"/>
      <c r="CH25" s="792"/>
      <c r="CI25" s="792"/>
      <c r="CJ25" s="792"/>
      <c r="CK25" s="792"/>
      <c r="CL25" s="792"/>
      <c r="CM25" s="792"/>
      <c r="CN25" s="792"/>
      <c r="CO25" s="792"/>
      <c r="CP25" s="792"/>
      <c r="CQ25" s="792"/>
      <c r="CR25" s="792"/>
      <c r="CS25" s="792"/>
      <c r="CT25" s="792"/>
      <c r="CU25" s="792"/>
      <c r="CV25" s="792"/>
      <c r="CW25" s="792"/>
      <c r="CX25" s="792"/>
      <c r="CY25" s="792"/>
      <c r="CZ25" s="792"/>
      <c r="DA25" s="792"/>
      <c r="DB25" s="792"/>
      <c r="DC25" s="792"/>
    </row>
    <row r="26" spans="1:107" s="305" customFormat="1" ht="12.75" thickBot="1" x14ac:dyDescent="0.25">
      <c r="A26" s="792"/>
      <c r="B26" s="982" t="s">
        <v>919</v>
      </c>
      <c r="C26" s="1171" t="str">
        <f>+'Reference Systems'!AC153</f>
        <v>Trail hose application tanker</v>
      </c>
      <c r="D26" s="1171"/>
      <c r="E26" s="1171"/>
      <c r="F26" s="1171"/>
      <c r="G26" s="1171"/>
      <c r="H26" s="1172"/>
      <c r="I26" s="792"/>
      <c r="J26" s="792"/>
      <c r="K26" s="792"/>
      <c r="L26" s="792"/>
      <c r="M26" s="792"/>
      <c r="N26" s="792"/>
      <c r="O26" s="792"/>
      <c r="P26" s="792"/>
      <c r="Q26" s="792"/>
      <c r="R26" s="792"/>
      <c r="S26" s="792"/>
      <c r="T26" s="792"/>
      <c r="U26" s="792"/>
      <c r="V26" s="792"/>
      <c r="W26" s="792"/>
      <c r="X26" s="792"/>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c r="BC26" s="792"/>
      <c r="BD26" s="792"/>
      <c r="BE26" s="792"/>
      <c r="BF26" s="792"/>
      <c r="BG26" s="792"/>
      <c r="BH26" s="792"/>
      <c r="BI26" s="792"/>
      <c r="BJ26" s="792"/>
      <c r="BK26" s="792"/>
      <c r="BL26" s="792"/>
      <c r="BM26" s="792"/>
      <c r="BN26" s="792"/>
      <c r="BO26" s="792"/>
      <c r="BP26" s="792"/>
      <c r="BQ26" s="792"/>
      <c r="BR26" s="792"/>
      <c r="BS26" s="792"/>
      <c r="BT26" s="792"/>
      <c r="BU26" s="792"/>
      <c r="BV26" s="792"/>
      <c r="BW26" s="792"/>
      <c r="BX26" s="792"/>
      <c r="BY26" s="792"/>
      <c r="BZ26" s="792"/>
      <c r="CA26" s="792"/>
      <c r="CB26" s="792"/>
      <c r="CC26" s="792"/>
      <c r="CD26" s="792"/>
      <c r="CE26" s="792"/>
      <c r="CF26" s="792"/>
      <c r="CG26" s="792"/>
      <c r="CH26" s="792"/>
      <c r="CI26" s="792"/>
      <c r="CJ26" s="792"/>
      <c r="CK26" s="792"/>
      <c r="CL26" s="792"/>
      <c r="CM26" s="792"/>
      <c r="CN26" s="792"/>
      <c r="CO26" s="792"/>
      <c r="CP26" s="792"/>
      <c r="CQ26" s="792"/>
      <c r="CR26" s="792"/>
      <c r="CS26" s="792"/>
      <c r="CT26" s="792"/>
      <c r="CU26" s="792"/>
      <c r="CV26" s="792"/>
      <c r="CW26" s="792"/>
      <c r="CX26" s="792"/>
      <c r="CY26" s="792"/>
      <c r="CZ26" s="792"/>
      <c r="DA26" s="792"/>
      <c r="DB26" s="792"/>
      <c r="DC26" s="792"/>
    </row>
    <row r="27" spans="1:107" s="305" customFormat="1" ht="12" x14ac:dyDescent="0.2">
      <c r="A27" s="792"/>
      <c r="B27" s="791"/>
      <c r="C27" s="792"/>
      <c r="D27" s="792"/>
      <c r="E27" s="792"/>
      <c r="F27" s="792"/>
      <c r="G27" s="792"/>
      <c r="H27" s="792"/>
      <c r="I27" s="792"/>
      <c r="J27" s="792"/>
      <c r="K27" s="792"/>
      <c r="L27" s="792"/>
      <c r="M27" s="792"/>
      <c r="N27" s="792"/>
      <c r="O27" s="792"/>
      <c r="P27" s="792"/>
      <c r="Q27" s="792"/>
      <c r="R27" s="792"/>
      <c r="S27" s="792"/>
      <c r="T27" s="792"/>
      <c r="U27" s="792"/>
      <c r="V27" s="792"/>
      <c r="W27" s="792"/>
      <c r="X27" s="792"/>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c r="BC27" s="792"/>
      <c r="BD27" s="792"/>
      <c r="BE27" s="792"/>
      <c r="BF27" s="792"/>
      <c r="BG27" s="792"/>
      <c r="BH27" s="792"/>
      <c r="BI27" s="792"/>
      <c r="BJ27" s="792"/>
      <c r="BK27" s="792"/>
      <c r="BL27" s="792"/>
      <c r="BM27" s="792"/>
      <c r="BN27" s="792"/>
      <c r="BO27" s="792"/>
      <c r="BP27" s="792"/>
      <c r="BQ27" s="792"/>
      <c r="BR27" s="792"/>
      <c r="BS27" s="792"/>
      <c r="BT27" s="792"/>
      <c r="BU27" s="792"/>
      <c r="BV27" s="792"/>
      <c r="BW27" s="792"/>
      <c r="BX27" s="792"/>
      <c r="BY27" s="792"/>
      <c r="BZ27" s="792"/>
      <c r="CA27" s="792"/>
      <c r="CB27" s="792"/>
      <c r="CC27" s="792"/>
      <c r="CD27" s="792"/>
      <c r="CE27" s="792"/>
      <c r="CF27" s="792"/>
      <c r="CG27" s="792"/>
      <c r="CH27" s="792"/>
      <c r="CI27" s="792"/>
      <c r="CJ27" s="792"/>
      <c r="CK27" s="792"/>
      <c r="CL27" s="792"/>
      <c r="CM27" s="792"/>
      <c r="CN27" s="792"/>
      <c r="CO27" s="792"/>
      <c r="CP27" s="792"/>
      <c r="CQ27" s="792"/>
      <c r="CR27" s="792"/>
      <c r="CS27" s="792"/>
      <c r="CT27" s="792"/>
      <c r="CU27" s="792"/>
      <c r="CV27" s="792"/>
      <c r="CW27" s="792"/>
      <c r="CX27" s="792"/>
      <c r="CY27" s="792"/>
      <c r="CZ27" s="792"/>
      <c r="DA27" s="792"/>
      <c r="DB27" s="792"/>
      <c r="DC27" s="792"/>
    </row>
    <row r="28" spans="1:107" ht="17.25" thickBot="1" x14ac:dyDescent="0.3">
      <c r="B28" s="793" t="s">
        <v>371</v>
      </c>
      <c r="C28" s="794"/>
      <c r="D28" s="794"/>
      <c r="E28" s="794"/>
      <c r="F28" s="794"/>
      <c r="G28" s="794"/>
      <c r="H28" s="795"/>
    </row>
    <row r="29" spans="1:107" s="305" customFormat="1" ht="12" x14ac:dyDescent="0.2">
      <c r="A29" s="792"/>
      <c r="B29" s="356"/>
      <c r="C29" s="352"/>
      <c r="D29" s="352"/>
      <c r="E29" s="352" t="s">
        <v>367</v>
      </c>
      <c r="F29" s="352"/>
      <c r="G29" s="352"/>
      <c r="H29" s="353"/>
      <c r="I29" s="792"/>
      <c r="J29" s="792"/>
      <c r="K29" s="792"/>
      <c r="L29" s="792"/>
      <c r="M29" s="792"/>
      <c r="N29" s="792"/>
      <c r="O29" s="792"/>
      <c r="P29" s="792"/>
      <c r="Q29" s="792"/>
      <c r="R29" s="792"/>
      <c r="S29" s="792"/>
      <c r="T29" s="792"/>
      <c r="U29" s="792"/>
      <c r="V29" s="792"/>
      <c r="W29" s="792"/>
      <c r="X29" s="792"/>
      <c r="Y29" s="792"/>
      <c r="Z29" s="792"/>
      <c r="AA29" s="792"/>
      <c r="AB29" s="792"/>
      <c r="AC29" s="792"/>
      <c r="AD29" s="792"/>
      <c r="AE29" s="792"/>
      <c r="AF29" s="792"/>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c r="BC29" s="792"/>
      <c r="BD29" s="792"/>
      <c r="BE29" s="792"/>
      <c r="BF29" s="792"/>
      <c r="BG29" s="792"/>
      <c r="BH29" s="792"/>
      <c r="BI29" s="792"/>
      <c r="BJ29" s="792"/>
      <c r="BK29" s="792"/>
      <c r="BL29" s="792"/>
      <c r="BM29" s="792"/>
      <c r="BN29" s="792"/>
      <c r="BO29" s="792"/>
      <c r="BP29" s="792"/>
      <c r="BQ29" s="792"/>
      <c r="BR29" s="792"/>
      <c r="BS29" s="792"/>
      <c r="BT29" s="792"/>
      <c r="BU29" s="792"/>
      <c r="BV29" s="792"/>
      <c r="BW29" s="792"/>
      <c r="BX29" s="792"/>
      <c r="BY29" s="792"/>
      <c r="BZ29" s="792"/>
      <c r="CA29" s="792"/>
      <c r="CB29" s="792"/>
      <c r="CC29" s="792"/>
      <c r="CD29" s="792"/>
      <c r="CE29" s="792"/>
      <c r="CF29" s="792"/>
      <c r="CG29" s="792"/>
      <c r="CH29" s="792"/>
      <c r="CI29" s="792"/>
      <c r="CJ29" s="792"/>
      <c r="CK29" s="792"/>
      <c r="CL29" s="792"/>
      <c r="CM29" s="792"/>
      <c r="CN29" s="792"/>
      <c r="CO29" s="792"/>
      <c r="CP29" s="792"/>
      <c r="CQ29" s="792"/>
      <c r="CR29" s="792"/>
      <c r="CS29" s="792"/>
      <c r="CT29" s="792"/>
      <c r="CU29" s="792"/>
      <c r="CV29" s="792"/>
      <c r="CW29" s="792"/>
      <c r="CX29" s="792"/>
      <c r="CY29" s="792"/>
      <c r="CZ29" s="792"/>
      <c r="DA29" s="792"/>
      <c r="DB29" s="792"/>
      <c r="DC29" s="792"/>
    </row>
    <row r="30" spans="1:107" s="305" customFormat="1" ht="12.75" thickBot="1" x14ac:dyDescent="0.25">
      <c r="A30" s="792"/>
      <c r="B30" s="378"/>
      <c r="C30" s="1153" t="s">
        <v>24</v>
      </c>
      <c r="D30" s="1153"/>
      <c r="E30" s="1153" t="s">
        <v>282</v>
      </c>
      <c r="F30" s="1153"/>
      <c r="G30" s="1153" t="s">
        <v>281</v>
      </c>
      <c r="H30" s="1164"/>
      <c r="I30" s="792"/>
      <c r="J30" s="792"/>
      <c r="K30" s="792"/>
      <c r="L30" s="792"/>
      <c r="M30" s="792"/>
      <c r="N30" s="792"/>
      <c r="O30" s="792"/>
      <c r="P30" s="792"/>
      <c r="Q30" s="792"/>
      <c r="R30" s="792"/>
      <c r="S30" s="792"/>
      <c r="T30" s="792"/>
      <c r="U30" s="792"/>
      <c r="V30" s="792"/>
      <c r="W30" s="792"/>
      <c r="X30" s="792"/>
      <c r="Y30" s="792"/>
      <c r="Z30" s="792"/>
      <c r="AA30" s="792"/>
      <c r="AB30" s="792"/>
      <c r="AC30" s="792"/>
      <c r="AD30" s="792"/>
      <c r="AE30" s="792"/>
      <c r="AF30" s="792"/>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c r="BC30" s="792"/>
      <c r="BD30" s="792"/>
      <c r="BE30" s="792"/>
      <c r="BF30" s="792"/>
      <c r="BG30" s="792"/>
      <c r="BH30" s="792"/>
      <c r="BI30" s="792"/>
      <c r="BJ30" s="792"/>
      <c r="BK30" s="792"/>
      <c r="BL30" s="792"/>
      <c r="BM30" s="792"/>
      <c r="BN30" s="792"/>
      <c r="BO30" s="792"/>
      <c r="BP30" s="792"/>
      <c r="BQ30" s="792"/>
      <c r="BR30" s="792"/>
      <c r="BS30" s="792"/>
      <c r="BT30" s="792"/>
      <c r="BU30" s="792"/>
      <c r="BV30" s="792"/>
      <c r="BW30" s="792"/>
      <c r="BX30" s="792"/>
      <c r="BY30" s="792"/>
      <c r="BZ30" s="792"/>
      <c r="CA30" s="792"/>
      <c r="CB30" s="792"/>
      <c r="CC30" s="792"/>
      <c r="CD30" s="792"/>
      <c r="CE30" s="792"/>
      <c r="CF30" s="792"/>
      <c r="CG30" s="792"/>
      <c r="CH30" s="792"/>
      <c r="CI30" s="792"/>
      <c r="CJ30" s="792"/>
      <c r="CK30" s="792"/>
      <c r="CL30" s="792"/>
      <c r="CM30" s="792"/>
      <c r="CN30" s="792"/>
      <c r="CO30" s="792"/>
      <c r="CP30" s="792"/>
      <c r="CQ30" s="792"/>
      <c r="CR30" s="792"/>
      <c r="CS30" s="792"/>
      <c r="CT30" s="792"/>
      <c r="CU30" s="792"/>
      <c r="CV30" s="792"/>
      <c r="CW30" s="792"/>
      <c r="CX30" s="792"/>
      <c r="CY30" s="792"/>
      <c r="CZ30" s="792"/>
      <c r="DA30" s="792"/>
      <c r="DB30" s="792"/>
      <c r="DC30" s="792"/>
    </row>
    <row r="31" spans="1:107" s="305" customFormat="1" ht="24" x14ac:dyDescent="0.2">
      <c r="A31" s="792"/>
      <c r="B31" s="796" t="s">
        <v>853</v>
      </c>
      <c r="C31" s="1175">
        <f>+'Reference Systems'!AC48</f>
        <v>0.11899999999999999</v>
      </c>
      <c r="D31" s="1175"/>
      <c r="E31" s="1180">
        <f>+'Reference Systems'!AC50</f>
        <v>1.8750000000000003E-2</v>
      </c>
      <c r="F31" s="1180"/>
      <c r="G31" s="1173">
        <f>+'Reference Systems'!AC51</f>
        <v>0.123053760456726</v>
      </c>
      <c r="H31" s="1174"/>
      <c r="I31" s="792"/>
      <c r="J31" s="792"/>
      <c r="K31" s="792"/>
      <c r="L31" s="792"/>
      <c r="M31" s="792"/>
      <c r="N31" s="792"/>
      <c r="O31" s="792"/>
      <c r="P31" s="792"/>
      <c r="Q31" s="792"/>
      <c r="R31" s="792"/>
      <c r="S31" s="792"/>
      <c r="T31" s="792"/>
      <c r="U31" s="792"/>
      <c r="V31" s="792"/>
      <c r="W31" s="792"/>
      <c r="X31" s="792"/>
      <c r="Y31" s="792"/>
      <c r="Z31" s="792"/>
      <c r="AA31" s="792"/>
      <c r="AB31" s="792"/>
      <c r="AC31" s="792"/>
      <c r="AD31" s="792"/>
      <c r="AE31" s="792"/>
      <c r="AF31" s="792"/>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c r="BC31" s="792"/>
      <c r="BD31" s="792"/>
      <c r="BE31" s="792"/>
      <c r="BF31" s="792"/>
      <c r="BG31" s="792"/>
      <c r="BH31" s="792"/>
      <c r="BI31" s="792"/>
      <c r="BJ31" s="792"/>
      <c r="BK31" s="792"/>
      <c r="BL31" s="792"/>
      <c r="BM31" s="792"/>
      <c r="BN31" s="792"/>
      <c r="BO31" s="792"/>
      <c r="BP31" s="792"/>
      <c r="BQ31" s="792"/>
      <c r="BR31" s="792"/>
      <c r="BS31" s="792"/>
      <c r="BT31" s="792"/>
      <c r="BU31" s="792"/>
      <c r="BV31" s="792"/>
      <c r="BW31" s="792"/>
      <c r="BX31" s="792"/>
      <c r="BY31" s="792"/>
      <c r="BZ31" s="792"/>
      <c r="CA31" s="792"/>
      <c r="CB31" s="792"/>
      <c r="CC31" s="792"/>
      <c r="CD31" s="792"/>
      <c r="CE31" s="792"/>
      <c r="CF31" s="792"/>
      <c r="CG31" s="792"/>
      <c r="CH31" s="792"/>
      <c r="CI31" s="792"/>
      <c r="CJ31" s="792"/>
      <c r="CK31" s="792"/>
      <c r="CL31" s="792"/>
      <c r="CM31" s="792"/>
      <c r="CN31" s="792"/>
      <c r="CO31" s="792"/>
      <c r="CP31" s="792"/>
      <c r="CQ31" s="792"/>
      <c r="CR31" s="792"/>
      <c r="CS31" s="792"/>
      <c r="CT31" s="792"/>
      <c r="CU31" s="792"/>
      <c r="CV31" s="792"/>
      <c r="CW31" s="792"/>
      <c r="CX31" s="792"/>
      <c r="CY31" s="792"/>
      <c r="CZ31" s="792"/>
      <c r="DA31" s="792"/>
      <c r="DB31" s="792"/>
      <c r="DC31" s="792"/>
    </row>
    <row r="32" spans="1:107" s="305" customFormat="1" ht="24" x14ac:dyDescent="0.2">
      <c r="A32" s="792"/>
      <c r="B32" s="789" t="s">
        <v>743</v>
      </c>
      <c r="C32" s="1176">
        <f>+'Reference Systems'!AC59</f>
        <v>9.9006500000000004E-3</v>
      </c>
      <c r="D32" s="1176"/>
      <c r="E32" s="1178">
        <f>+'Reference Systems'!AC56</f>
        <v>3.9892071051957712E-3</v>
      </c>
      <c r="F32" s="1178"/>
      <c r="G32" s="1186">
        <v>0</v>
      </c>
      <c r="H32" s="1187"/>
      <c r="I32" s="792"/>
      <c r="J32" s="792"/>
      <c r="K32" s="792"/>
      <c r="L32" s="792"/>
      <c r="M32" s="792"/>
      <c r="N32" s="792"/>
      <c r="O32" s="792"/>
      <c r="P32" s="792"/>
      <c r="Q32" s="792"/>
      <c r="R32" s="792"/>
      <c r="S32" s="792"/>
      <c r="T32" s="792"/>
      <c r="U32" s="792"/>
      <c r="V32" s="792"/>
      <c r="W32" s="792"/>
      <c r="X32" s="792"/>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c r="BC32" s="792"/>
      <c r="BD32" s="792"/>
      <c r="BE32" s="792"/>
      <c r="BF32" s="792"/>
      <c r="BG32" s="792"/>
      <c r="BH32" s="792"/>
      <c r="BI32" s="792"/>
      <c r="BJ32" s="792"/>
      <c r="BK32" s="792"/>
      <c r="BL32" s="792"/>
      <c r="BM32" s="792"/>
      <c r="BN32" s="792"/>
      <c r="BO32" s="792"/>
      <c r="BP32" s="792"/>
      <c r="BQ32" s="792"/>
      <c r="BR32" s="792"/>
      <c r="BS32" s="792"/>
      <c r="BT32" s="792"/>
      <c r="BU32" s="792"/>
      <c r="BV32" s="792"/>
      <c r="BW32" s="792"/>
      <c r="BX32" s="792"/>
      <c r="BY32" s="792"/>
      <c r="BZ32" s="792"/>
      <c r="CA32" s="792"/>
      <c r="CB32" s="792"/>
      <c r="CC32" s="792"/>
      <c r="CD32" s="792"/>
      <c r="CE32" s="792"/>
      <c r="CF32" s="792"/>
      <c r="CG32" s="792"/>
      <c r="CH32" s="792"/>
      <c r="CI32" s="792"/>
      <c r="CJ32" s="792"/>
      <c r="CK32" s="792"/>
      <c r="CL32" s="792"/>
      <c r="CM32" s="792"/>
      <c r="CN32" s="792"/>
      <c r="CO32" s="792"/>
      <c r="CP32" s="792"/>
      <c r="CQ32" s="792"/>
      <c r="CR32" s="792"/>
      <c r="CS32" s="792"/>
      <c r="CT32" s="792"/>
      <c r="CU32" s="792"/>
      <c r="CV32" s="792"/>
      <c r="CW32" s="792"/>
      <c r="CX32" s="792"/>
      <c r="CY32" s="792"/>
      <c r="CZ32" s="792"/>
      <c r="DA32" s="792"/>
      <c r="DB32" s="792"/>
      <c r="DC32" s="792"/>
    </row>
    <row r="33" spans="1:107" s="305" customFormat="1" ht="24.75" thickBot="1" x14ac:dyDescent="0.25">
      <c r="A33" s="792"/>
      <c r="B33" s="790" t="s">
        <v>854</v>
      </c>
      <c r="C33" s="1177">
        <f>+'Reference Systems'!AC54</f>
        <v>1.5E-3</v>
      </c>
      <c r="D33" s="1177"/>
      <c r="E33" s="1179">
        <f>+'Reference Systems'!AC56</f>
        <v>3.9892071051957712E-3</v>
      </c>
      <c r="F33" s="1179"/>
      <c r="G33" s="1181">
        <f>+'Reference Systems'!AC57</f>
        <v>0.01</v>
      </c>
      <c r="H33" s="1182"/>
      <c r="I33" s="792"/>
      <c r="J33" s="792"/>
      <c r="K33" s="792"/>
      <c r="L33" s="792"/>
      <c r="M33" s="792"/>
      <c r="N33" s="792"/>
      <c r="O33" s="792"/>
      <c r="P33" s="792"/>
      <c r="Q33" s="792"/>
      <c r="R33" s="792"/>
      <c r="S33" s="792"/>
      <c r="T33" s="792"/>
      <c r="U33" s="792"/>
      <c r="V33" s="792"/>
      <c r="W33" s="792"/>
      <c r="X33" s="792"/>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c r="BC33" s="792"/>
      <c r="BD33" s="792"/>
      <c r="BE33" s="792"/>
      <c r="BF33" s="792"/>
      <c r="BG33" s="792"/>
      <c r="BH33" s="792"/>
      <c r="BI33" s="792"/>
      <c r="BJ33" s="792"/>
      <c r="BK33" s="792"/>
      <c r="BL33" s="792"/>
      <c r="BM33" s="792"/>
      <c r="BN33" s="792"/>
      <c r="BO33" s="792"/>
      <c r="BP33" s="792"/>
      <c r="BQ33" s="792"/>
      <c r="BR33" s="792"/>
      <c r="BS33" s="792"/>
      <c r="BT33" s="792"/>
      <c r="BU33" s="792"/>
      <c r="BV33" s="792"/>
      <c r="BW33" s="792"/>
      <c r="BX33" s="792"/>
      <c r="BY33" s="792"/>
      <c r="BZ33" s="792"/>
      <c r="CA33" s="792"/>
      <c r="CB33" s="792"/>
      <c r="CC33" s="792"/>
      <c r="CD33" s="792"/>
      <c r="CE33" s="792"/>
      <c r="CF33" s="792"/>
      <c r="CG33" s="792"/>
      <c r="CH33" s="792"/>
      <c r="CI33" s="792"/>
      <c r="CJ33" s="792"/>
      <c r="CK33" s="792"/>
      <c r="CL33" s="792"/>
      <c r="CM33" s="792"/>
      <c r="CN33" s="792"/>
      <c r="CO33" s="792"/>
      <c r="CP33" s="792"/>
      <c r="CQ33" s="792"/>
      <c r="CR33" s="792"/>
      <c r="CS33" s="792"/>
      <c r="CT33" s="792"/>
      <c r="CU33" s="792"/>
      <c r="CV33" s="792"/>
      <c r="CW33" s="792"/>
      <c r="CX33" s="792"/>
      <c r="CY33" s="792"/>
      <c r="CZ33" s="792"/>
      <c r="DA33" s="792"/>
      <c r="DB33" s="792"/>
      <c r="DC33" s="792"/>
    </row>
    <row r="34" spans="1:107" s="305" customFormat="1" ht="12" x14ac:dyDescent="0.2">
      <c r="A34" s="792"/>
      <c r="B34" s="797"/>
      <c r="C34" s="797"/>
      <c r="D34" s="797"/>
      <c r="E34" s="797"/>
      <c r="F34" s="797"/>
      <c r="G34" s="797"/>
      <c r="H34" s="797"/>
      <c r="I34" s="792"/>
      <c r="J34" s="792"/>
      <c r="K34" s="792"/>
      <c r="L34" s="792"/>
      <c r="M34" s="792"/>
      <c r="N34" s="792"/>
      <c r="O34" s="792"/>
      <c r="P34" s="792"/>
      <c r="Q34" s="792"/>
      <c r="R34" s="792"/>
      <c r="S34" s="792"/>
      <c r="T34" s="792"/>
      <c r="U34" s="792"/>
      <c r="V34" s="792"/>
      <c r="W34" s="792"/>
      <c r="X34" s="792"/>
      <c r="Y34" s="792"/>
      <c r="Z34" s="792"/>
      <c r="AA34" s="792"/>
      <c r="AB34" s="792"/>
      <c r="AC34" s="792"/>
      <c r="AD34" s="792"/>
      <c r="AE34" s="792"/>
      <c r="AF34" s="792"/>
      <c r="AG34" s="792"/>
      <c r="AH34" s="792"/>
      <c r="AI34" s="792"/>
      <c r="AJ34" s="792"/>
      <c r="AK34" s="792"/>
      <c r="AL34" s="792"/>
      <c r="AM34" s="792"/>
      <c r="AN34" s="792"/>
      <c r="AO34" s="792"/>
      <c r="AP34" s="792"/>
      <c r="AQ34" s="792"/>
      <c r="AR34" s="792"/>
      <c r="AS34" s="792"/>
      <c r="AT34" s="792"/>
      <c r="AU34" s="792"/>
      <c r="AV34" s="792"/>
      <c r="AW34" s="792"/>
      <c r="AX34" s="792"/>
      <c r="AY34" s="792"/>
      <c r="AZ34" s="792"/>
      <c r="BA34" s="792"/>
      <c r="BB34" s="792"/>
      <c r="BC34" s="792"/>
      <c r="BD34" s="792"/>
      <c r="BE34" s="792"/>
      <c r="BF34" s="792"/>
      <c r="BG34" s="792"/>
      <c r="BH34" s="792"/>
      <c r="BI34" s="792"/>
      <c r="BJ34" s="792"/>
      <c r="BK34" s="792"/>
      <c r="BL34" s="792"/>
      <c r="BM34" s="792"/>
      <c r="BN34" s="792"/>
      <c r="BO34" s="792"/>
      <c r="BP34" s="792"/>
      <c r="BQ34" s="792"/>
      <c r="BR34" s="792"/>
      <c r="BS34" s="792"/>
      <c r="BT34" s="792"/>
      <c r="BU34" s="792"/>
      <c r="BV34" s="792"/>
      <c r="BW34" s="792"/>
      <c r="BX34" s="792"/>
      <c r="BY34" s="792"/>
      <c r="BZ34" s="792"/>
      <c r="CA34" s="792"/>
      <c r="CB34" s="792"/>
      <c r="CC34" s="792"/>
      <c r="CD34" s="792"/>
      <c r="CE34" s="792"/>
      <c r="CF34" s="792"/>
      <c r="CG34" s="792"/>
      <c r="CH34" s="792"/>
      <c r="CI34" s="792"/>
      <c r="CJ34" s="792"/>
      <c r="CK34" s="792"/>
      <c r="CL34" s="792"/>
      <c r="CM34" s="792"/>
      <c r="CN34" s="792"/>
      <c r="CO34" s="792"/>
      <c r="CP34" s="792"/>
      <c r="CQ34" s="792"/>
      <c r="CR34" s="792"/>
      <c r="CS34" s="792"/>
      <c r="CT34" s="792"/>
      <c r="CU34" s="792"/>
      <c r="CV34" s="792"/>
      <c r="CW34" s="792"/>
      <c r="CX34" s="792"/>
      <c r="CY34" s="792"/>
      <c r="CZ34" s="792"/>
      <c r="DA34" s="792"/>
      <c r="DB34" s="792"/>
      <c r="DC34" s="792"/>
    </row>
    <row r="35" spans="1:107" ht="17.25" thickBot="1" x14ac:dyDescent="0.3">
      <c r="B35" s="793" t="s">
        <v>370</v>
      </c>
      <c r="C35" s="798"/>
      <c r="D35" s="798"/>
      <c r="E35" s="798"/>
      <c r="F35" s="798"/>
      <c r="G35" s="798"/>
      <c r="H35" s="798"/>
    </row>
    <row r="36" spans="1:107" s="305" customFormat="1" ht="12" x14ac:dyDescent="0.2">
      <c r="A36" s="792"/>
      <c r="B36" s="799" t="s">
        <v>24</v>
      </c>
      <c r="C36" s="395"/>
      <c r="D36" s="395"/>
      <c r="E36" s="800"/>
      <c r="F36" s="800"/>
      <c r="G36" s="800"/>
      <c r="H36" s="801"/>
      <c r="I36" s="792"/>
      <c r="J36" s="792"/>
      <c r="K36" s="792"/>
      <c r="L36" s="792"/>
      <c r="M36" s="792"/>
      <c r="N36" s="792"/>
      <c r="O36" s="792"/>
      <c r="P36" s="792"/>
      <c r="Q36" s="792"/>
      <c r="R36" s="792"/>
      <c r="S36" s="792"/>
      <c r="T36" s="792"/>
      <c r="U36" s="792"/>
      <c r="V36" s="792"/>
      <c r="W36" s="792"/>
      <c r="X36" s="792"/>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c r="BC36" s="792"/>
      <c r="BD36" s="792"/>
      <c r="BE36" s="792"/>
      <c r="BF36" s="792"/>
      <c r="BG36" s="792"/>
      <c r="BH36" s="792"/>
      <c r="BI36" s="792"/>
      <c r="BJ36" s="792"/>
      <c r="BK36" s="792"/>
      <c r="BL36" s="792"/>
      <c r="BM36" s="792"/>
      <c r="BN36" s="792"/>
      <c r="BO36" s="792"/>
      <c r="BP36" s="792"/>
      <c r="BQ36" s="792"/>
      <c r="BR36" s="792"/>
      <c r="BS36" s="792"/>
      <c r="BT36" s="792"/>
      <c r="BU36" s="792"/>
      <c r="BV36" s="792"/>
      <c r="BW36" s="792"/>
      <c r="BX36" s="792"/>
      <c r="BY36" s="792"/>
      <c r="BZ36" s="792"/>
      <c r="CA36" s="792"/>
      <c r="CB36" s="792"/>
      <c r="CC36" s="792"/>
      <c r="CD36" s="792"/>
      <c r="CE36" s="792"/>
      <c r="CF36" s="792"/>
      <c r="CG36" s="792"/>
      <c r="CH36" s="792"/>
      <c r="CI36" s="792"/>
      <c r="CJ36" s="792"/>
      <c r="CK36" s="792"/>
      <c r="CL36" s="792"/>
      <c r="CM36" s="792"/>
      <c r="CN36" s="792"/>
      <c r="CO36" s="792"/>
      <c r="CP36" s="792"/>
      <c r="CQ36" s="792"/>
      <c r="CR36" s="792"/>
      <c r="CS36" s="792"/>
      <c r="CT36" s="792"/>
      <c r="CU36" s="792"/>
      <c r="CV36" s="792"/>
      <c r="CW36" s="792"/>
      <c r="CX36" s="792"/>
      <c r="CY36" s="792"/>
      <c r="CZ36" s="792"/>
      <c r="DA36" s="792"/>
      <c r="DB36" s="792"/>
      <c r="DC36" s="792"/>
    </row>
    <row r="37" spans="1:107" s="305" customFormat="1" ht="12.75" x14ac:dyDescent="0.2">
      <c r="A37" s="792"/>
      <c r="B37" s="804" t="s">
        <v>568</v>
      </c>
      <c r="C37" s="805"/>
      <c r="D37" s="805"/>
      <c r="E37" s="806"/>
      <c r="F37" s="806"/>
      <c r="G37" s="1135">
        <f>+'Reference Systems'!AC163</f>
        <v>14.130434782608695</v>
      </c>
      <c r="H37" s="808"/>
      <c r="I37" s="792"/>
      <c r="J37" s="792"/>
      <c r="K37" s="792"/>
      <c r="L37" s="792"/>
      <c r="M37" s="792"/>
      <c r="N37" s="792"/>
      <c r="O37" s="792"/>
      <c r="P37" s="792"/>
      <c r="Q37" s="792"/>
      <c r="R37" s="792"/>
      <c r="S37" s="792"/>
      <c r="T37" s="792"/>
      <c r="U37" s="792"/>
      <c r="V37" s="792"/>
      <c r="W37" s="792"/>
      <c r="X37" s="792"/>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c r="BC37" s="792"/>
      <c r="BD37" s="792"/>
      <c r="BE37" s="792"/>
      <c r="BF37" s="792"/>
      <c r="BG37" s="792"/>
      <c r="BH37" s="792"/>
      <c r="BI37" s="792"/>
      <c r="BJ37" s="792"/>
      <c r="BK37" s="792"/>
      <c r="BL37" s="792"/>
      <c r="BM37" s="792"/>
      <c r="BN37" s="792"/>
      <c r="BO37" s="792"/>
      <c r="BP37" s="792"/>
      <c r="BQ37" s="792"/>
      <c r="BR37" s="792"/>
      <c r="BS37" s="792"/>
      <c r="BT37" s="792"/>
      <c r="BU37" s="792"/>
      <c r="BV37" s="792"/>
      <c r="BW37" s="792"/>
      <c r="BX37" s="792"/>
      <c r="BY37" s="792"/>
      <c r="BZ37" s="792"/>
      <c r="CA37" s="792"/>
      <c r="CB37" s="792"/>
      <c r="CC37" s="792"/>
      <c r="CD37" s="792"/>
      <c r="CE37" s="792"/>
      <c r="CF37" s="792"/>
      <c r="CG37" s="792"/>
      <c r="CH37" s="792"/>
      <c r="CI37" s="792"/>
      <c r="CJ37" s="792"/>
      <c r="CK37" s="792"/>
      <c r="CL37" s="792"/>
      <c r="CM37" s="792"/>
      <c r="CN37" s="792"/>
      <c r="CO37" s="792"/>
      <c r="CP37" s="792"/>
      <c r="CQ37" s="792"/>
      <c r="CR37" s="792"/>
      <c r="CS37" s="792"/>
      <c r="CT37" s="792"/>
      <c r="CU37" s="792"/>
      <c r="CV37" s="792"/>
      <c r="CW37" s="792"/>
      <c r="CX37" s="792"/>
      <c r="CY37" s="792"/>
      <c r="CZ37" s="792"/>
      <c r="DA37" s="792"/>
      <c r="DB37" s="792"/>
      <c r="DC37" s="792"/>
    </row>
    <row r="38" spans="1:107" s="305" customFormat="1" ht="12" x14ac:dyDescent="0.2">
      <c r="A38" s="792"/>
      <c r="B38" s="809" t="s">
        <v>403</v>
      </c>
      <c r="C38" s="810"/>
      <c r="D38" s="810"/>
      <c r="E38" s="811"/>
      <c r="F38" s="811"/>
      <c r="G38" s="812">
        <f>+'Reference Systems'!AC164</f>
        <v>136.95652173913044</v>
      </c>
      <c r="H38" s="808"/>
      <c r="I38" s="792"/>
      <c r="J38" s="792"/>
      <c r="K38" s="792"/>
      <c r="L38" s="792"/>
      <c r="M38" s="792"/>
      <c r="N38" s="792"/>
      <c r="O38" s="792"/>
      <c r="P38" s="792"/>
      <c r="Q38" s="792"/>
      <c r="R38" s="792"/>
      <c r="S38" s="792"/>
      <c r="T38" s="792"/>
      <c r="U38" s="792"/>
      <c r="V38" s="792"/>
      <c r="W38" s="792"/>
      <c r="X38" s="792"/>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c r="BC38" s="792"/>
      <c r="BD38" s="792"/>
      <c r="BE38" s="792"/>
      <c r="BF38" s="792"/>
      <c r="BG38" s="792"/>
      <c r="BH38" s="792"/>
      <c r="BI38" s="792"/>
      <c r="BJ38" s="792"/>
      <c r="BK38" s="792"/>
      <c r="BL38" s="792"/>
      <c r="BM38" s="792"/>
      <c r="BN38" s="792"/>
      <c r="BO38" s="792"/>
      <c r="BP38" s="792"/>
      <c r="BQ38" s="792"/>
      <c r="BR38" s="792"/>
      <c r="BS38" s="792"/>
      <c r="BT38" s="792"/>
      <c r="BU38" s="792"/>
      <c r="BV38" s="792"/>
      <c r="BW38" s="792"/>
      <c r="BX38" s="792"/>
      <c r="BY38" s="792"/>
      <c r="BZ38" s="792"/>
      <c r="CA38" s="792"/>
      <c r="CB38" s="792"/>
      <c r="CC38" s="792"/>
      <c r="CD38" s="792"/>
      <c r="CE38" s="792"/>
      <c r="CF38" s="792"/>
      <c r="CG38" s="792"/>
      <c r="CH38" s="792"/>
      <c r="CI38" s="792"/>
      <c r="CJ38" s="792"/>
      <c r="CK38" s="792"/>
      <c r="CL38" s="792"/>
      <c r="CM38" s="792"/>
      <c r="CN38" s="792"/>
      <c r="CO38" s="792"/>
      <c r="CP38" s="792"/>
      <c r="CQ38" s="792"/>
      <c r="CR38" s="792"/>
      <c r="CS38" s="792"/>
      <c r="CT38" s="792"/>
      <c r="CU38" s="792"/>
      <c r="CV38" s="792"/>
      <c r="CW38" s="792"/>
      <c r="CX38" s="792"/>
      <c r="CY38" s="792"/>
      <c r="CZ38" s="792"/>
      <c r="DA38" s="792"/>
      <c r="DB38" s="792"/>
      <c r="DC38" s="792"/>
    </row>
    <row r="39" spans="1:107" s="305" customFormat="1" ht="12" x14ac:dyDescent="0.2">
      <c r="A39" s="792"/>
      <c r="B39" s="785" t="s">
        <v>282</v>
      </c>
      <c r="C39" s="786"/>
      <c r="D39" s="786"/>
      <c r="E39" s="787"/>
      <c r="F39" s="787"/>
      <c r="G39" s="802"/>
      <c r="H39" s="803"/>
      <c r="I39" s="792"/>
      <c r="J39" s="792"/>
      <c r="K39" s="792"/>
      <c r="L39" s="792"/>
      <c r="M39" s="792"/>
      <c r="N39" s="792"/>
      <c r="O39" s="792"/>
      <c r="P39" s="792"/>
      <c r="Q39" s="792"/>
      <c r="R39" s="792"/>
      <c r="S39" s="792"/>
      <c r="T39" s="792"/>
      <c r="U39" s="792"/>
      <c r="V39" s="792"/>
      <c r="W39" s="792"/>
      <c r="X39" s="792"/>
      <c r="Y39" s="792"/>
      <c r="Z39" s="792"/>
      <c r="AA39" s="792"/>
      <c r="AB39" s="792"/>
      <c r="AC39" s="792"/>
      <c r="AD39" s="792"/>
      <c r="AE39" s="792"/>
      <c r="AF39" s="792"/>
      <c r="AG39" s="792"/>
      <c r="AH39" s="792"/>
      <c r="AI39" s="792"/>
      <c r="AJ39" s="792"/>
      <c r="AK39" s="792"/>
      <c r="AL39" s="792"/>
      <c r="AM39" s="792"/>
      <c r="AN39" s="792"/>
      <c r="AO39" s="792"/>
      <c r="AP39" s="792"/>
      <c r="AQ39" s="792"/>
      <c r="AR39" s="792"/>
      <c r="AS39" s="792"/>
      <c r="AT39" s="792"/>
      <c r="AU39" s="792"/>
      <c r="AV39" s="792"/>
      <c r="AW39" s="792"/>
      <c r="AX39" s="792"/>
      <c r="AY39" s="792"/>
      <c r="AZ39" s="792"/>
      <c r="BA39" s="792"/>
      <c r="BB39" s="792"/>
      <c r="BC39" s="792"/>
      <c r="BD39" s="792"/>
      <c r="BE39" s="792"/>
      <c r="BF39" s="792"/>
      <c r="BG39" s="792"/>
      <c r="BH39" s="792"/>
      <c r="BI39" s="792"/>
      <c r="BJ39" s="792"/>
      <c r="BK39" s="792"/>
      <c r="BL39" s="792"/>
      <c r="BM39" s="792"/>
      <c r="BN39" s="792"/>
      <c r="BO39" s="792"/>
      <c r="BP39" s="792"/>
      <c r="BQ39" s="792"/>
      <c r="BR39" s="792"/>
      <c r="BS39" s="792"/>
      <c r="BT39" s="792"/>
      <c r="BU39" s="792"/>
      <c r="BV39" s="792"/>
      <c r="BW39" s="792"/>
      <c r="BX39" s="792"/>
      <c r="BY39" s="792"/>
      <c r="BZ39" s="792"/>
      <c r="CA39" s="792"/>
      <c r="CB39" s="792"/>
      <c r="CC39" s="792"/>
      <c r="CD39" s="792"/>
      <c r="CE39" s="792"/>
      <c r="CF39" s="792"/>
      <c r="CG39" s="792"/>
      <c r="CH39" s="792"/>
      <c r="CI39" s="792"/>
      <c r="CJ39" s="792"/>
      <c r="CK39" s="792"/>
      <c r="CL39" s="792"/>
      <c r="CM39" s="792"/>
      <c r="CN39" s="792"/>
      <c r="CO39" s="792"/>
      <c r="CP39" s="792"/>
      <c r="CQ39" s="792"/>
      <c r="CR39" s="792"/>
      <c r="CS39" s="792"/>
      <c r="CT39" s="792"/>
      <c r="CU39" s="792"/>
      <c r="CV39" s="792"/>
      <c r="CW39" s="792"/>
      <c r="CX39" s="792"/>
      <c r="CY39" s="792"/>
      <c r="CZ39" s="792"/>
      <c r="DA39" s="792"/>
      <c r="DB39" s="792"/>
      <c r="DC39" s="792"/>
    </row>
    <row r="40" spans="1:107" s="305" customFormat="1" ht="12" x14ac:dyDescent="0.2">
      <c r="A40" s="792"/>
      <c r="B40" s="809" t="s">
        <v>402</v>
      </c>
      <c r="C40" s="810"/>
      <c r="D40" s="810"/>
      <c r="E40" s="811"/>
      <c r="F40" s="811"/>
      <c r="G40" s="807">
        <f>+'Reference Systems'!AC166</f>
        <v>4.5999999999999996</v>
      </c>
      <c r="H40" s="808"/>
      <c r="I40" s="792"/>
      <c r="J40" s="792"/>
      <c r="K40" s="792"/>
      <c r="L40" s="792"/>
      <c r="M40" s="792"/>
      <c r="N40" s="792"/>
      <c r="O40" s="792"/>
      <c r="P40" s="792"/>
      <c r="Q40" s="792"/>
      <c r="R40" s="792"/>
      <c r="S40" s="792"/>
      <c r="T40" s="792"/>
      <c r="U40" s="792"/>
      <c r="V40" s="792"/>
      <c r="W40" s="792"/>
      <c r="X40" s="792"/>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c r="BC40" s="792"/>
      <c r="BD40" s="792"/>
      <c r="BE40" s="792"/>
      <c r="BF40" s="792"/>
      <c r="BG40" s="792"/>
      <c r="BH40" s="792"/>
      <c r="BI40" s="792"/>
      <c r="BJ40" s="792"/>
      <c r="BK40" s="792"/>
      <c r="BL40" s="792"/>
      <c r="BM40" s="792"/>
      <c r="BN40" s="792"/>
      <c r="BO40" s="792"/>
      <c r="BP40" s="792"/>
      <c r="BQ40" s="792"/>
      <c r="BR40" s="792"/>
      <c r="BS40" s="792"/>
      <c r="BT40" s="792"/>
      <c r="BU40" s="792"/>
      <c r="BV40" s="792"/>
      <c r="BW40" s="792"/>
      <c r="BX40" s="792"/>
      <c r="BY40" s="792"/>
      <c r="BZ40" s="792"/>
      <c r="CA40" s="792"/>
      <c r="CB40" s="792"/>
      <c r="CC40" s="792"/>
      <c r="CD40" s="792"/>
      <c r="CE40" s="792"/>
      <c r="CF40" s="792"/>
      <c r="CG40" s="792"/>
      <c r="CH40" s="792"/>
      <c r="CI40" s="792"/>
      <c r="CJ40" s="792"/>
      <c r="CK40" s="792"/>
      <c r="CL40" s="792"/>
      <c r="CM40" s="792"/>
      <c r="CN40" s="792"/>
      <c r="CO40" s="792"/>
      <c r="CP40" s="792"/>
      <c r="CQ40" s="792"/>
      <c r="CR40" s="792"/>
      <c r="CS40" s="792"/>
      <c r="CT40" s="792"/>
      <c r="CU40" s="792"/>
      <c r="CV40" s="792"/>
      <c r="CW40" s="792"/>
      <c r="CX40" s="792"/>
      <c r="CY40" s="792"/>
      <c r="CZ40" s="792"/>
      <c r="DA40" s="792"/>
      <c r="DB40" s="792"/>
      <c r="DC40" s="792"/>
    </row>
    <row r="41" spans="1:107" s="305" customFormat="1" ht="12" x14ac:dyDescent="0.2">
      <c r="A41" s="792"/>
      <c r="B41" s="785" t="s">
        <v>281</v>
      </c>
      <c r="C41" s="786"/>
      <c r="D41" s="786"/>
      <c r="E41" s="787"/>
      <c r="F41" s="787"/>
      <c r="G41" s="802"/>
      <c r="H41" s="803"/>
      <c r="I41" s="792"/>
      <c r="J41" s="792"/>
      <c r="K41" s="792"/>
      <c r="L41" s="792"/>
      <c r="M41" s="792"/>
      <c r="N41" s="792"/>
      <c r="O41" s="792"/>
      <c r="P41" s="792"/>
      <c r="Q41" s="792"/>
      <c r="R41" s="792"/>
      <c r="S41" s="792"/>
      <c r="T41" s="792"/>
      <c r="U41" s="792"/>
      <c r="V41" s="792"/>
      <c r="W41" s="792"/>
      <c r="X41" s="792"/>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c r="BC41" s="792"/>
      <c r="BD41" s="792"/>
      <c r="BE41" s="792"/>
      <c r="BF41" s="792"/>
      <c r="BG41" s="792"/>
      <c r="BH41" s="792"/>
      <c r="BI41" s="792"/>
      <c r="BJ41" s="792"/>
      <c r="BK41" s="792"/>
      <c r="BL41" s="792"/>
      <c r="BM41" s="792"/>
      <c r="BN41" s="792"/>
      <c r="BO41" s="792"/>
      <c r="BP41" s="792"/>
      <c r="BQ41" s="792"/>
      <c r="BR41" s="792"/>
      <c r="BS41" s="792"/>
      <c r="BT41" s="792"/>
      <c r="BU41" s="792"/>
      <c r="BV41" s="792"/>
      <c r="BW41" s="792"/>
      <c r="BX41" s="792"/>
      <c r="BY41" s="792"/>
      <c r="BZ41" s="792"/>
      <c r="CA41" s="792"/>
      <c r="CB41" s="792"/>
      <c r="CC41" s="792"/>
      <c r="CD41" s="792"/>
      <c r="CE41" s="792"/>
      <c r="CF41" s="792"/>
      <c r="CG41" s="792"/>
      <c r="CH41" s="792"/>
      <c r="CI41" s="792"/>
      <c r="CJ41" s="792"/>
      <c r="CK41" s="792"/>
      <c r="CL41" s="792"/>
      <c r="CM41" s="792"/>
      <c r="CN41" s="792"/>
      <c r="CO41" s="792"/>
      <c r="CP41" s="792"/>
      <c r="CQ41" s="792"/>
      <c r="CR41" s="792"/>
      <c r="CS41" s="792"/>
      <c r="CT41" s="792"/>
      <c r="CU41" s="792"/>
      <c r="CV41" s="792"/>
      <c r="CW41" s="792"/>
      <c r="CX41" s="792"/>
      <c r="CY41" s="792"/>
      <c r="CZ41" s="792"/>
      <c r="DA41" s="792"/>
      <c r="DB41" s="792"/>
      <c r="DC41" s="792"/>
    </row>
    <row r="42" spans="1:107" s="305" customFormat="1" ht="12" x14ac:dyDescent="0.2">
      <c r="A42" s="792"/>
      <c r="B42" s="809" t="s">
        <v>401</v>
      </c>
      <c r="C42" s="810"/>
      <c r="D42" s="810"/>
      <c r="E42" s="811"/>
      <c r="F42" s="811"/>
      <c r="G42" s="807">
        <f>+'Reference Systems'!AC168</f>
        <v>11</v>
      </c>
      <c r="H42" s="808"/>
      <c r="I42" s="792"/>
      <c r="J42" s="792"/>
      <c r="K42" s="792"/>
      <c r="L42" s="792"/>
      <c r="M42" s="792"/>
      <c r="N42" s="792"/>
      <c r="O42" s="792"/>
      <c r="P42" s="792"/>
      <c r="Q42" s="792"/>
      <c r="R42" s="792"/>
      <c r="S42" s="792"/>
      <c r="T42" s="792"/>
      <c r="U42" s="792"/>
      <c r="V42" s="792"/>
      <c r="W42" s="792"/>
      <c r="X42" s="792"/>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c r="BC42" s="792"/>
      <c r="BD42" s="792"/>
      <c r="BE42" s="792"/>
      <c r="BF42" s="792"/>
      <c r="BG42" s="792"/>
      <c r="BH42" s="792"/>
      <c r="BI42" s="792"/>
      <c r="BJ42" s="792"/>
      <c r="BK42" s="792"/>
      <c r="BL42" s="792"/>
      <c r="BM42" s="792"/>
      <c r="BN42" s="792"/>
      <c r="BO42" s="792"/>
      <c r="BP42" s="792"/>
      <c r="BQ42" s="792"/>
      <c r="BR42" s="792"/>
      <c r="BS42" s="792"/>
      <c r="BT42" s="792"/>
      <c r="BU42" s="792"/>
      <c r="BV42" s="792"/>
      <c r="BW42" s="792"/>
      <c r="BX42" s="792"/>
      <c r="BY42" s="792"/>
      <c r="BZ42" s="792"/>
      <c r="CA42" s="792"/>
      <c r="CB42" s="792"/>
      <c r="CC42" s="792"/>
      <c r="CD42" s="792"/>
      <c r="CE42" s="792"/>
      <c r="CF42" s="792"/>
      <c r="CG42" s="792"/>
      <c r="CH42" s="792"/>
      <c r="CI42" s="792"/>
      <c r="CJ42" s="792"/>
      <c r="CK42" s="792"/>
      <c r="CL42" s="792"/>
      <c r="CM42" s="792"/>
      <c r="CN42" s="792"/>
      <c r="CO42" s="792"/>
      <c r="CP42" s="792"/>
      <c r="CQ42" s="792"/>
      <c r="CR42" s="792"/>
      <c r="CS42" s="792"/>
      <c r="CT42" s="792"/>
      <c r="CU42" s="792"/>
      <c r="CV42" s="792"/>
      <c r="CW42" s="792"/>
      <c r="CX42" s="792"/>
      <c r="CY42" s="792"/>
      <c r="CZ42" s="792"/>
      <c r="DA42" s="792"/>
      <c r="DB42" s="792"/>
      <c r="DC42" s="792"/>
    </row>
    <row r="43" spans="1:107" s="305" customFormat="1" ht="12.75" thickBot="1" x14ac:dyDescent="0.25">
      <c r="A43" s="792"/>
      <c r="B43" s="813" t="s">
        <v>432</v>
      </c>
      <c r="C43" s="814"/>
      <c r="D43" s="814"/>
      <c r="E43" s="815"/>
      <c r="F43" s="815"/>
      <c r="G43" s="816">
        <f>-'Calculations - Ref system'!R56</f>
        <v>3.8493536016449994</v>
      </c>
      <c r="H43" s="817"/>
      <c r="I43" s="792"/>
      <c r="J43" s="792"/>
      <c r="K43" s="792"/>
      <c r="L43" s="792"/>
      <c r="M43" s="792"/>
      <c r="N43" s="792"/>
      <c r="O43" s="792"/>
      <c r="P43" s="792"/>
      <c r="Q43" s="792"/>
      <c r="R43" s="792"/>
      <c r="S43" s="792"/>
      <c r="T43" s="792"/>
      <c r="U43" s="792"/>
      <c r="V43" s="792"/>
      <c r="W43" s="792"/>
      <c r="X43" s="792"/>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c r="BC43" s="792"/>
      <c r="BD43" s="792"/>
      <c r="BE43" s="792"/>
      <c r="BF43" s="792"/>
      <c r="BG43" s="792"/>
      <c r="BH43" s="792"/>
      <c r="BI43" s="792"/>
      <c r="BJ43" s="792"/>
      <c r="BK43" s="792"/>
      <c r="BL43" s="792"/>
      <c r="BM43" s="792"/>
      <c r="BN43" s="792"/>
      <c r="BO43" s="792"/>
      <c r="BP43" s="792"/>
      <c r="BQ43" s="792"/>
      <c r="BR43" s="792"/>
      <c r="BS43" s="792"/>
      <c r="BT43" s="792"/>
      <c r="BU43" s="792"/>
      <c r="BV43" s="792"/>
      <c r="BW43" s="792"/>
      <c r="BX43" s="792"/>
      <c r="BY43" s="792"/>
      <c r="BZ43" s="792"/>
      <c r="CA43" s="792"/>
      <c r="CB43" s="792"/>
      <c r="CC43" s="792"/>
      <c r="CD43" s="792"/>
      <c r="CE43" s="792"/>
      <c r="CF43" s="792"/>
      <c r="CG43" s="792"/>
      <c r="CH43" s="792"/>
      <c r="CI43" s="792"/>
      <c r="CJ43" s="792"/>
      <c r="CK43" s="792"/>
      <c r="CL43" s="792"/>
      <c r="CM43" s="792"/>
      <c r="CN43" s="792"/>
      <c r="CO43" s="792"/>
      <c r="CP43" s="792"/>
      <c r="CQ43" s="792"/>
      <c r="CR43" s="792"/>
      <c r="CS43" s="792"/>
      <c r="CT43" s="792"/>
      <c r="CU43" s="792"/>
      <c r="CV43" s="792"/>
      <c r="CW43" s="792"/>
      <c r="CX43" s="792"/>
      <c r="CY43" s="792"/>
      <c r="CZ43" s="792"/>
      <c r="DA43" s="792"/>
      <c r="DB43" s="792"/>
      <c r="DC43" s="792"/>
    </row>
    <row r="44" spans="1:107" x14ac:dyDescent="0.25">
      <c r="B44" s="798"/>
      <c r="C44" s="798"/>
      <c r="D44" s="798"/>
      <c r="E44" s="798"/>
      <c r="F44" s="798"/>
      <c r="G44" s="798"/>
      <c r="H44" s="798"/>
    </row>
    <row r="45" spans="1:107" ht="17.25" thickBot="1" x14ac:dyDescent="0.3">
      <c r="B45" s="818" t="s">
        <v>1047</v>
      </c>
      <c r="C45" s="798"/>
      <c r="D45" s="798"/>
      <c r="E45" s="798"/>
      <c r="F45" s="798"/>
      <c r="G45" s="798"/>
      <c r="H45" s="798"/>
    </row>
    <row r="46" spans="1:107" s="305" customFormat="1" ht="12" x14ac:dyDescent="0.2">
      <c r="A46" s="792"/>
      <c r="B46" s="819" t="s">
        <v>369</v>
      </c>
      <c r="C46" s="395"/>
      <c r="D46" s="395"/>
      <c r="E46" s="395"/>
      <c r="F46" s="395"/>
      <c r="G46" s="395"/>
      <c r="H46" s="784"/>
      <c r="I46" s="792"/>
      <c r="J46" s="792"/>
      <c r="K46" s="792"/>
      <c r="L46" s="792"/>
      <c r="M46" s="792"/>
      <c r="N46" s="792"/>
      <c r="O46" s="792"/>
      <c r="P46" s="792"/>
      <c r="Q46" s="792"/>
      <c r="R46" s="792"/>
      <c r="S46" s="792"/>
      <c r="T46" s="792"/>
      <c r="U46" s="792"/>
      <c r="V46" s="792"/>
      <c r="W46" s="792"/>
      <c r="X46" s="792"/>
      <c r="Y46" s="792"/>
      <c r="Z46" s="792"/>
      <c r="AA46" s="792"/>
      <c r="AB46" s="792"/>
      <c r="AC46" s="792"/>
      <c r="AD46" s="792"/>
      <c r="AE46" s="792"/>
      <c r="AF46" s="792"/>
      <c r="AG46" s="792"/>
      <c r="AH46" s="792"/>
      <c r="AI46" s="792"/>
      <c r="AJ46" s="792"/>
      <c r="AK46" s="792"/>
      <c r="AL46" s="792"/>
      <c r="AM46" s="792"/>
      <c r="AN46" s="792"/>
      <c r="AO46" s="792"/>
      <c r="AP46" s="792"/>
      <c r="AQ46" s="792"/>
      <c r="AR46" s="792"/>
      <c r="AS46" s="792"/>
      <c r="AT46" s="792"/>
      <c r="AU46" s="792"/>
      <c r="AV46" s="792"/>
      <c r="AW46" s="792"/>
      <c r="AX46" s="792"/>
      <c r="AY46" s="792"/>
      <c r="AZ46" s="792"/>
      <c r="BA46" s="792"/>
      <c r="BB46" s="792"/>
      <c r="BC46" s="792"/>
      <c r="BD46" s="792"/>
      <c r="BE46" s="792"/>
      <c r="BF46" s="792"/>
      <c r="BG46" s="792"/>
      <c r="BH46" s="792"/>
      <c r="BI46" s="792"/>
      <c r="BJ46" s="792"/>
      <c r="BK46" s="792"/>
      <c r="BL46" s="792"/>
      <c r="BM46" s="792"/>
      <c r="BN46" s="792"/>
      <c r="BO46" s="792"/>
      <c r="BP46" s="792"/>
      <c r="BQ46" s="792"/>
      <c r="BR46" s="792"/>
      <c r="BS46" s="792"/>
      <c r="BT46" s="792"/>
      <c r="BU46" s="792"/>
      <c r="BV46" s="792"/>
      <c r="BW46" s="792"/>
      <c r="BX46" s="792"/>
      <c r="BY46" s="792"/>
      <c r="BZ46" s="792"/>
      <c r="CA46" s="792"/>
      <c r="CB46" s="792"/>
      <c r="CC46" s="792"/>
      <c r="CD46" s="792"/>
      <c r="CE46" s="792"/>
      <c r="CF46" s="792"/>
      <c r="CG46" s="792"/>
      <c r="CH46" s="792"/>
      <c r="CI46" s="792"/>
      <c r="CJ46" s="792"/>
      <c r="CK46" s="792"/>
      <c r="CL46" s="792"/>
      <c r="CM46" s="792"/>
      <c r="CN46" s="792"/>
      <c r="CO46" s="792"/>
      <c r="CP46" s="792"/>
      <c r="CQ46" s="792"/>
      <c r="CR46" s="792"/>
      <c r="CS46" s="792"/>
      <c r="CT46" s="792"/>
      <c r="CU46" s="792"/>
      <c r="CV46" s="792"/>
      <c r="CW46" s="792"/>
      <c r="CX46" s="792"/>
      <c r="CY46" s="792"/>
      <c r="CZ46" s="792"/>
      <c r="DA46" s="792"/>
      <c r="DB46" s="792"/>
      <c r="DC46" s="792"/>
    </row>
    <row r="47" spans="1:107" s="305" customFormat="1" ht="24.75" customHeight="1" x14ac:dyDescent="0.2">
      <c r="A47" s="792"/>
      <c r="B47" s="1141" t="str">
        <f>+'In-House Techniques'!$B$1</f>
        <v>Fatt. pigs. Housing. Floor system: Cooling of manure chanal. Partly slatted floor, 25-49% solid floor. Cooling effect applied: 30 W/m2. (Ref. Denmark)</v>
      </c>
      <c r="C47" s="1142"/>
      <c r="D47" s="1142"/>
      <c r="E47" s="1142"/>
      <c r="F47" s="1142"/>
      <c r="G47" s="1142"/>
      <c r="H47" s="1143"/>
      <c r="I47" s="792"/>
      <c r="J47" s="792"/>
      <c r="K47" s="792"/>
      <c r="L47" s="792"/>
      <c r="M47" s="792"/>
      <c r="N47" s="792"/>
      <c r="O47" s="792"/>
      <c r="P47" s="792"/>
      <c r="Q47" s="792"/>
      <c r="R47" s="792"/>
      <c r="S47" s="792"/>
      <c r="T47" s="792"/>
      <c r="U47" s="792"/>
      <c r="V47" s="792"/>
      <c r="W47" s="792"/>
      <c r="X47" s="792"/>
      <c r="Y47" s="792"/>
      <c r="Z47" s="792"/>
      <c r="AA47" s="792"/>
      <c r="AB47" s="792"/>
      <c r="AC47" s="792"/>
      <c r="AD47" s="792"/>
      <c r="AE47" s="792"/>
      <c r="AF47" s="792"/>
      <c r="AG47" s="792"/>
      <c r="AH47" s="792"/>
      <c r="AI47" s="792"/>
      <c r="AJ47" s="792"/>
      <c r="AK47" s="792"/>
      <c r="AL47" s="792"/>
      <c r="AM47" s="792"/>
      <c r="AN47" s="792"/>
      <c r="AO47" s="792"/>
      <c r="AP47" s="792"/>
      <c r="AQ47" s="792"/>
      <c r="AR47" s="792"/>
      <c r="AS47" s="792"/>
      <c r="AT47" s="792"/>
      <c r="AU47" s="792"/>
      <c r="AV47" s="792"/>
      <c r="AW47" s="792"/>
      <c r="AX47" s="792"/>
      <c r="AY47" s="792"/>
      <c r="AZ47" s="792"/>
      <c r="BA47" s="792"/>
      <c r="BB47" s="792"/>
      <c r="BC47" s="792"/>
      <c r="BD47" s="792"/>
      <c r="BE47" s="792"/>
      <c r="BF47" s="792"/>
      <c r="BG47" s="792"/>
      <c r="BH47" s="792"/>
      <c r="BI47" s="792"/>
      <c r="BJ47" s="792"/>
      <c r="BK47" s="792"/>
      <c r="BL47" s="792"/>
      <c r="BM47" s="792"/>
      <c r="BN47" s="792"/>
      <c r="BO47" s="792"/>
      <c r="BP47" s="792"/>
      <c r="BQ47" s="792"/>
      <c r="BR47" s="792"/>
      <c r="BS47" s="792"/>
      <c r="BT47" s="792"/>
      <c r="BU47" s="792"/>
      <c r="BV47" s="792"/>
      <c r="BW47" s="792"/>
      <c r="BX47" s="792"/>
      <c r="BY47" s="792"/>
      <c r="BZ47" s="792"/>
      <c r="CA47" s="792"/>
      <c r="CB47" s="792"/>
      <c r="CC47" s="792"/>
      <c r="CD47" s="792"/>
      <c r="CE47" s="792"/>
      <c r="CF47" s="792"/>
      <c r="CG47" s="792"/>
      <c r="CH47" s="792"/>
      <c r="CI47" s="792"/>
      <c r="CJ47" s="792"/>
      <c r="CK47" s="792"/>
      <c r="CL47" s="792"/>
      <c r="CM47" s="792"/>
      <c r="CN47" s="792"/>
      <c r="CO47" s="792"/>
      <c r="CP47" s="792"/>
      <c r="CQ47" s="792"/>
      <c r="CR47" s="792"/>
      <c r="CS47" s="792"/>
      <c r="CT47" s="792"/>
      <c r="CU47" s="792"/>
      <c r="CV47" s="792"/>
      <c r="CW47" s="792"/>
      <c r="CX47" s="792"/>
      <c r="CY47" s="792"/>
      <c r="CZ47" s="792"/>
      <c r="DA47" s="792"/>
      <c r="DB47" s="792"/>
      <c r="DC47" s="792"/>
    </row>
    <row r="48" spans="1:107" s="305" customFormat="1" ht="12" x14ac:dyDescent="0.2">
      <c r="A48" s="792"/>
      <c r="B48" s="821" t="s">
        <v>1054</v>
      </c>
      <c r="C48" s="786"/>
      <c r="D48" s="786"/>
      <c r="E48" s="786"/>
      <c r="F48" s="786"/>
      <c r="G48" s="786"/>
      <c r="H48" s="820"/>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c r="BC48" s="792"/>
      <c r="BD48" s="792"/>
      <c r="BE48" s="792"/>
      <c r="BF48" s="792"/>
      <c r="BG48" s="792"/>
      <c r="BH48" s="792"/>
      <c r="BI48" s="792"/>
      <c r="BJ48" s="792"/>
      <c r="BK48" s="792"/>
      <c r="BL48" s="792"/>
      <c r="BM48" s="792"/>
      <c r="BN48" s="792"/>
      <c r="BO48" s="792"/>
      <c r="BP48" s="792"/>
      <c r="BQ48" s="792"/>
      <c r="BR48" s="792"/>
      <c r="BS48" s="792"/>
      <c r="BT48" s="792"/>
      <c r="BU48" s="792"/>
      <c r="BV48" s="792"/>
      <c r="BW48" s="792"/>
      <c r="BX48" s="792"/>
      <c r="BY48" s="792"/>
      <c r="BZ48" s="792"/>
      <c r="CA48" s="792"/>
      <c r="CB48" s="792"/>
      <c r="CC48" s="792"/>
      <c r="CD48" s="792"/>
      <c r="CE48" s="792"/>
      <c r="CF48" s="792"/>
      <c r="CG48" s="792"/>
      <c r="CH48" s="792"/>
      <c r="CI48" s="792"/>
      <c r="CJ48" s="792"/>
      <c r="CK48" s="792"/>
      <c r="CL48" s="792"/>
      <c r="CM48" s="792"/>
      <c r="CN48" s="792"/>
      <c r="CO48" s="792"/>
      <c r="CP48" s="792"/>
      <c r="CQ48" s="792"/>
      <c r="CR48" s="792"/>
      <c r="CS48" s="792"/>
      <c r="CT48" s="792"/>
      <c r="CU48" s="792"/>
      <c r="CV48" s="792"/>
      <c r="CW48" s="792"/>
      <c r="CX48" s="792"/>
      <c r="CY48" s="792"/>
      <c r="CZ48" s="792"/>
      <c r="DA48" s="792"/>
      <c r="DB48" s="792"/>
      <c r="DC48" s="792"/>
    </row>
    <row r="49" spans="1:107" s="305" customFormat="1" ht="123.75" customHeight="1" thickBot="1" x14ac:dyDescent="0.25">
      <c r="A49" s="792"/>
      <c r="B49" s="1148" t="str">
        <f>+'In-House Techniques'!$B$3&amp;"                                                                                                                                                                                                                       Remark: "&amp;'In-House Techniques'!$B$4</f>
        <v>Manure cooling system can be installed under manure chanals with vacuum cleaning or with scrabers (typically wire type). PEL -pipes are cast down in the concrete under chanals in new buildings with a distance of 35-40 cm between each loop. (see pictures below). Alternatively cooling pipes can be installed above concrete. The pipes are connected to af heat exchange pump and the heat recovered from this proces might be used for heating in other parts of the farm (house for weaning pig, farrowing pen, private farmhouse etc.                                                                                                                                                                                                                       Remark: Reason for design: Ammonia emission reduction. Tests has shown that emission can be reduced with 10 % for every 10 W/m2 cooling effect applied. Reduction of temperature in manure and wet surface of the chanal floor results in a reduction of evaporation/emission. Necessary management handlings: Frequent scraping of manurechanal or frequent emtying in manure chanals with vacuum systems.</v>
      </c>
      <c r="C49" s="1149"/>
      <c r="D49" s="1149"/>
      <c r="E49" s="1149"/>
      <c r="F49" s="1149"/>
      <c r="G49" s="1149"/>
      <c r="H49" s="1150"/>
      <c r="I49" s="792"/>
      <c r="J49" s="792"/>
      <c r="K49" s="792"/>
      <c r="L49" s="792"/>
      <c r="M49" s="792"/>
      <c r="N49" s="792"/>
      <c r="O49" s="792"/>
      <c r="P49" s="792"/>
      <c r="Q49" s="792"/>
      <c r="R49" s="792"/>
      <c r="S49" s="792"/>
      <c r="T49" s="792"/>
      <c r="U49" s="792"/>
      <c r="V49" s="792"/>
      <c r="W49" s="792"/>
      <c r="X49" s="792"/>
      <c r="Y49" s="792"/>
      <c r="Z49" s="792"/>
      <c r="AA49" s="792"/>
      <c r="AB49" s="792"/>
      <c r="AC49" s="792"/>
      <c r="AD49" s="792"/>
      <c r="AE49" s="792"/>
      <c r="AF49" s="792"/>
      <c r="AG49" s="792"/>
      <c r="AH49" s="792"/>
      <c r="AI49" s="792"/>
      <c r="AJ49" s="792"/>
      <c r="AK49" s="792"/>
      <c r="AL49" s="792"/>
      <c r="AM49" s="792"/>
      <c r="AN49" s="792"/>
      <c r="AO49" s="792"/>
      <c r="AP49" s="792"/>
      <c r="AQ49" s="792"/>
      <c r="AR49" s="792"/>
      <c r="AS49" s="792"/>
      <c r="AT49" s="792"/>
      <c r="AU49" s="792"/>
      <c r="AV49" s="792"/>
      <c r="AW49" s="792"/>
      <c r="AX49" s="792"/>
      <c r="AY49" s="792"/>
      <c r="AZ49" s="792"/>
      <c r="BA49" s="792"/>
      <c r="BB49" s="792"/>
      <c r="BC49" s="792"/>
      <c r="BD49" s="792"/>
      <c r="BE49" s="792"/>
      <c r="BF49" s="792"/>
      <c r="BG49" s="792"/>
      <c r="BH49" s="792"/>
      <c r="BI49" s="792"/>
      <c r="BJ49" s="792"/>
      <c r="BK49" s="792"/>
      <c r="BL49" s="792"/>
      <c r="BM49" s="792"/>
      <c r="BN49" s="792"/>
      <c r="BO49" s="792"/>
      <c r="BP49" s="792"/>
      <c r="BQ49" s="792"/>
      <c r="BR49" s="792"/>
      <c r="BS49" s="792"/>
      <c r="BT49" s="792"/>
      <c r="BU49" s="792"/>
      <c r="BV49" s="792"/>
      <c r="BW49" s="792"/>
      <c r="BX49" s="792"/>
      <c r="BY49" s="792"/>
      <c r="BZ49" s="792"/>
      <c r="CA49" s="792"/>
      <c r="CB49" s="792"/>
      <c r="CC49" s="792"/>
      <c r="CD49" s="792"/>
      <c r="CE49" s="792"/>
      <c r="CF49" s="792"/>
      <c r="CG49" s="792"/>
      <c r="CH49" s="792"/>
      <c r="CI49" s="792"/>
      <c r="CJ49" s="792"/>
      <c r="CK49" s="792"/>
      <c r="CL49" s="792"/>
      <c r="CM49" s="792"/>
      <c r="CN49" s="792"/>
      <c r="CO49" s="792"/>
      <c r="CP49" s="792"/>
      <c r="CQ49" s="792"/>
      <c r="CR49" s="792"/>
      <c r="CS49" s="792"/>
      <c r="CT49" s="792"/>
      <c r="CU49" s="792"/>
      <c r="CV49" s="792"/>
      <c r="CW49" s="792"/>
      <c r="CX49" s="792"/>
      <c r="CY49" s="792"/>
      <c r="CZ49" s="792"/>
      <c r="DA49" s="792"/>
      <c r="DB49" s="792"/>
      <c r="DC49" s="792"/>
    </row>
    <row r="50" spans="1:107" s="305" customFormat="1" ht="12" x14ac:dyDescent="0.2">
      <c r="A50" s="792"/>
      <c r="B50" s="792"/>
      <c r="C50" s="792"/>
      <c r="D50" s="792"/>
      <c r="E50" s="792"/>
      <c r="F50" s="792"/>
      <c r="G50" s="792"/>
      <c r="H50" s="792"/>
      <c r="I50" s="792"/>
      <c r="J50" s="792"/>
      <c r="K50" s="792"/>
      <c r="L50" s="792"/>
      <c r="M50" s="792"/>
      <c r="N50" s="792"/>
      <c r="O50" s="792"/>
      <c r="P50" s="792"/>
      <c r="Q50" s="792"/>
      <c r="R50" s="792"/>
      <c r="S50" s="792"/>
      <c r="T50" s="792"/>
      <c r="U50" s="792"/>
      <c r="V50" s="792"/>
      <c r="W50" s="792"/>
      <c r="X50" s="792"/>
      <c r="Y50" s="792"/>
      <c r="Z50" s="792"/>
      <c r="AA50" s="792"/>
      <c r="AB50" s="792"/>
      <c r="AC50" s="792"/>
      <c r="AD50" s="792"/>
      <c r="AE50" s="792"/>
      <c r="AF50" s="792"/>
      <c r="AG50" s="792"/>
      <c r="AH50" s="792"/>
      <c r="AI50" s="792"/>
      <c r="AJ50" s="792"/>
      <c r="AK50" s="792"/>
      <c r="AL50" s="792"/>
      <c r="AM50" s="792"/>
      <c r="AN50" s="792"/>
      <c r="AO50" s="792"/>
      <c r="AP50" s="792"/>
      <c r="AQ50" s="792"/>
      <c r="AR50" s="792"/>
      <c r="AS50" s="792"/>
      <c r="AT50" s="792"/>
      <c r="AU50" s="792"/>
      <c r="AV50" s="792"/>
      <c r="AW50" s="792"/>
      <c r="AX50" s="792"/>
      <c r="AY50" s="792"/>
      <c r="AZ50" s="792"/>
      <c r="BA50" s="792"/>
      <c r="BB50" s="792"/>
      <c r="BC50" s="792"/>
      <c r="BD50" s="792"/>
      <c r="BE50" s="792"/>
      <c r="BF50" s="792"/>
      <c r="BG50" s="792"/>
      <c r="BH50" s="792"/>
      <c r="BI50" s="792"/>
      <c r="BJ50" s="792"/>
      <c r="BK50" s="792"/>
      <c r="BL50" s="792"/>
      <c r="BM50" s="792"/>
      <c r="BN50" s="792"/>
      <c r="BO50" s="792"/>
      <c r="BP50" s="792"/>
      <c r="BQ50" s="792"/>
      <c r="BR50" s="792"/>
      <c r="BS50" s="792"/>
      <c r="BT50" s="792"/>
      <c r="BU50" s="792"/>
      <c r="BV50" s="792"/>
      <c r="BW50" s="792"/>
      <c r="BX50" s="792"/>
      <c r="BY50" s="792"/>
      <c r="BZ50" s="792"/>
      <c r="CA50" s="792"/>
      <c r="CB50" s="792"/>
      <c r="CC50" s="792"/>
      <c r="CD50" s="792"/>
      <c r="CE50" s="792"/>
      <c r="CF50" s="792"/>
      <c r="CG50" s="792"/>
      <c r="CH50" s="792"/>
      <c r="CI50" s="792"/>
      <c r="CJ50" s="792"/>
      <c r="CK50" s="792"/>
      <c r="CL50" s="792"/>
      <c r="CM50" s="792"/>
      <c r="CN50" s="792"/>
      <c r="CO50" s="792"/>
      <c r="CP50" s="792"/>
      <c r="CQ50" s="792"/>
      <c r="CR50" s="792"/>
      <c r="CS50" s="792"/>
      <c r="CT50" s="792"/>
      <c r="CU50" s="792"/>
      <c r="CV50" s="792"/>
      <c r="CW50" s="792"/>
      <c r="CX50" s="792"/>
      <c r="CY50" s="792"/>
      <c r="CZ50" s="792"/>
      <c r="DA50" s="792"/>
      <c r="DB50" s="792"/>
      <c r="DC50" s="792"/>
    </row>
    <row r="51" spans="1:107" s="305" customFormat="1" ht="17.25" thickBot="1" x14ac:dyDescent="0.25">
      <c r="A51" s="792"/>
      <c r="B51" s="818" t="s">
        <v>1048</v>
      </c>
      <c r="C51" s="798"/>
      <c r="D51" s="798"/>
      <c r="E51" s="798"/>
      <c r="F51" s="798"/>
      <c r="G51" s="798"/>
      <c r="H51" s="798"/>
      <c r="I51" s="792"/>
      <c r="J51" s="792"/>
      <c r="K51" s="792"/>
      <c r="L51" s="792"/>
      <c r="M51" s="792"/>
      <c r="N51" s="792"/>
      <c r="O51" s="792"/>
      <c r="P51" s="792"/>
      <c r="Q51" s="792"/>
      <c r="R51" s="792"/>
      <c r="S51" s="792"/>
      <c r="T51" s="792"/>
      <c r="U51" s="792"/>
      <c r="V51" s="792"/>
      <c r="W51" s="792"/>
      <c r="X51" s="792"/>
      <c r="Y51" s="792"/>
      <c r="Z51" s="792"/>
      <c r="AA51" s="792"/>
      <c r="AB51" s="792"/>
      <c r="AC51" s="792"/>
      <c r="AD51" s="792"/>
      <c r="AE51" s="792"/>
      <c r="AF51" s="792"/>
      <c r="AG51" s="792"/>
      <c r="AH51" s="792"/>
      <c r="AI51" s="792"/>
      <c r="AJ51" s="792"/>
      <c r="AK51" s="792"/>
      <c r="AL51" s="792"/>
      <c r="AM51" s="792"/>
      <c r="AN51" s="792"/>
      <c r="AO51" s="792"/>
      <c r="AP51" s="792"/>
      <c r="AQ51" s="792"/>
      <c r="AR51" s="792"/>
      <c r="AS51" s="792"/>
      <c r="AT51" s="792"/>
      <c r="AU51" s="792"/>
      <c r="AV51" s="792"/>
      <c r="AW51" s="792"/>
      <c r="AX51" s="792"/>
      <c r="AY51" s="792"/>
      <c r="AZ51" s="792"/>
      <c r="BA51" s="792"/>
      <c r="BB51" s="792"/>
      <c r="BC51" s="792"/>
      <c r="BD51" s="792"/>
      <c r="BE51" s="792"/>
      <c r="BF51" s="792"/>
      <c r="BG51" s="792"/>
      <c r="BH51" s="792"/>
      <c r="BI51" s="792"/>
      <c r="BJ51" s="792"/>
      <c r="BK51" s="792"/>
      <c r="BL51" s="792"/>
      <c r="BM51" s="792"/>
      <c r="BN51" s="792"/>
      <c r="BO51" s="792"/>
      <c r="BP51" s="792"/>
      <c r="BQ51" s="792"/>
      <c r="BR51" s="792"/>
      <c r="BS51" s="792"/>
      <c r="BT51" s="792"/>
      <c r="BU51" s="792"/>
      <c r="BV51" s="792"/>
      <c r="BW51" s="792"/>
      <c r="BX51" s="792"/>
      <c r="BY51" s="792"/>
      <c r="BZ51" s="792"/>
      <c r="CA51" s="792"/>
      <c r="CB51" s="792"/>
      <c r="CC51" s="792"/>
      <c r="CD51" s="792"/>
      <c r="CE51" s="792"/>
      <c r="CF51" s="792"/>
      <c r="CG51" s="792"/>
      <c r="CH51" s="792"/>
      <c r="CI51" s="792"/>
      <c r="CJ51" s="792"/>
      <c r="CK51" s="792"/>
      <c r="CL51" s="792"/>
      <c r="CM51" s="792"/>
      <c r="CN51" s="792"/>
      <c r="CO51" s="792"/>
      <c r="CP51" s="792"/>
      <c r="CQ51" s="792"/>
      <c r="CR51" s="792"/>
      <c r="CS51" s="792"/>
      <c r="CT51" s="792"/>
      <c r="CU51" s="792"/>
      <c r="CV51" s="792"/>
      <c r="CW51" s="792"/>
      <c r="CX51" s="792"/>
      <c r="CY51" s="792"/>
      <c r="CZ51" s="792"/>
      <c r="DA51" s="792"/>
      <c r="DB51" s="792"/>
      <c r="DC51" s="792"/>
    </row>
    <row r="52" spans="1:107" s="305" customFormat="1" ht="12" x14ac:dyDescent="0.2">
      <c r="A52" s="792"/>
      <c r="B52" s="819" t="s">
        <v>369</v>
      </c>
      <c r="C52" s="395"/>
      <c r="D52" s="395"/>
      <c r="E52" s="395"/>
      <c r="F52" s="395"/>
      <c r="G52" s="395"/>
      <c r="H52" s="784"/>
      <c r="I52" s="792"/>
      <c r="J52" s="792"/>
      <c r="K52" s="792"/>
      <c r="L52" s="792"/>
      <c r="M52" s="792"/>
      <c r="N52" s="792"/>
      <c r="O52" s="792"/>
      <c r="P52" s="792"/>
      <c r="Q52" s="792"/>
      <c r="R52" s="792"/>
      <c r="S52" s="792"/>
      <c r="T52" s="792"/>
      <c r="U52" s="792"/>
      <c r="V52" s="792"/>
      <c r="W52" s="792"/>
      <c r="X52" s="792"/>
      <c r="Y52" s="792"/>
      <c r="Z52" s="792"/>
      <c r="AA52" s="792"/>
      <c r="AB52" s="792"/>
      <c r="AC52" s="792"/>
      <c r="AD52" s="792"/>
      <c r="AE52" s="792"/>
      <c r="AF52" s="792"/>
      <c r="AG52" s="792"/>
      <c r="AH52" s="792"/>
      <c r="AI52" s="792"/>
      <c r="AJ52" s="792"/>
      <c r="AK52" s="792"/>
      <c r="AL52" s="792"/>
      <c r="AM52" s="792"/>
      <c r="AN52" s="792"/>
      <c r="AO52" s="792"/>
      <c r="AP52" s="792"/>
      <c r="AQ52" s="792"/>
      <c r="AR52" s="792"/>
      <c r="AS52" s="792"/>
      <c r="AT52" s="792"/>
      <c r="AU52" s="792"/>
      <c r="AV52" s="792"/>
      <c r="AW52" s="792"/>
      <c r="AX52" s="792"/>
      <c r="AY52" s="792"/>
      <c r="AZ52" s="792"/>
      <c r="BA52" s="792"/>
      <c r="BB52" s="792"/>
      <c r="BC52" s="792"/>
      <c r="BD52" s="792"/>
      <c r="BE52" s="792"/>
      <c r="BF52" s="792"/>
      <c r="BG52" s="792"/>
      <c r="BH52" s="792"/>
      <c r="BI52" s="792"/>
      <c r="BJ52" s="792"/>
      <c r="BK52" s="792"/>
      <c r="BL52" s="792"/>
      <c r="BM52" s="792"/>
      <c r="BN52" s="792"/>
      <c r="BO52" s="792"/>
      <c r="BP52" s="792"/>
      <c r="BQ52" s="792"/>
      <c r="BR52" s="792"/>
      <c r="BS52" s="792"/>
      <c r="BT52" s="792"/>
      <c r="BU52" s="792"/>
      <c r="BV52" s="792"/>
      <c r="BW52" s="792"/>
      <c r="BX52" s="792"/>
      <c r="BY52" s="792"/>
      <c r="BZ52" s="792"/>
      <c r="CA52" s="792"/>
      <c r="CB52" s="792"/>
      <c r="CC52" s="792"/>
      <c r="CD52" s="792"/>
      <c r="CE52" s="792"/>
      <c r="CF52" s="792"/>
      <c r="CG52" s="792"/>
      <c r="CH52" s="792"/>
      <c r="CI52" s="792"/>
      <c r="CJ52" s="792"/>
      <c r="CK52" s="792"/>
      <c r="CL52" s="792"/>
      <c r="CM52" s="792"/>
      <c r="CN52" s="792"/>
      <c r="CO52" s="792"/>
      <c r="CP52" s="792"/>
      <c r="CQ52" s="792"/>
      <c r="CR52" s="792"/>
      <c r="CS52" s="792"/>
      <c r="CT52" s="792"/>
      <c r="CU52" s="792"/>
      <c r="CV52" s="792"/>
      <c r="CW52" s="792"/>
      <c r="CX52" s="792"/>
      <c r="CY52" s="792"/>
      <c r="CZ52" s="792"/>
      <c r="DA52" s="792"/>
      <c r="DB52" s="792"/>
      <c r="DC52" s="792"/>
    </row>
    <row r="53" spans="1:107" s="339" customFormat="1" ht="30" customHeight="1" x14ac:dyDescent="0.25">
      <c r="A53" s="502"/>
      <c r="B53" s="1141" t="str">
        <f>+'Outdoor Storage Techniques'!$B$1</f>
        <v>Slurry storage. Cover for slurry stores: Plastic tent. Pig slurry. (Ref: Denmark, 2010)</v>
      </c>
      <c r="C53" s="1142"/>
      <c r="D53" s="1142"/>
      <c r="E53" s="1142"/>
      <c r="F53" s="1142"/>
      <c r="G53" s="1142"/>
      <c r="H53" s="1143"/>
      <c r="I53" s="502"/>
      <c r="J53" s="502"/>
      <c r="K53" s="502"/>
      <c r="L53" s="502"/>
      <c r="M53" s="502"/>
      <c r="N53" s="502"/>
      <c r="O53" s="502"/>
      <c r="P53" s="502"/>
      <c r="Q53" s="502"/>
      <c r="R53" s="502"/>
      <c r="S53" s="502"/>
      <c r="T53" s="502"/>
      <c r="U53" s="502"/>
      <c r="V53" s="502"/>
      <c r="W53" s="502"/>
      <c r="X53" s="502"/>
      <c r="Y53" s="502"/>
      <c r="Z53" s="502"/>
      <c r="AA53" s="502"/>
      <c r="AB53" s="502"/>
      <c r="AC53" s="502"/>
      <c r="AD53" s="502"/>
      <c r="AE53" s="502"/>
      <c r="AF53" s="502"/>
      <c r="AG53" s="502"/>
      <c r="AH53" s="502"/>
      <c r="AI53" s="502"/>
      <c r="AJ53" s="502"/>
      <c r="AK53" s="502"/>
      <c r="AL53" s="502"/>
      <c r="AM53" s="502"/>
      <c r="AN53" s="502"/>
      <c r="AO53" s="502"/>
      <c r="AP53" s="502"/>
      <c r="AQ53" s="502"/>
      <c r="AR53" s="502"/>
      <c r="AS53" s="502"/>
      <c r="AT53" s="502"/>
      <c r="AU53" s="502"/>
      <c r="AV53" s="502"/>
      <c r="AW53" s="502"/>
      <c r="AX53" s="502"/>
      <c r="AY53" s="502"/>
      <c r="AZ53" s="502"/>
      <c r="BA53" s="502"/>
      <c r="BB53" s="502"/>
      <c r="BC53" s="502"/>
      <c r="BD53" s="502"/>
      <c r="BE53" s="502"/>
      <c r="BF53" s="502"/>
      <c r="BG53" s="502"/>
      <c r="BH53" s="502"/>
      <c r="BI53" s="502"/>
      <c r="BJ53" s="502"/>
      <c r="BK53" s="502"/>
      <c r="BL53" s="502"/>
      <c r="BM53" s="502"/>
      <c r="BN53" s="502"/>
      <c r="BO53" s="502"/>
      <c r="BP53" s="502"/>
      <c r="BQ53" s="502"/>
      <c r="BR53" s="502"/>
      <c r="BS53" s="502"/>
      <c r="BT53" s="502"/>
      <c r="BU53" s="502"/>
      <c r="BV53" s="502"/>
      <c r="BW53" s="502"/>
      <c r="BX53" s="502"/>
      <c r="BY53" s="502"/>
      <c r="BZ53" s="502"/>
      <c r="CA53" s="502"/>
      <c r="CB53" s="502"/>
      <c r="CC53" s="502"/>
      <c r="CD53" s="502"/>
      <c r="CE53" s="502"/>
      <c r="CF53" s="502"/>
      <c r="CG53" s="502"/>
      <c r="CH53" s="502"/>
      <c r="CI53" s="502"/>
      <c r="CJ53" s="502"/>
      <c r="CK53" s="502"/>
      <c r="CL53" s="502"/>
      <c r="CM53" s="502"/>
      <c r="CN53" s="502"/>
      <c r="CO53" s="502"/>
      <c r="CP53" s="502"/>
      <c r="CQ53" s="502"/>
      <c r="CR53" s="502"/>
      <c r="CS53" s="502"/>
      <c r="CT53" s="502"/>
      <c r="CU53" s="502"/>
      <c r="CV53" s="502"/>
      <c r="CW53" s="502"/>
      <c r="CX53" s="502"/>
      <c r="CY53" s="502"/>
      <c r="CZ53" s="502"/>
      <c r="DA53" s="502"/>
      <c r="DB53" s="502"/>
      <c r="DC53" s="502"/>
    </row>
    <row r="54" spans="1:107" x14ac:dyDescent="0.25">
      <c r="B54" s="821" t="s">
        <v>1054</v>
      </c>
      <c r="C54" s="786"/>
      <c r="D54" s="786"/>
      <c r="E54" s="786"/>
      <c r="F54" s="786"/>
      <c r="G54" s="786"/>
      <c r="H54" s="820"/>
    </row>
    <row r="55" spans="1:107" s="339" customFormat="1" ht="73.5" customHeight="1" thickBot="1" x14ac:dyDescent="0.3">
      <c r="A55" s="502"/>
      <c r="B55" s="1148" t="str">
        <f>+'Outdoor Storage Techniques'!$B$3&amp;"                                                                                                                                                                                                                         Remark: "&amp;'Outdoor Storage Techniques'!$B$4</f>
        <v>Cover with plastic tent.                                                                                                                                                                                                                          Remark: Increase of N content due to lower losses; in areas with significant rainfall the DM content will be higher as the tent shelters rainfall from the slurry store. A reduction of greenhouse gases CO2, CH4 and N2O is expected" =&gt; influence on N2O emissions is unsure; CH4 emissions will only be reduced if a crust forms on the slurry surface and CH4 oxidation occurs in this crust. Estimated NH3 reduction: 50% compared to natural crust cover / straw cover.</v>
      </c>
      <c r="C55" s="1149"/>
      <c r="D55" s="1149"/>
      <c r="E55" s="1149"/>
      <c r="F55" s="1149"/>
      <c r="G55" s="1149"/>
      <c r="H55" s="1150"/>
      <c r="I55" s="502"/>
      <c r="J55" s="502"/>
      <c r="K55" s="502"/>
      <c r="L55" s="502"/>
      <c r="M55" s="502"/>
      <c r="N55" s="502"/>
      <c r="O55" s="502"/>
      <c r="P55" s="502"/>
      <c r="Q55" s="502"/>
      <c r="R55" s="502"/>
      <c r="S55" s="502"/>
      <c r="T55" s="502"/>
      <c r="U55" s="502"/>
      <c r="V55" s="502"/>
      <c r="W55" s="502"/>
      <c r="X55" s="502"/>
      <c r="Y55" s="502"/>
      <c r="Z55" s="502"/>
      <c r="AA55" s="502"/>
      <c r="AB55" s="502"/>
      <c r="AC55" s="502"/>
      <c r="AD55" s="502"/>
      <c r="AE55" s="502"/>
      <c r="AF55" s="502"/>
      <c r="AG55" s="502"/>
      <c r="AH55" s="502"/>
      <c r="AI55" s="502"/>
      <c r="AJ55" s="502"/>
      <c r="AK55" s="502"/>
      <c r="AL55" s="502"/>
      <c r="AM55" s="502"/>
      <c r="AN55" s="502"/>
      <c r="AO55" s="502"/>
      <c r="AP55" s="502"/>
      <c r="AQ55" s="502"/>
      <c r="AR55" s="502"/>
      <c r="AS55" s="502"/>
      <c r="AT55" s="502"/>
      <c r="AU55" s="502"/>
      <c r="AV55" s="502"/>
      <c r="AW55" s="502"/>
      <c r="AX55" s="502"/>
      <c r="AY55" s="502"/>
      <c r="AZ55" s="502"/>
      <c r="BA55" s="502"/>
      <c r="BB55" s="502"/>
      <c r="BC55" s="502"/>
      <c r="BD55" s="502"/>
      <c r="BE55" s="502"/>
      <c r="BF55" s="502"/>
      <c r="BG55" s="502"/>
      <c r="BH55" s="502"/>
      <c r="BI55" s="502"/>
      <c r="BJ55" s="502"/>
      <c r="BK55" s="502"/>
      <c r="BL55" s="502"/>
      <c r="BM55" s="502"/>
      <c r="BN55" s="502"/>
      <c r="BO55" s="502"/>
      <c r="BP55" s="502"/>
      <c r="BQ55" s="502"/>
      <c r="BR55" s="502"/>
      <c r="BS55" s="502"/>
      <c r="BT55" s="502"/>
      <c r="BU55" s="502"/>
      <c r="BV55" s="502"/>
      <c r="BW55" s="502"/>
      <c r="BX55" s="502"/>
      <c r="BY55" s="502"/>
      <c r="BZ55" s="502"/>
      <c r="CA55" s="502"/>
      <c r="CB55" s="502"/>
      <c r="CC55" s="502"/>
      <c r="CD55" s="502"/>
      <c r="CE55" s="502"/>
      <c r="CF55" s="502"/>
      <c r="CG55" s="502"/>
      <c r="CH55" s="502"/>
      <c r="CI55" s="502"/>
      <c r="CJ55" s="502"/>
      <c r="CK55" s="502"/>
      <c r="CL55" s="502"/>
      <c r="CM55" s="502"/>
      <c r="CN55" s="502"/>
      <c r="CO55" s="502"/>
      <c r="CP55" s="502"/>
      <c r="CQ55" s="502"/>
      <c r="CR55" s="502"/>
      <c r="CS55" s="502"/>
      <c r="CT55" s="502"/>
      <c r="CU55" s="502"/>
      <c r="CV55" s="502"/>
      <c r="CW55" s="502"/>
      <c r="CX55" s="502"/>
      <c r="CY55" s="502"/>
      <c r="CZ55" s="502"/>
      <c r="DA55" s="502"/>
      <c r="DB55" s="502"/>
      <c r="DC55" s="502"/>
    </row>
    <row r="56" spans="1:107" s="305" customFormat="1" ht="12" x14ac:dyDescent="0.2">
      <c r="A56" s="792"/>
      <c r="B56" s="792"/>
      <c r="C56" s="792"/>
      <c r="D56" s="792"/>
      <c r="E56" s="792"/>
      <c r="F56" s="792"/>
      <c r="G56" s="792"/>
      <c r="H56" s="792"/>
      <c r="I56" s="792"/>
      <c r="J56" s="792"/>
      <c r="K56" s="792"/>
      <c r="L56" s="792"/>
      <c r="M56" s="792"/>
      <c r="N56" s="792"/>
      <c r="O56" s="792"/>
      <c r="P56" s="792"/>
      <c r="Q56" s="792"/>
      <c r="R56" s="792"/>
      <c r="S56" s="792"/>
      <c r="T56" s="792"/>
      <c r="U56" s="792"/>
      <c r="V56" s="792"/>
      <c r="W56" s="792"/>
      <c r="X56" s="792"/>
      <c r="Y56" s="792"/>
      <c r="Z56" s="792"/>
      <c r="AA56" s="792"/>
      <c r="AB56" s="792"/>
      <c r="AC56" s="792"/>
      <c r="AD56" s="792"/>
      <c r="AE56" s="792"/>
      <c r="AF56" s="792"/>
      <c r="AG56" s="792"/>
      <c r="AH56" s="792"/>
      <c r="AI56" s="792"/>
      <c r="AJ56" s="792"/>
      <c r="AK56" s="792"/>
      <c r="AL56" s="792"/>
      <c r="AM56" s="792"/>
      <c r="AN56" s="792"/>
      <c r="AO56" s="792"/>
      <c r="AP56" s="792"/>
      <c r="AQ56" s="792"/>
      <c r="AR56" s="792"/>
      <c r="AS56" s="792"/>
      <c r="AT56" s="792"/>
      <c r="AU56" s="792"/>
      <c r="AV56" s="792"/>
      <c r="AW56" s="792"/>
      <c r="AX56" s="792"/>
      <c r="AY56" s="792"/>
      <c r="AZ56" s="792"/>
      <c r="BA56" s="792"/>
      <c r="BB56" s="792"/>
      <c r="BC56" s="792"/>
      <c r="BD56" s="792"/>
      <c r="BE56" s="792"/>
      <c r="BF56" s="792"/>
      <c r="BG56" s="792"/>
      <c r="BH56" s="792"/>
      <c r="BI56" s="792"/>
      <c r="BJ56" s="792"/>
      <c r="BK56" s="792"/>
      <c r="BL56" s="792"/>
      <c r="BM56" s="792"/>
      <c r="BN56" s="792"/>
      <c r="BO56" s="792"/>
      <c r="BP56" s="792"/>
      <c r="BQ56" s="792"/>
      <c r="BR56" s="792"/>
      <c r="BS56" s="792"/>
      <c r="BT56" s="792"/>
      <c r="BU56" s="792"/>
      <c r="BV56" s="792"/>
      <c r="BW56" s="792"/>
      <c r="BX56" s="792"/>
      <c r="BY56" s="792"/>
      <c r="BZ56" s="792"/>
      <c r="CA56" s="792"/>
      <c r="CB56" s="792"/>
      <c r="CC56" s="792"/>
      <c r="CD56" s="792"/>
      <c r="CE56" s="792"/>
      <c r="CF56" s="792"/>
      <c r="CG56" s="792"/>
      <c r="CH56" s="792"/>
      <c r="CI56" s="792"/>
      <c r="CJ56" s="792"/>
      <c r="CK56" s="792"/>
      <c r="CL56" s="792"/>
      <c r="CM56" s="792"/>
      <c r="CN56" s="792"/>
      <c r="CO56" s="792"/>
      <c r="CP56" s="792"/>
      <c r="CQ56" s="792"/>
      <c r="CR56" s="792"/>
      <c r="CS56" s="792"/>
      <c r="CT56" s="792"/>
      <c r="CU56" s="792"/>
      <c r="CV56" s="792"/>
      <c r="CW56" s="792"/>
      <c r="CX56" s="792"/>
      <c r="CY56" s="792"/>
      <c r="CZ56" s="792"/>
      <c r="DA56" s="792"/>
      <c r="DB56" s="792"/>
      <c r="DC56" s="792"/>
    </row>
    <row r="57" spans="1:107" s="339" customFormat="1" ht="17.25" thickBot="1" x14ac:dyDescent="0.3">
      <c r="A57" s="502"/>
      <c r="B57" s="818" t="s">
        <v>1049</v>
      </c>
      <c r="C57" s="798"/>
      <c r="D57" s="798"/>
      <c r="E57" s="798"/>
      <c r="F57" s="798"/>
      <c r="G57" s="798"/>
      <c r="H57" s="798"/>
      <c r="I57" s="502"/>
      <c r="J57" s="502"/>
      <c r="K57" s="502"/>
      <c r="L57" s="502"/>
      <c r="M57" s="502"/>
      <c r="N57" s="502"/>
      <c r="O57" s="502"/>
      <c r="P57" s="502"/>
      <c r="Q57" s="502"/>
      <c r="R57" s="502"/>
      <c r="S57" s="502"/>
      <c r="T57" s="502"/>
      <c r="U57" s="502"/>
      <c r="V57" s="502"/>
      <c r="W57" s="502"/>
      <c r="X57" s="502"/>
      <c r="Y57" s="502"/>
      <c r="Z57" s="502"/>
      <c r="AA57" s="502"/>
      <c r="AB57" s="502"/>
      <c r="AC57" s="502"/>
      <c r="AD57" s="502"/>
      <c r="AE57" s="502"/>
      <c r="AF57" s="502"/>
      <c r="AG57" s="502"/>
      <c r="AH57" s="502"/>
      <c r="AI57" s="502"/>
      <c r="AJ57" s="502"/>
      <c r="AK57" s="502"/>
      <c r="AL57" s="502"/>
      <c r="AM57" s="502"/>
      <c r="AN57" s="502"/>
      <c r="AO57" s="502"/>
      <c r="AP57" s="502"/>
      <c r="AQ57" s="502"/>
      <c r="AR57" s="502"/>
      <c r="AS57" s="502"/>
      <c r="AT57" s="502"/>
      <c r="AU57" s="502"/>
      <c r="AV57" s="502"/>
      <c r="AW57" s="502"/>
      <c r="AX57" s="502"/>
      <c r="AY57" s="502"/>
      <c r="AZ57" s="502"/>
      <c r="BA57" s="502"/>
      <c r="BB57" s="502"/>
      <c r="BC57" s="502"/>
      <c r="BD57" s="502"/>
      <c r="BE57" s="502"/>
      <c r="BF57" s="502"/>
      <c r="BG57" s="502"/>
      <c r="BH57" s="502"/>
      <c r="BI57" s="502"/>
      <c r="BJ57" s="502"/>
      <c r="BK57" s="502"/>
      <c r="BL57" s="502"/>
      <c r="BM57" s="502"/>
      <c r="BN57" s="502"/>
      <c r="BO57" s="502"/>
      <c r="BP57" s="502"/>
      <c r="BQ57" s="502"/>
      <c r="BR57" s="502"/>
      <c r="BS57" s="502"/>
      <c r="BT57" s="502"/>
      <c r="BU57" s="502"/>
      <c r="BV57" s="502"/>
      <c r="BW57" s="502"/>
      <c r="BX57" s="502"/>
      <c r="BY57" s="502"/>
      <c r="BZ57" s="502"/>
      <c r="CA57" s="502"/>
      <c r="CB57" s="502"/>
      <c r="CC57" s="502"/>
      <c r="CD57" s="502"/>
      <c r="CE57" s="502"/>
      <c r="CF57" s="502"/>
      <c r="CG57" s="502"/>
      <c r="CH57" s="502"/>
      <c r="CI57" s="502"/>
      <c r="CJ57" s="502"/>
      <c r="CK57" s="502"/>
      <c r="CL57" s="502"/>
      <c r="CM57" s="502"/>
      <c r="CN57" s="502"/>
      <c r="CO57" s="502"/>
      <c r="CP57" s="502"/>
      <c r="CQ57" s="502"/>
      <c r="CR57" s="502"/>
      <c r="CS57" s="502"/>
      <c r="CT57" s="502"/>
      <c r="CU57" s="502"/>
      <c r="CV57" s="502"/>
      <c r="CW57" s="502"/>
      <c r="CX57" s="502"/>
      <c r="CY57" s="502"/>
      <c r="CZ57" s="502"/>
      <c r="DA57" s="502"/>
      <c r="DB57" s="502"/>
      <c r="DC57" s="502"/>
    </row>
    <row r="58" spans="1:107" s="305" customFormat="1" ht="12" x14ac:dyDescent="0.2">
      <c r="A58" s="792"/>
      <c r="B58" s="819" t="s">
        <v>369</v>
      </c>
      <c r="C58" s="395"/>
      <c r="D58" s="395"/>
      <c r="E58" s="395"/>
      <c r="F58" s="395"/>
      <c r="G58" s="395"/>
      <c r="H58" s="784"/>
      <c r="I58" s="792"/>
      <c r="J58" s="792"/>
      <c r="K58" s="792"/>
      <c r="L58" s="792"/>
      <c r="M58" s="792"/>
      <c r="N58" s="792"/>
      <c r="O58" s="792"/>
      <c r="P58" s="792"/>
      <c r="Q58" s="792"/>
      <c r="R58" s="792"/>
      <c r="S58" s="792"/>
      <c r="T58" s="792"/>
      <c r="U58" s="792"/>
      <c r="V58" s="792"/>
      <c r="W58" s="792"/>
      <c r="X58" s="792"/>
      <c r="Y58" s="792"/>
      <c r="Z58" s="792"/>
      <c r="AA58" s="792"/>
      <c r="AB58" s="792"/>
      <c r="AC58" s="792"/>
      <c r="AD58" s="792"/>
      <c r="AE58" s="792"/>
      <c r="AF58" s="792"/>
      <c r="AG58" s="792"/>
      <c r="AH58" s="792"/>
      <c r="AI58" s="792"/>
      <c r="AJ58" s="792"/>
      <c r="AK58" s="792"/>
      <c r="AL58" s="792"/>
      <c r="AM58" s="792"/>
      <c r="AN58" s="792"/>
      <c r="AO58" s="792"/>
      <c r="AP58" s="792"/>
      <c r="AQ58" s="792"/>
      <c r="AR58" s="792"/>
      <c r="AS58" s="792"/>
      <c r="AT58" s="792"/>
      <c r="AU58" s="792"/>
      <c r="AV58" s="792"/>
      <c r="AW58" s="792"/>
      <c r="AX58" s="792"/>
      <c r="AY58" s="792"/>
      <c r="AZ58" s="792"/>
      <c r="BA58" s="792"/>
      <c r="BB58" s="792"/>
      <c r="BC58" s="792"/>
      <c r="BD58" s="792"/>
      <c r="BE58" s="792"/>
      <c r="BF58" s="792"/>
      <c r="BG58" s="792"/>
      <c r="BH58" s="792"/>
      <c r="BI58" s="792"/>
      <c r="BJ58" s="792"/>
      <c r="BK58" s="792"/>
      <c r="BL58" s="792"/>
      <c r="BM58" s="792"/>
      <c r="BN58" s="792"/>
      <c r="BO58" s="792"/>
      <c r="BP58" s="792"/>
      <c r="BQ58" s="792"/>
      <c r="BR58" s="792"/>
      <c r="BS58" s="792"/>
      <c r="BT58" s="792"/>
      <c r="BU58" s="792"/>
      <c r="BV58" s="792"/>
      <c r="BW58" s="792"/>
      <c r="BX58" s="792"/>
      <c r="BY58" s="792"/>
      <c r="BZ58" s="792"/>
      <c r="CA58" s="792"/>
      <c r="CB58" s="792"/>
      <c r="CC58" s="792"/>
      <c r="CD58" s="792"/>
      <c r="CE58" s="792"/>
      <c r="CF58" s="792"/>
      <c r="CG58" s="792"/>
      <c r="CH58" s="792"/>
      <c r="CI58" s="792"/>
      <c r="CJ58" s="792"/>
      <c r="CK58" s="792"/>
      <c r="CL58" s="792"/>
      <c r="CM58" s="792"/>
      <c r="CN58" s="792"/>
      <c r="CO58" s="792"/>
      <c r="CP58" s="792"/>
      <c r="CQ58" s="792"/>
      <c r="CR58" s="792"/>
      <c r="CS58" s="792"/>
      <c r="CT58" s="792"/>
      <c r="CU58" s="792"/>
      <c r="CV58" s="792"/>
      <c r="CW58" s="792"/>
      <c r="CX58" s="792"/>
      <c r="CY58" s="792"/>
      <c r="CZ58" s="792"/>
      <c r="DA58" s="792"/>
      <c r="DB58" s="792"/>
      <c r="DC58" s="792"/>
    </row>
    <row r="59" spans="1:107" s="305" customFormat="1" ht="24.75" customHeight="1" x14ac:dyDescent="0.2">
      <c r="A59" s="792"/>
      <c r="B59" s="1141" t="str">
        <f>+'Field Techniques'!$B$1</f>
        <v>Fatt. Pigs (slurry). Application to field. Slurry acidification during application to field (SyreN). (Ref: Denmark, 2012)</v>
      </c>
      <c r="C59" s="1142"/>
      <c r="D59" s="1142"/>
      <c r="E59" s="1142"/>
      <c r="F59" s="1142"/>
      <c r="G59" s="1142"/>
      <c r="H59" s="1143"/>
      <c r="I59" s="792"/>
      <c r="J59" s="792"/>
      <c r="K59" s="792"/>
      <c r="L59" s="792"/>
      <c r="M59" s="792"/>
      <c r="N59" s="792"/>
      <c r="O59" s="792"/>
      <c r="P59" s="792"/>
      <c r="Q59" s="792"/>
      <c r="R59" s="792"/>
      <c r="S59" s="792"/>
      <c r="T59" s="792"/>
      <c r="U59" s="792"/>
      <c r="V59" s="792"/>
      <c r="W59" s="792"/>
      <c r="X59" s="792"/>
      <c r="Y59" s="792"/>
      <c r="Z59" s="792"/>
      <c r="AA59" s="792"/>
      <c r="AB59" s="792"/>
      <c r="AC59" s="792"/>
      <c r="AD59" s="792"/>
      <c r="AE59" s="792"/>
      <c r="AF59" s="792"/>
      <c r="AG59" s="792"/>
      <c r="AH59" s="792"/>
      <c r="AI59" s="792"/>
      <c r="AJ59" s="792"/>
      <c r="AK59" s="792"/>
      <c r="AL59" s="792"/>
      <c r="AM59" s="792"/>
      <c r="AN59" s="792"/>
      <c r="AO59" s="792"/>
      <c r="AP59" s="792"/>
      <c r="AQ59" s="792"/>
      <c r="AR59" s="792"/>
      <c r="AS59" s="792"/>
      <c r="AT59" s="792"/>
      <c r="AU59" s="792"/>
      <c r="AV59" s="792"/>
      <c r="AW59" s="792"/>
      <c r="AX59" s="792"/>
      <c r="AY59" s="792"/>
      <c r="AZ59" s="792"/>
      <c r="BA59" s="792"/>
      <c r="BB59" s="792"/>
      <c r="BC59" s="792"/>
      <c r="BD59" s="792"/>
      <c r="BE59" s="792"/>
      <c r="BF59" s="792"/>
      <c r="BG59" s="792"/>
      <c r="BH59" s="792"/>
      <c r="BI59" s="792"/>
      <c r="BJ59" s="792"/>
      <c r="BK59" s="792"/>
      <c r="BL59" s="792"/>
      <c r="BM59" s="792"/>
      <c r="BN59" s="792"/>
      <c r="BO59" s="792"/>
      <c r="BP59" s="792"/>
      <c r="BQ59" s="792"/>
      <c r="BR59" s="792"/>
      <c r="BS59" s="792"/>
      <c r="BT59" s="792"/>
      <c r="BU59" s="792"/>
      <c r="BV59" s="792"/>
      <c r="BW59" s="792"/>
      <c r="BX59" s="792"/>
      <c r="BY59" s="792"/>
      <c r="BZ59" s="792"/>
      <c r="CA59" s="792"/>
      <c r="CB59" s="792"/>
      <c r="CC59" s="792"/>
      <c r="CD59" s="792"/>
      <c r="CE59" s="792"/>
      <c r="CF59" s="792"/>
      <c r="CG59" s="792"/>
      <c r="CH59" s="792"/>
      <c r="CI59" s="792"/>
      <c r="CJ59" s="792"/>
      <c r="CK59" s="792"/>
      <c r="CL59" s="792"/>
      <c r="CM59" s="792"/>
      <c r="CN59" s="792"/>
      <c r="CO59" s="792"/>
      <c r="CP59" s="792"/>
      <c r="CQ59" s="792"/>
      <c r="CR59" s="792"/>
      <c r="CS59" s="792"/>
      <c r="CT59" s="792"/>
      <c r="CU59" s="792"/>
      <c r="CV59" s="792"/>
      <c r="CW59" s="792"/>
      <c r="CX59" s="792"/>
      <c r="CY59" s="792"/>
      <c r="CZ59" s="792"/>
      <c r="DA59" s="792"/>
      <c r="DB59" s="792"/>
      <c r="DC59" s="792"/>
    </row>
    <row r="60" spans="1:107" s="305" customFormat="1" ht="12" x14ac:dyDescent="0.2">
      <c r="A60" s="792"/>
      <c r="B60" s="821" t="s">
        <v>1054</v>
      </c>
      <c r="C60" s="786"/>
      <c r="D60" s="786"/>
      <c r="E60" s="786"/>
      <c r="F60" s="786"/>
      <c r="G60" s="786"/>
      <c r="H60" s="820"/>
      <c r="I60" s="792"/>
      <c r="J60" s="792"/>
      <c r="K60" s="792"/>
      <c r="L60" s="792"/>
      <c r="M60" s="792"/>
      <c r="N60" s="792"/>
      <c r="O60" s="792"/>
      <c r="P60" s="792"/>
      <c r="Q60" s="792"/>
      <c r="R60" s="792"/>
      <c r="S60" s="792"/>
      <c r="T60" s="792"/>
      <c r="U60" s="792"/>
      <c r="V60" s="792"/>
      <c r="W60" s="792"/>
      <c r="X60" s="792"/>
      <c r="Y60" s="792"/>
      <c r="Z60" s="792"/>
      <c r="AA60" s="792"/>
      <c r="AB60" s="792"/>
      <c r="AC60" s="792"/>
      <c r="AD60" s="792"/>
      <c r="AE60" s="792"/>
      <c r="AF60" s="792"/>
      <c r="AG60" s="792"/>
      <c r="AH60" s="792"/>
      <c r="AI60" s="792"/>
      <c r="AJ60" s="792"/>
      <c r="AK60" s="792"/>
      <c r="AL60" s="792"/>
      <c r="AM60" s="792"/>
      <c r="AN60" s="792"/>
      <c r="AO60" s="792"/>
      <c r="AP60" s="792"/>
      <c r="AQ60" s="792"/>
      <c r="AR60" s="792"/>
      <c r="AS60" s="792"/>
      <c r="AT60" s="792"/>
      <c r="AU60" s="792"/>
      <c r="AV60" s="792"/>
      <c r="AW60" s="792"/>
      <c r="AX60" s="792"/>
      <c r="AY60" s="792"/>
      <c r="AZ60" s="792"/>
      <c r="BA60" s="792"/>
      <c r="BB60" s="792"/>
      <c r="BC60" s="792"/>
      <c r="BD60" s="792"/>
      <c r="BE60" s="792"/>
      <c r="BF60" s="792"/>
      <c r="BG60" s="792"/>
      <c r="BH60" s="792"/>
      <c r="BI60" s="792"/>
      <c r="BJ60" s="792"/>
      <c r="BK60" s="792"/>
      <c r="BL60" s="792"/>
      <c r="BM60" s="792"/>
      <c r="BN60" s="792"/>
      <c r="BO60" s="792"/>
      <c r="BP60" s="792"/>
      <c r="BQ60" s="792"/>
      <c r="BR60" s="792"/>
      <c r="BS60" s="792"/>
      <c r="BT60" s="792"/>
      <c r="BU60" s="792"/>
      <c r="BV60" s="792"/>
      <c r="BW60" s="792"/>
      <c r="BX60" s="792"/>
      <c r="BY60" s="792"/>
      <c r="BZ60" s="792"/>
      <c r="CA60" s="792"/>
      <c r="CB60" s="792"/>
      <c r="CC60" s="792"/>
      <c r="CD60" s="792"/>
      <c r="CE60" s="792"/>
      <c r="CF60" s="792"/>
      <c r="CG60" s="792"/>
      <c r="CH60" s="792"/>
      <c r="CI60" s="792"/>
      <c r="CJ60" s="792"/>
      <c r="CK60" s="792"/>
      <c r="CL60" s="792"/>
      <c r="CM60" s="792"/>
      <c r="CN60" s="792"/>
      <c r="CO60" s="792"/>
      <c r="CP60" s="792"/>
      <c r="CQ60" s="792"/>
      <c r="CR60" s="792"/>
      <c r="CS60" s="792"/>
      <c r="CT60" s="792"/>
      <c r="CU60" s="792"/>
      <c r="CV60" s="792"/>
      <c r="CW60" s="792"/>
      <c r="CX60" s="792"/>
      <c r="CY60" s="792"/>
      <c r="CZ60" s="792"/>
      <c r="DA60" s="792"/>
      <c r="DB60" s="792"/>
      <c r="DC60" s="792"/>
    </row>
    <row r="61" spans="1:107" s="305" customFormat="1" ht="75" customHeight="1" thickBot="1" x14ac:dyDescent="0.25">
      <c r="A61" s="792"/>
      <c r="B61" s="1148" t="str">
        <f>+'Field Techniques'!$B$3&amp;"                                                                                                                                                                                                                         Remark: "&amp;'Field Techniques'!$B$4</f>
        <v>For slurry from fattening pigs and sows. During land application the slurry is continuously acidified by mixing the slurry with concentrated sulphuric acid. By mixing slurry with acid during the field spreading operation, the pH is lowered whereby the equilibrium between ammonia (NH3, gaseous form) and ammonium (NH4 - aquatic suspension) is changed towards ammonium. Ammonia evaporation is limited at pH under 6.5. Sulphuric acid is stored in an approved container mounted in front of the tractor that pulls the liquid manure spreader / slurry tanker. The sulphuric acid is pumped through pipes from the acid container  to the outlet of the manure spreader where the liquid manure is mixed with the acid.
                                                                                                                                                                                                                         Remark: It is anticipated similar ammonia reduction effect can be obtained for other types of liquid manure and for spreading on growing crops, and that higher effects could be obtained in case of broad spreading, and under weather conditions with high temperatures and high wind speeds.</v>
      </c>
      <c r="C61" s="1149"/>
      <c r="D61" s="1149"/>
      <c r="E61" s="1149"/>
      <c r="F61" s="1149"/>
      <c r="G61" s="1149"/>
      <c r="H61" s="1150"/>
      <c r="I61" s="792"/>
      <c r="J61" s="792"/>
      <c r="K61" s="792"/>
      <c r="L61" s="792"/>
      <c r="M61" s="792"/>
      <c r="N61" s="792"/>
      <c r="O61" s="792"/>
      <c r="P61" s="792"/>
      <c r="Q61" s="792"/>
      <c r="R61" s="792"/>
      <c r="S61" s="792"/>
      <c r="T61" s="792"/>
      <c r="U61" s="792"/>
      <c r="V61" s="792"/>
      <c r="W61" s="792"/>
      <c r="X61" s="792"/>
      <c r="Y61" s="792"/>
      <c r="Z61" s="792"/>
      <c r="AA61" s="792"/>
      <c r="AB61" s="792"/>
      <c r="AC61" s="792"/>
      <c r="AD61" s="792"/>
      <c r="AE61" s="792"/>
      <c r="AF61" s="792"/>
      <c r="AG61" s="792"/>
      <c r="AH61" s="792"/>
      <c r="AI61" s="792"/>
      <c r="AJ61" s="792"/>
      <c r="AK61" s="792"/>
      <c r="AL61" s="792"/>
      <c r="AM61" s="792"/>
      <c r="AN61" s="792"/>
      <c r="AO61" s="792"/>
      <c r="AP61" s="792"/>
      <c r="AQ61" s="792"/>
      <c r="AR61" s="792"/>
      <c r="AS61" s="792"/>
      <c r="AT61" s="792"/>
      <c r="AU61" s="792"/>
      <c r="AV61" s="792"/>
      <c r="AW61" s="792"/>
      <c r="AX61" s="792"/>
      <c r="AY61" s="792"/>
      <c r="AZ61" s="792"/>
      <c r="BA61" s="792"/>
      <c r="BB61" s="792"/>
      <c r="BC61" s="792"/>
      <c r="BD61" s="792"/>
      <c r="BE61" s="792"/>
      <c r="BF61" s="792"/>
      <c r="BG61" s="792"/>
      <c r="BH61" s="792"/>
      <c r="BI61" s="792"/>
      <c r="BJ61" s="792"/>
      <c r="BK61" s="792"/>
      <c r="BL61" s="792"/>
      <c r="BM61" s="792"/>
      <c r="BN61" s="792"/>
      <c r="BO61" s="792"/>
      <c r="BP61" s="792"/>
      <c r="BQ61" s="792"/>
      <c r="BR61" s="792"/>
      <c r="BS61" s="792"/>
      <c r="BT61" s="792"/>
      <c r="BU61" s="792"/>
      <c r="BV61" s="792"/>
      <c r="BW61" s="792"/>
      <c r="BX61" s="792"/>
      <c r="BY61" s="792"/>
      <c r="BZ61" s="792"/>
      <c r="CA61" s="792"/>
      <c r="CB61" s="792"/>
      <c r="CC61" s="792"/>
      <c r="CD61" s="792"/>
      <c r="CE61" s="792"/>
      <c r="CF61" s="792"/>
      <c r="CG61" s="792"/>
      <c r="CH61" s="792"/>
      <c r="CI61" s="792"/>
      <c r="CJ61" s="792"/>
      <c r="CK61" s="792"/>
      <c r="CL61" s="792"/>
      <c r="CM61" s="792"/>
      <c r="CN61" s="792"/>
      <c r="CO61" s="792"/>
      <c r="CP61" s="792"/>
      <c r="CQ61" s="792"/>
      <c r="CR61" s="792"/>
      <c r="CS61" s="792"/>
      <c r="CT61" s="792"/>
      <c r="CU61" s="792"/>
      <c r="CV61" s="792"/>
      <c r="CW61" s="792"/>
      <c r="CX61" s="792"/>
      <c r="CY61" s="792"/>
      <c r="CZ61" s="792"/>
      <c r="DA61" s="792"/>
      <c r="DB61" s="792"/>
      <c r="DC61" s="792"/>
    </row>
    <row r="62" spans="1:107" s="339" customFormat="1" x14ac:dyDescent="0.25">
      <c r="A62" s="502"/>
      <c r="B62" s="502"/>
      <c r="C62" s="502"/>
      <c r="D62" s="502"/>
      <c r="E62" s="502"/>
      <c r="F62" s="502"/>
      <c r="G62" s="502"/>
      <c r="H62" s="502"/>
      <c r="I62" s="502"/>
      <c r="J62" s="502"/>
      <c r="K62" s="502"/>
      <c r="L62" s="502"/>
      <c r="M62" s="502"/>
      <c r="N62" s="502"/>
      <c r="O62" s="502"/>
      <c r="P62" s="502"/>
      <c r="Q62" s="502"/>
      <c r="R62" s="502"/>
      <c r="S62" s="502"/>
      <c r="T62" s="502"/>
      <c r="U62" s="502"/>
      <c r="V62" s="502"/>
      <c r="W62" s="502"/>
      <c r="X62" s="502"/>
      <c r="Y62" s="502"/>
      <c r="Z62" s="502"/>
      <c r="AA62" s="502"/>
      <c r="AB62" s="502"/>
      <c r="AC62" s="502"/>
      <c r="AD62" s="502"/>
      <c r="AE62" s="502"/>
      <c r="AF62" s="502"/>
      <c r="AG62" s="502"/>
      <c r="AH62" s="502"/>
      <c r="AI62" s="502"/>
      <c r="AJ62" s="502"/>
      <c r="AK62" s="502"/>
      <c r="AL62" s="502"/>
      <c r="AM62" s="502"/>
      <c r="AN62" s="502"/>
      <c r="AO62" s="502"/>
      <c r="AP62" s="502"/>
      <c r="AQ62" s="502"/>
      <c r="AR62" s="502"/>
      <c r="AS62" s="502"/>
      <c r="AT62" s="502"/>
      <c r="AU62" s="502"/>
      <c r="AV62" s="502"/>
      <c r="AW62" s="502"/>
      <c r="AX62" s="502"/>
      <c r="AY62" s="502"/>
      <c r="AZ62" s="502"/>
      <c r="BA62" s="502"/>
      <c r="BB62" s="502"/>
      <c r="BC62" s="502"/>
      <c r="BD62" s="502"/>
      <c r="BE62" s="502"/>
      <c r="BF62" s="502"/>
      <c r="BG62" s="502"/>
      <c r="BH62" s="502"/>
      <c r="BI62" s="502"/>
      <c r="BJ62" s="502"/>
      <c r="BK62" s="502"/>
      <c r="BL62" s="502"/>
      <c r="BM62" s="502"/>
      <c r="BN62" s="502"/>
      <c r="BO62" s="502"/>
      <c r="BP62" s="502"/>
      <c r="BQ62" s="502"/>
      <c r="BR62" s="502"/>
      <c r="BS62" s="502"/>
      <c r="BT62" s="502"/>
      <c r="BU62" s="502"/>
      <c r="BV62" s="502"/>
      <c r="BW62" s="502"/>
      <c r="BX62" s="502"/>
      <c r="BY62" s="502"/>
      <c r="BZ62" s="502"/>
      <c r="CA62" s="502"/>
      <c r="CB62" s="502"/>
      <c r="CC62" s="502"/>
      <c r="CD62" s="502"/>
      <c r="CE62" s="502"/>
      <c r="CF62" s="502"/>
      <c r="CG62" s="502"/>
      <c r="CH62" s="502"/>
      <c r="CI62" s="502"/>
      <c r="CJ62" s="502"/>
      <c r="CK62" s="502"/>
      <c r="CL62" s="502"/>
      <c r="CM62" s="502"/>
      <c r="CN62" s="502"/>
      <c r="CO62" s="502"/>
      <c r="CP62" s="502"/>
      <c r="CQ62" s="502"/>
      <c r="CR62" s="502"/>
      <c r="CS62" s="502"/>
      <c r="CT62" s="502"/>
      <c r="CU62" s="502"/>
      <c r="CV62" s="502"/>
      <c r="CW62" s="502"/>
      <c r="CX62" s="502"/>
      <c r="CY62" s="502"/>
      <c r="CZ62" s="502"/>
      <c r="DA62" s="502"/>
      <c r="DB62" s="502"/>
      <c r="DC62" s="502"/>
    </row>
    <row r="63" spans="1:107" ht="17.25" thickBot="1" x14ac:dyDescent="0.3">
      <c r="B63" s="818" t="s">
        <v>1050</v>
      </c>
      <c r="C63" s="798"/>
      <c r="D63" s="798"/>
      <c r="E63" s="798"/>
      <c r="F63" s="798"/>
      <c r="G63" s="798"/>
      <c r="H63" s="798"/>
    </row>
    <row r="64" spans="1:107" s="339" customFormat="1" x14ac:dyDescent="0.25">
      <c r="A64" s="502"/>
      <c r="B64" s="440" t="s">
        <v>426</v>
      </c>
      <c r="C64" s="352"/>
      <c r="D64" s="352"/>
      <c r="E64" s="352"/>
      <c r="F64" s="352"/>
      <c r="G64" s="352"/>
      <c r="H64" s="353"/>
      <c r="I64" s="502"/>
      <c r="J64" s="502"/>
      <c r="K64" s="502"/>
      <c r="L64" s="502"/>
      <c r="M64" s="502"/>
      <c r="N64" s="502"/>
      <c r="O64" s="502"/>
      <c r="P64" s="502"/>
      <c r="Q64" s="502"/>
      <c r="R64" s="502"/>
      <c r="S64" s="502"/>
      <c r="T64" s="502"/>
      <c r="U64" s="502"/>
      <c r="V64" s="502"/>
      <c r="W64" s="502"/>
      <c r="X64" s="502"/>
      <c r="Y64" s="502"/>
      <c r="Z64" s="502"/>
      <c r="AA64" s="502"/>
      <c r="AB64" s="502"/>
      <c r="AC64" s="502"/>
      <c r="AD64" s="502"/>
      <c r="AE64" s="502"/>
      <c r="AF64" s="502"/>
      <c r="AG64" s="502"/>
      <c r="AH64" s="502"/>
      <c r="AI64" s="502"/>
      <c r="AJ64" s="502"/>
      <c r="AK64" s="502"/>
      <c r="AL64" s="502"/>
      <c r="AM64" s="502"/>
      <c r="AN64" s="502"/>
      <c r="AO64" s="502"/>
      <c r="AP64" s="502"/>
      <c r="AQ64" s="502"/>
      <c r="AR64" s="502"/>
      <c r="AS64" s="502"/>
      <c r="AT64" s="502"/>
      <c r="AU64" s="502"/>
      <c r="AV64" s="502"/>
      <c r="AW64" s="502"/>
      <c r="AX64" s="502"/>
      <c r="AY64" s="502"/>
      <c r="AZ64" s="502"/>
      <c r="BA64" s="502"/>
      <c r="BB64" s="502"/>
      <c r="BC64" s="502"/>
      <c r="BD64" s="502"/>
      <c r="BE64" s="502"/>
      <c r="BF64" s="502"/>
      <c r="BG64" s="502"/>
      <c r="BH64" s="502"/>
      <c r="BI64" s="502"/>
      <c r="BJ64" s="502"/>
      <c r="BK64" s="502"/>
      <c r="BL64" s="502"/>
      <c r="BM64" s="502"/>
      <c r="BN64" s="502"/>
      <c r="BO64" s="502"/>
      <c r="BP64" s="502"/>
      <c r="BQ64" s="502"/>
      <c r="BR64" s="502"/>
      <c r="BS64" s="502"/>
      <c r="BT64" s="502"/>
      <c r="BU64" s="502"/>
      <c r="BV64" s="502"/>
      <c r="BW64" s="502"/>
      <c r="BX64" s="502"/>
      <c r="BY64" s="502"/>
      <c r="BZ64" s="502"/>
      <c r="CA64" s="502"/>
      <c r="CB64" s="502"/>
      <c r="CC64" s="502"/>
      <c r="CD64" s="502"/>
      <c r="CE64" s="502"/>
      <c r="CF64" s="502"/>
      <c r="CG64" s="502"/>
      <c r="CH64" s="502"/>
      <c r="CI64" s="502"/>
      <c r="CJ64" s="502"/>
      <c r="CK64" s="502"/>
      <c r="CL64" s="502"/>
      <c r="CM64" s="502"/>
      <c r="CN64" s="502"/>
      <c r="CO64" s="502"/>
      <c r="CP64" s="502"/>
      <c r="CQ64" s="502"/>
      <c r="CR64" s="502"/>
      <c r="CS64" s="502"/>
      <c r="CT64" s="502"/>
      <c r="CU64" s="502"/>
      <c r="CV64" s="502"/>
      <c r="CW64" s="502"/>
      <c r="CX64" s="502"/>
      <c r="CY64" s="502"/>
      <c r="CZ64" s="502"/>
      <c r="DA64" s="502"/>
      <c r="DB64" s="502"/>
      <c r="DC64" s="502"/>
    </row>
    <row r="65" spans="1:107" s="339" customFormat="1" ht="27.75" customHeight="1" x14ac:dyDescent="0.25">
      <c r="A65" s="502"/>
      <c r="B65" s="399"/>
      <c r="C65" s="1153" t="s">
        <v>24</v>
      </c>
      <c r="D65" s="1153"/>
      <c r="E65" s="1154" t="s">
        <v>1052</v>
      </c>
      <c r="F65" s="1154"/>
      <c r="G65" s="1154" t="s">
        <v>1051</v>
      </c>
      <c r="H65" s="1155"/>
      <c r="I65" s="502"/>
      <c r="J65" s="502"/>
      <c r="K65" s="502"/>
      <c r="L65" s="502"/>
      <c r="M65" s="502"/>
      <c r="N65" s="502"/>
      <c r="O65" s="502"/>
      <c r="P65" s="502"/>
      <c r="Q65" s="502"/>
      <c r="R65" s="502"/>
      <c r="S65" s="502"/>
      <c r="T65" s="502"/>
      <c r="U65" s="502"/>
      <c r="V65" s="502"/>
      <c r="W65" s="502"/>
      <c r="X65" s="502"/>
      <c r="Y65" s="502"/>
      <c r="Z65" s="502"/>
      <c r="AA65" s="502"/>
      <c r="AB65" s="502"/>
      <c r="AC65" s="502"/>
      <c r="AD65" s="502"/>
      <c r="AE65" s="502"/>
      <c r="AF65" s="502"/>
      <c r="AG65" s="502"/>
      <c r="AH65" s="502"/>
      <c r="AI65" s="502"/>
      <c r="AJ65" s="502"/>
      <c r="AK65" s="502"/>
      <c r="AL65" s="502"/>
      <c r="AM65" s="502"/>
      <c r="AN65" s="502"/>
      <c r="AO65" s="502"/>
      <c r="AP65" s="502"/>
      <c r="AQ65" s="502"/>
      <c r="AR65" s="502"/>
      <c r="AS65" s="502"/>
      <c r="AT65" s="502"/>
      <c r="AU65" s="502"/>
      <c r="AV65" s="502"/>
      <c r="AW65" s="502"/>
      <c r="AX65" s="502"/>
      <c r="AY65" s="502"/>
      <c r="AZ65" s="502"/>
      <c r="BA65" s="502"/>
      <c r="BB65" s="502"/>
      <c r="BC65" s="502"/>
      <c r="BD65" s="502"/>
      <c r="BE65" s="502"/>
      <c r="BF65" s="502"/>
      <c r="BG65" s="502"/>
      <c r="BH65" s="502"/>
      <c r="BI65" s="502"/>
      <c r="BJ65" s="502"/>
      <c r="BK65" s="502"/>
      <c r="BL65" s="502"/>
      <c r="BM65" s="502"/>
      <c r="BN65" s="502"/>
      <c r="BO65" s="502"/>
      <c r="BP65" s="502"/>
      <c r="BQ65" s="502"/>
      <c r="BR65" s="502"/>
      <c r="BS65" s="502"/>
      <c r="BT65" s="502"/>
      <c r="BU65" s="502"/>
      <c r="BV65" s="502"/>
      <c r="BW65" s="502"/>
      <c r="BX65" s="502"/>
      <c r="BY65" s="502"/>
      <c r="BZ65" s="502"/>
      <c r="CA65" s="502"/>
      <c r="CB65" s="502"/>
      <c r="CC65" s="502"/>
      <c r="CD65" s="502"/>
      <c r="CE65" s="502"/>
      <c r="CF65" s="502"/>
      <c r="CG65" s="502"/>
      <c r="CH65" s="502"/>
      <c r="CI65" s="502"/>
      <c r="CJ65" s="502"/>
      <c r="CK65" s="502"/>
      <c r="CL65" s="502"/>
      <c r="CM65" s="502"/>
      <c r="CN65" s="502"/>
      <c r="CO65" s="502"/>
      <c r="CP65" s="502"/>
      <c r="CQ65" s="502"/>
      <c r="CR65" s="502"/>
      <c r="CS65" s="502"/>
      <c r="CT65" s="502"/>
      <c r="CU65" s="502"/>
      <c r="CV65" s="502"/>
      <c r="CW65" s="502"/>
      <c r="CX65" s="502"/>
      <c r="CY65" s="502"/>
      <c r="CZ65" s="502"/>
      <c r="DA65" s="502"/>
      <c r="DB65" s="502"/>
      <c r="DC65" s="502"/>
    </row>
    <row r="66" spans="1:107" s="339" customFormat="1" x14ac:dyDescent="0.25">
      <c r="A66" s="502"/>
      <c r="B66" s="827" t="s">
        <v>416</v>
      </c>
      <c r="C66" s="1157">
        <f>+'In-House Techniques'!B11</f>
        <v>-30</v>
      </c>
      <c r="D66" s="1157"/>
      <c r="E66" s="1157">
        <f>-'Calculations - Techn'!P39</f>
        <v>-50</v>
      </c>
      <c r="F66" s="1157"/>
      <c r="G66" s="1157">
        <f>-'Calculations - Techn'!W39</f>
        <v>-40</v>
      </c>
      <c r="H66" s="1158"/>
      <c r="I66" s="502"/>
      <c r="J66" s="502"/>
      <c r="K66" s="502"/>
      <c r="L66" s="502"/>
      <c r="M66" s="502"/>
      <c r="N66" s="502"/>
      <c r="O66" s="502"/>
      <c r="P66" s="502"/>
      <c r="Q66" s="502"/>
      <c r="R66" s="502"/>
      <c r="S66" s="502"/>
      <c r="T66" s="502"/>
      <c r="U66" s="502"/>
      <c r="V66" s="502"/>
      <c r="W66" s="502"/>
      <c r="X66" s="502"/>
      <c r="Y66" s="502"/>
      <c r="Z66" s="502"/>
      <c r="AA66" s="502"/>
      <c r="AB66" s="502"/>
      <c r="AC66" s="502"/>
      <c r="AD66" s="502"/>
      <c r="AE66" s="502"/>
      <c r="AF66" s="502"/>
      <c r="AG66" s="502"/>
      <c r="AH66" s="502"/>
      <c r="AI66" s="502"/>
      <c r="AJ66" s="502"/>
      <c r="AK66" s="502"/>
      <c r="AL66" s="502"/>
      <c r="AM66" s="502"/>
      <c r="AN66" s="502"/>
      <c r="AO66" s="502"/>
      <c r="AP66" s="502"/>
      <c r="AQ66" s="502"/>
      <c r="AR66" s="502"/>
      <c r="AS66" s="502"/>
      <c r="AT66" s="502"/>
      <c r="AU66" s="502"/>
      <c r="AV66" s="502"/>
      <c r="AW66" s="502"/>
      <c r="AX66" s="502"/>
      <c r="AY66" s="502"/>
      <c r="AZ66" s="502"/>
      <c r="BA66" s="502"/>
      <c r="BB66" s="502"/>
      <c r="BC66" s="502"/>
      <c r="BD66" s="502"/>
      <c r="BE66" s="502"/>
      <c r="BF66" s="502"/>
      <c r="BG66" s="502"/>
      <c r="BH66" s="502"/>
      <c r="BI66" s="502"/>
      <c r="BJ66" s="502"/>
      <c r="BK66" s="502"/>
      <c r="BL66" s="502"/>
      <c r="BM66" s="502"/>
      <c r="BN66" s="502"/>
      <c r="BO66" s="502"/>
      <c r="BP66" s="502"/>
      <c r="BQ66" s="502"/>
      <c r="BR66" s="502"/>
      <c r="BS66" s="502"/>
      <c r="BT66" s="502"/>
      <c r="BU66" s="502"/>
      <c r="BV66" s="502"/>
      <c r="BW66" s="502"/>
      <c r="BX66" s="502"/>
      <c r="BY66" s="502"/>
      <c r="BZ66" s="502"/>
      <c r="CA66" s="502"/>
      <c r="CB66" s="502"/>
      <c r="CC66" s="502"/>
      <c r="CD66" s="502"/>
      <c r="CE66" s="502"/>
      <c r="CF66" s="502"/>
      <c r="CG66" s="502"/>
      <c r="CH66" s="502"/>
      <c r="CI66" s="502"/>
      <c r="CJ66" s="502"/>
      <c r="CK66" s="502"/>
      <c r="CL66" s="502"/>
      <c r="CM66" s="502"/>
      <c r="CN66" s="502"/>
      <c r="CO66" s="502"/>
      <c r="CP66" s="502"/>
      <c r="CQ66" s="502"/>
      <c r="CR66" s="502"/>
      <c r="CS66" s="502"/>
      <c r="CT66" s="502"/>
      <c r="CU66" s="502"/>
      <c r="CV66" s="502"/>
      <c r="CW66" s="502"/>
      <c r="CX66" s="502"/>
      <c r="CY66" s="502"/>
      <c r="CZ66" s="502"/>
      <c r="DA66" s="502"/>
      <c r="DB66" s="502"/>
      <c r="DC66" s="502"/>
    </row>
    <row r="67" spans="1:107" s="339" customFormat="1" x14ac:dyDescent="0.25">
      <c r="A67" s="502"/>
      <c r="B67" s="827" t="s">
        <v>417</v>
      </c>
      <c r="C67" s="1157">
        <f>+'In-House Techniques'!B12</f>
        <v>0</v>
      </c>
      <c r="D67" s="1157"/>
      <c r="E67" s="1157">
        <f>-'Calculations - Techn'!P40</f>
        <v>0</v>
      </c>
      <c r="F67" s="1157"/>
      <c r="G67" s="1157">
        <v>0</v>
      </c>
      <c r="H67" s="1158"/>
      <c r="I67" s="502"/>
      <c r="J67" s="502"/>
      <c r="K67" s="502"/>
      <c r="L67" s="502"/>
      <c r="M67" s="502"/>
      <c r="N67" s="502"/>
      <c r="O67" s="502"/>
      <c r="P67" s="502"/>
      <c r="Q67" s="502"/>
      <c r="R67" s="502"/>
      <c r="S67" s="502"/>
      <c r="T67" s="502"/>
      <c r="U67" s="502"/>
      <c r="V67" s="502"/>
      <c r="W67" s="502"/>
      <c r="X67" s="502"/>
      <c r="Y67" s="502"/>
      <c r="Z67" s="502"/>
      <c r="AA67" s="502"/>
      <c r="AB67" s="502"/>
      <c r="AC67" s="502"/>
      <c r="AD67" s="502"/>
      <c r="AE67" s="502"/>
      <c r="AF67" s="502"/>
      <c r="AG67" s="502"/>
      <c r="AH67" s="502"/>
      <c r="AI67" s="502"/>
      <c r="AJ67" s="502"/>
      <c r="AK67" s="502"/>
      <c r="AL67" s="502"/>
      <c r="AM67" s="502"/>
      <c r="AN67" s="502"/>
      <c r="AO67" s="502"/>
      <c r="AP67" s="502"/>
      <c r="AQ67" s="502"/>
      <c r="AR67" s="502"/>
      <c r="AS67" s="502"/>
      <c r="AT67" s="502"/>
      <c r="AU67" s="502"/>
      <c r="AV67" s="502"/>
      <c r="AW67" s="502"/>
      <c r="AX67" s="502"/>
      <c r="AY67" s="502"/>
      <c r="AZ67" s="502"/>
      <c r="BA67" s="502"/>
      <c r="BB67" s="502"/>
      <c r="BC67" s="502"/>
      <c r="BD67" s="502"/>
      <c r="BE67" s="502"/>
      <c r="BF67" s="502"/>
      <c r="BG67" s="502"/>
      <c r="BH67" s="502"/>
      <c r="BI67" s="502"/>
      <c r="BJ67" s="502"/>
      <c r="BK67" s="502"/>
      <c r="BL67" s="502"/>
      <c r="BM67" s="502"/>
      <c r="BN67" s="502"/>
      <c r="BO67" s="502"/>
      <c r="BP67" s="502"/>
      <c r="BQ67" s="502"/>
      <c r="BR67" s="502"/>
      <c r="BS67" s="502"/>
      <c r="BT67" s="502"/>
      <c r="BU67" s="502"/>
      <c r="BV67" s="502"/>
      <c r="BW67" s="502"/>
      <c r="BX67" s="502"/>
      <c r="BY67" s="502"/>
      <c r="BZ67" s="502"/>
      <c r="CA67" s="502"/>
      <c r="CB67" s="502"/>
      <c r="CC67" s="502"/>
      <c r="CD67" s="502"/>
      <c r="CE67" s="502"/>
      <c r="CF67" s="502"/>
      <c r="CG67" s="502"/>
      <c r="CH67" s="502"/>
      <c r="CI67" s="502"/>
      <c r="CJ67" s="502"/>
      <c r="CK67" s="502"/>
      <c r="CL67" s="502"/>
      <c r="CM67" s="502"/>
      <c r="CN67" s="502"/>
      <c r="CO67" s="502"/>
      <c r="CP67" s="502"/>
      <c r="CQ67" s="502"/>
      <c r="CR67" s="502"/>
      <c r="CS67" s="502"/>
      <c r="CT67" s="502"/>
      <c r="CU67" s="502"/>
      <c r="CV67" s="502"/>
      <c r="CW67" s="502"/>
      <c r="CX67" s="502"/>
      <c r="CY67" s="502"/>
      <c r="CZ67" s="502"/>
      <c r="DA67" s="502"/>
      <c r="DB67" s="502"/>
      <c r="DC67" s="502"/>
    </row>
    <row r="68" spans="1:107" s="339" customFormat="1" x14ac:dyDescent="0.25">
      <c r="A68" s="502"/>
      <c r="B68" s="827" t="s">
        <v>418</v>
      </c>
      <c r="C68" s="1157">
        <f>+'In-House Techniques'!B13</f>
        <v>0</v>
      </c>
      <c r="D68" s="1157"/>
      <c r="E68" s="1157">
        <f>-'Calculations - Techn'!P43</f>
        <v>0</v>
      </c>
      <c r="F68" s="1157"/>
      <c r="G68" s="1157">
        <f>+'Calculations - Techn'!W43</f>
        <v>0</v>
      </c>
      <c r="H68" s="1158"/>
      <c r="I68" s="502"/>
      <c r="J68" s="502"/>
      <c r="K68" s="502"/>
      <c r="L68" s="502"/>
      <c r="M68" s="502"/>
      <c r="N68" s="502"/>
      <c r="O68" s="502"/>
      <c r="P68" s="502"/>
      <c r="Q68" s="502"/>
      <c r="R68" s="502"/>
      <c r="S68" s="502"/>
      <c r="T68" s="502"/>
      <c r="U68" s="502"/>
      <c r="V68" s="502"/>
      <c r="W68" s="502"/>
      <c r="X68" s="502"/>
      <c r="Y68" s="502"/>
      <c r="Z68" s="502"/>
      <c r="AA68" s="502"/>
      <c r="AB68" s="502"/>
      <c r="AC68" s="502"/>
      <c r="AD68" s="502"/>
      <c r="AE68" s="502"/>
      <c r="AF68" s="502"/>
      <c r="AG68" s="502"/>
      <c r="AH68" s="502"/>
      <c r="AI68" s="502"/>
      <c r="AJ68" s="502"/>
      <c r="AK68" s="502"/>
      <c r="AL68" s="502"/>
      <c r="AM68" s="502"/>
      <c r="AN68" s="502"/>
      <c r="AO68" s="502"/>
      <c r="AP68" s="502"/>
      <c r="AQ68" s="502"/>
      <c r="AR68" s="502"/>
      <c r="AS68" s="502"/>
      <c r="AT68" s="502"/>
      <c r="AU68" s="502"/>
      <c r="AV68" s="502"/>
      <c r="AW68" s="502"/>
      <c r="AX68" s="502"/>
      <c r="AY68" s="502"/>
      <c r="AZ68" s="502"/>
      <c r="BA68" s="502"/>
      <c r="BB68" s="502"/>
      <c r="BC68" s="502"/>
      <c r="BD68" s="502"/>
      <c r="BE68" s="502"/>
      <c r="BF68" s="502"/>
      <c r="BG68" s="502"/>
      <c r="BH68" s="502"/>
      <c r="BI68" s="502"/>
      <c r="BJ68" s="502"/>
      <c r="BK68" s="502"/>
      <c r="BL68" s="502"/>
      <c r="BM68" s="502"/>
      <c r="BN68" s="502"/>
      <c r="BO68" s="502"/>
      <c r="BP68" s="502"/>
      <c r="BQ68" s="502"/>
      <c r="BR68" s="502"/>
      <c r="BS68" s="502"/>
      <c r="BT68" s="502"/>
      <c r="BU68" s="502"/>
      <c r="BV68" s="502"/>
      <c r="BW68" s="502"/>
      <c r="BX68" s="502"/>
      <c r="BY68" s="502"/>
      <c r="BZ68" s="502"/>
      <c r="CA68" s="502"/>
      <c r="CB68" s="502"/>
      <c r="CC68" s="502"/>
      <c r="CD68" s="502"/>
      <c r="CE68" s="502"/>
      <c r="CF68" s="502"/>
      <c r="CG68" s="502"/>
      <c r="CH68" s="502"/>
      <c r="CI68" s="502"/>
      <c r="CJ68" s="502"/>
      <c r="CK68" s="502"/>
      <c r="CL68" s="502"/>
      <c r="CM68" s="502"/>
      <c r="CN68" s="502"/>
      <c r="CO68" s="502"/>
      <c r="CP68" s="502"/>
      <c r="CQ68" s="502"/>
      <c r="CR68" s="502"/>
      <c r="CS68" s="502"/>
      <c r="CT68" s="502"/>
      <c r="CU68" s="502"/>
      <c r="CV68" s="502"/>
      <c r="CW68" s="502"/>
      <c r="CX68" s="502"/>
      <c r="CY68" s="502"/>
      <c r="CZ68" s="502"/>
      <c r="DA68" s="502"/>
      <c r="DB68" s="502"/>
      <c r="DC68" s="502"/>
    </row>
    <row r="69" spans="1:107" s="339" customFormat="1" x14ac:dyDescent="0.25">
      <c r="A69" s="502"/>
      <c r="B69" s="822" t="s">
        <v>415</v>
      </c>
      <c r="C69" s="786"/>
      <c r="D69" s="786"/>
      <c r="E69" s="1162"/>
      <c r="F69" s="1162"/>
      <c r="G69" s="1162"/>
      <c r="H69" s="1163"/>
      <c r="I69" s="502"/>
      <c r="J69" s="502"/>
      <c r="K69" s="502"/>
      <c r="L69" s="502"/>
      <c r="M69" s="502"/>
      <c r="N69" s="502"/>
      <c r="O69" s="502"/>
      <c r="P69" s="502"/>
      <c r="Q69" s="502"/>
      <c r="R69" s="502"/>
      <c r="S69" s="502"/>
      <c r="T69" s="502"/>
      <c r="U69" s="502"/>
      <c r="V69" s="502"/>
      <c r="W69" s="502"/>
      <c r="X69" s="502"/>
      <c r="Y69" s="502"/>
      <c r="Z69" s="502"/>
      <c r="AA69" s="502"/>
      <c r="AB69" s="502"/>
      <c r="AC69" s="502"/>
      <c r="AD69" s="502"/>
      <c r="AE69" s="502"/>
      <c r="AF69" s="502"/>
      <c r="AG69" s="502"/>
      <c r="AH69" s="502"/>
      <c r="AI69" s="502"/>
      <c r="AJ69" s="502"/>
      <c r="AK69" s="502"/>
      <c r="AL69" s="502"/>
      <c r="AM69" s="502"/>
      <c r="AN69" s="502"/>
      <c r="AO69" s="502"/>
      <c r="AP69" s="502"/>
      <c r="AQ69" s="502"/>
      <c r="AR69" s="502"/>
      <c r="AS69" s="502"/>
      <c r="AT69" s="502"/>
      <c r="AU69" s="502"/>
      <c r="AV69" s="502"/>
      <c r="AW69" s="502"/>
      <c r="AX69" s="502"/>
      <c r="AY69" s="502"/>
      <c r="AZ69" s="502"/>
      <c r="BA69" s="502"/>
      <c r="BB69" s="502"/>
      <c r="BC69" s="502"/>
      <c r="BD69" s="502"/>
      <c r="BE69" s="502"/>
      <c r="BF69" s="502"/>
      <c r="BG69" s="502"/>
      <c r="BH69" s="502"/>
      <c r="BI69" s="502"/>
      <c r="BJ69" s="502"/>
      <c r="BK69" s="502"/>
      <c r="BL69" s="502"/>
      <c r="BM69" s="502"/>
      <c r="BN69" s="502"/>
      <c r="BO69" s="502"/>
      <c r="BP69" s="502"/>
      <c r="BQ69" s="502"/>
      <c r="BR69" s="502"/>
      <c r="BS69" s="502"/>
      <c r="BT69" s="502"/>
      <c r="BU69" s="502"/>
      <c r="BV69" s="502"/>
      <c r="BW69" s="502"/>
      <c r="BX69" s="502"/>
      <c r="BY69" s="502"/>
      <c r="BZ69" s="502"/>
      <c r="CA69" s="502"/>
      <c r="CB69" s="502"/>
      <c r="CC69" s="502"/>
      <c r="CD69" s="502"/>
      <c r="CE69" s="502"/>
      <c r="CF69" s="502"/>
      <c r="CG69" s="502"/>
      <c r="CH69" s="502"/>
      <c r="CI69" s="502"/>
      <c r="CJ69" s="502"/>
      <c r="CK69" s="502"/>
      <c r="CL69" s="502"/>
      <c r="CM69" s="502"/>
      <c r="CN69" s="502"/>
      <c r="CO69" s="502"/>
      <c r="CP69" s="502"/>
      <c r="CQ69" s="502"/>
      <c r="CR69" s="502"/>
      <c r="CS69" s="502"/>
      <c r="CT69" s="502"/>
      <c r="CU69" s="502"/>
      <c r="CV69" s="502"/>
      <c r="CW69" s="502"/>
      <c r="CX69" s="502"/>
      <c r="CY69" s="502"/>
      <c r="CZ69" s="502"/>
      <c r="DA69" s="502"/>
      <c r="DB69" s="502"/>
      <c r="DC69" s="502"/>
    </row>
    <row r="70" spans="1:107" s="339" customFormat="1" ht="95.25" customHeight="1" thickBot="1" x14ac:dyDescent="0.3">
      <c r="A70" s="502"/>
      <c r="B70" s="1105"/>
      <c r="C70" s="1151" t="str">
        <f>'In-House Techniques'!B25</f>
        <v>NH3 reduction of 10 % for every 10 W/m2 in cooling effect</v>
      </c>
      <c r="D70" s="1151"/>
      <c r="E70" s="1151" t="str">
        <f>+'Outdoor Storage Techniques'!B25</f>
        <v>Increase of N content due to lower losses; in areas with significant rainfall the DM content will be higher as the tent shelters rainfall from the slurry store</v>
      </c>
      <c r="F70" s="1151"/>
      <c r="G70" s="1151" t="str">
        <f>+'Field Techniques'!B25</f>
        <v>Acidification during spreading has an ammonia emission reduction efficiency of 49 % when applied on cattle slurry, and 40% for pig slurry, using  band laying system for spreading on forage grass as reference. The emission reduction efficiency is highly dependent on  the reference situation and weather conditions.</v>
      </c>
      <c r="H70" s="1152"/>
      <c r="I70" s="502"/>
      <c r="J70" s="502"/>
      <c r="K70" s="502"/>
      <c r="L70" s="502"/>
      <c r="M70" s="502"/>
      <c r="N70" s="502"/>
      <c r="O70" s="502"/>
      <c r="P70" s="502"/>
      <c r="Q70" s="502"/>
      <c r="R70" s="502"/>
      <c r="S70" s="502"/>
      <c r="T70" s="502"/>
      <c r="U70" s="502"/>
      <c r="V70" s="502"/>
      <c r="W70" s="502"/>
      <c r="X70" s="502"/>
      <c r="Y70" s="502"/>
      <c r="Z70" s="502"/>
      <c r="AA70" s="502"/>
      <c r="AB70" s="502"/>
      <c r="AC70" s="502"/>
      <c r="AD70" s="502"/>
      <c r="AE70" s="502"/>
      <c r="AF70" s="502"/>
      <c r="AG70" s="502"/>
      <c r="AH70" s="502"/>
      <c r="AI70" s="502"/>
      <c r="AJ70" s="502"/>
      <c r="AK70" s="502"/>
      <c r="AL70" s="502"/>
      <c r="AM70" s="502"/>
      <c r="AN70" s="502"/>
      <c r="AO70" s="502"/>
      <c r="AP70" s="502"/>
      <c r="AQ70" s="502"/>
      <c r="AR70" s="502"/>
      <c r="AS70" s="502"/>
      <c r="AT70" s="502"/>
      <c r="AU70" s="502"/>
      <c r="AV70" s="502"/>
      <c r="AW70" s="502"/>
      <c r="AX70" s="502"/>
      <c r="AY70" s="502"/>
      <c r="AZ70" s="502"/>
      <c r="BA70" s="502"/>
      <c r="BB70" s="502"/>
      <c r="BC70" s="502"/>
      <c r="BD70" s="502"/>
      <c r="BE70" s="502"/>
      <c r="BF70" s="502"/>
      <c r="BG70" s="502"/>
      <c r="BH70" s="502"/>
      <c r="BI70" s="502"/>
      <c r="BJ70" s="502"/>
      <c r="BK70" s="502"/>
      <c r="BL70" s="502"/>
      <c r="BM70" s="502"/>
      <c r="BN70" s="502"/>
      <c r="BO70" s="502"/>
      <c r="BP70" s="502"/>
      <c r="BQ70" s="502"/>
      <c r="BR70" s="502"/>
      <c r="BS70" s="502"/>
      <c r="BT70" s="502"/>
      <c r="BU70" s="502"/>
      <c r="BV70" s="502"/>
      <c r="BW70" s="502"/>
      <c r="BX70" s="502"/>
      <c r="BY70" s="502"/>
      <c r="BZ70" s="502"/>
      <c r="CA70" s="502"/>
      <c r="CB70" s="502"/>
      <c r="CC70" s="502"/>
      <c r="CD70" s="502"/>
      <c r="CE70" s="502"/>
      <c r="CF70" s="502"/>
      <c r="CG70" s="502"/>
      <c r="CH70" s="502"/>
      <c r="CI70" s="502"/>
      <c r="CJ70" s="502"/>
      <c r="CK70" s="502"/>
      <c r="CL70" s="502"/>
      <c r="CM70" s="502"/>
      <c r="CN70" s="502"/>
      <c r="CO70" s="502"/>
      <c r="CP70" s="502"/>
      <c r="CQ70" s="502"/>
      <c r="CR70" s="502"/>
      <c r="CS70" s="502"/>
      <c r="CT70" s="502"/>
      <c r="CU70" s="502"/>
      <c r="CV70" s="502"/>
      <c r="CW70" s="502"/>
      <c r="CX70" s="502"/>
      <c r="CY70" s="502"/>
      <c r="CZ70" s="502"/>
      <c r="DA70" s="502"/>
      <c r="DB70" s="502"/>
      <c r="DC70" s="502"/>
    </row>
    <row r="71" spans="1:107" s="339" customFormat="1" ht="16.5" x14ac:dyDescent="0.25">
      <c r="A71" s="502"/>
      <c r="B71" s="818"/>
      <c r="C71" s="798"/>
      <c r="D71" s="798"/>
      <c r="E71" s="798"/>
      <c r="F71" s="798"/>
      <c r="G71" s="798"/>
      <c r="H71" s="798"/>
      <c r="I71" s="502"/>
      <c r="J71" s="502"/>
      <c r="K71" s="502"/>
      <c r="L71" s="502"/>
      <c r="M71" s="502"/>
      <c r="N71" s="502"/>
      <c r="O71" s="502"/>
      <c r="P71" s="502"/>
      <c r="Q71" s="502"/>
      <c r="R71" s="502"/>
      <c r="S71" s="502"/>
      <c r="T71" s="502"/>
      <c r="U71" s="502"/>
      <c r="V71" s="502"/>
      <c r="W71" s="502"/>
      <c r="X71" s="502"/>
      <c r="Y71" s="502"/>
      <c r="Z71" s="502"/>
      <c r="AA71" s="502"/>
      <c r="AB71" s="502"/>
      <c r="AC71" s="502"/>
      <c r="AD71" s="502"/>
      <c r="AE71" s="502"/>
      <c r="AF71" s="502"/>
      <c r="AG71" s="502"/>
      <c r="AH71" s="502"/>
      <c r="AI71" s="502"/>
      <c r="AJ71" s="502"/>
      <c r="AK71" s="502"/>
      <c r="AL71" s="502"/>
      <c r="AM71" s="502"/>
      <c r="AN71" s="502"/>
      <c r="AO71" s="502"/>
      <c r="AP71" s="502"/>
      <c r="AQ71" s="502"/>
      <c r="AR71" s="502"/>
      <c r="AS71" s="502"/>
      <c r="AT71" s="502"/>
      <c r="AU71" s="502"/>
      <c r="AV71" s="502"/>
      <c r="AW71" s="502"/>
      <c r="AX71" s="502"/>
      <c r="AY71" s="502"/>
      <c r="AZ71" s="502"/>
      <c r="BA71" s="502"/>
      <c r="BB71" s="502"/>
      <c r="BC71" s="502"/>
      <c r="BD71" s="502"/>
      <c r="BE71" s="502"/>
      <c r="BF71" s="502"/>
      <c r="BG71" s="502"/>
      <c r="BH71" s="502"/>
      <c r="BI71" s="502"/>
      <c r="BJ71" s="502"/>
      <c r="BK71" s="502"/>
      <c r="BL71" s="502"/>
      <c r="BM71" s="502"/>
      <c r="BN71" s="502"/>
      <c r="BO71" s="502"/>
      <c r="BP71" s="502"/>
      <c r="BQ71" s="502"/>
      <c r="BR71" s="502"/>
      <c r="BS71" s="502"/>
      <c r="BT71" s="502"/>
      <c r="BU71" s="502"/>
      <c r="BV71" s="502"/>
      <c r="BW71" s="502"/>
      <c r="BX71" s="502"/>
      <c r="BY71" s="502"/>
      <c r="BZ71" s="502"/>
      <c r="CA71" s="502"/>
      <c r="CB71" s="502"/>
      <c r="CC71" s="502"/>
      <c r="CD71" s="502"/>
      <c r="CE71" s="502"/>
      <c r="CF71" s="502"/>
      <c r="CG71" s="502"/>
      <c r="CH71" s="502"/>
      <c r="CI71" s="502"/>
      <c r="CJ71" s="502"/>
      <c r="CK71" s="502"/>
      <c r="CL71" s="502"/>
      <c r="CM71" s="502"/>
      <c r="CN71" s="502"/>
      <c r="CO71" s="502"/>
      <c r="CP71" s="502"/>
      <c r="CQ71" s="502"/>
      <c r="CR71" s="502"/>
      <c r="CS71" s="502"/>
      <c r="CT71" s="502"/>
      <c r="CU71" s="502"/>
      <c r="CV71" s="502"/>
      <c r="CW71" s="502"/>
      <c r="CX71" s="502"/>
      <c r="CY71" s="502"/>
      <c r="CZ71" s="502"/>
      <c r="DA71" s="502"/>
      <c r="DB71" s="502"/>
      <c r="DC71" s="502"/>
    </row>
    <row r="72" spans="1:107" s="339" customFormat="1" ht="17.25" thickBot="1" x14ac:dyDescent="0.3">
      <c r="A72" s="502"/>
      <c r="B72" s="818" t="s">
        <v>1055</v>
      </c>
      <c r="C72" s="798"/>
      <c r="D72" s="798"/>
      <c r="E72" s="798"/>
      <c r="F72" s="798"/>
      <c r="G72" s="798"/>
      <c r="H72" s="798"/>
      <c r="I72" s="502"/>
      <c r="J72" s="502"/>
      <c r="K72" s="502"/>
      <c r="L72" s="502"/>
      <c r="M72" s="502"/>
      <c r="N72" s="502"/>
      <c r="O72" s="502"/>
      <c r="P72" s="502"/>
      <c r="Q72" s="502"/>
      <c r="R72" s="502"/>
      <c r="S72" s="502"/>
      <c r="T72" s="502"/>
      <c r="U72" s="502"/>
      <c r="V72" s="502"/>
      <c r="W72" s="502"/>
      <c r="X72" s="502"/>
      <c r="Y72" s="502"/>
      <c r="Z72" s="502"/>
      <c r="AA72" s="502"/>
      <c r="AB72" s="502"/>
      <c r="AC72" s="502"/>
      <c r="AD72" s="502"/>
      <c r="AE72" s="502"/>
      <c r="AF72" s="502"/>
      <c r="AG72" s="502"/>
      <c r="AH72" s="502"/>
      <c r="AI72" s="502"/>
      <c r="AJ72" s="502"/>
      <c r="AK72" s="502"/>
      <c r="AL72" s="502"/>
      <c r="AM72" s="502"/>
      <c r="AN72" s="502"/>
      <c r="AO72" s="502"/>
      <c r="AP72" s="502"/>
      <c r="AQ72" s="502"/>
      <c r="AR72" s="502"/>
      <c r="AS72" s="502"/>
      <c r="AT72" s="502"/>
      <c r="AU72" s="502"/>
      <c r="AV72" s="502"/>
      <c r="AW72" s="502"/>
      <c r="AX72" s="502"/>
      <c r="AY72" s="502"/>
      <c r="AZ72" s="502"/>
      <c r="BA72" s="502"/>
      <c r="BB72" s="502"/>
      <c r="BC72" s="502"/>
      <c r="BD72" s="502"/>
      <c r="BE72" s="502"/>
      <c r="BF72" s="502"/>
      <c r="BG72" s="502"/>
      <c r="BH72" s="502"/>
      <c r="BI72" s="502"/>
      <c r="BJ72" s="502"/>
      <c r="BK72" s="502"/>
      <c r="BL72" s="502"/>
      <c r="BM72" s="502"/>
      <c r="BN72" s="502"/>
      <c r="BO72" s="502"/>
      <c r="BP72" s="502"/>
      <c r="BQ72" s="502"/>
      <c r="BR72" s="502"/>
      <c r="BS72" s="502"/>
      <c r="BT72" s="502"/>
      <c r="BU72" s="502"/>
      <c r="BV72" s="502"/>
      <c r="BW72" s="502"/>
      <c r="BX72" s="502"/>
      <c r="BY72" s="502"/>
      <c r="BZ72" s="502"/>
      <c r="CA72" s="502"/>
      <c r="CB72" s="502"/>
      <c r="CC72" s="502"/>
      <c r="CD72" s="502"/>
      <c r="CE72" s="502"/>
      <c r="CF72" s="502"/>
      <c r="CG72" s="502"/>
      <c r="CH72" s="502"/>
      <c r="CI72" s="502"/>
      <c r="CJ72" s="502"/>
      <c r="CK72" s="502"/>
      <c r="CL72" s="502"/>
      <c r="CM72" s="502"/>
      <c r="CN72" s="502"/>
      <c r="CO72" s="502"/>
      <c r="CP72" s="502"/>
      <c r="CQ72" s="502"/>
      <c r="CR72" s="502"/>
      <c r="CS72" s="502"/>
      <c r="CT72" s="502"/>
      <c r="CU72" s="502"/>
      <c r="CV72" s="502"/>
      <c r="CW72" s="502"/>
      <c r="CX72" s="502"/>
      <c r="CY72" s="502"/>
      <c r="CZ72" s="502"/>
      <c r="DA72" s="502"/>
      <c r="DB72" s="502"/>
      <c r="DC72" s="502"/>
    </row>
    <row r="73" spans="1:107" x14ac:dyDescent="0.25">
      <c r="B73" s="440" t="s">
        <v>427</v>
      </c>
      <c r="C73" s="395"/>
      <c r="D73" s="396"/>
      <c r="E73" s="396"/>
      <c r="F73" s="396"/>
      <c r="G73" s="396"/>
      <c r="H73" s="397"/>
    </row>
    <row r="74" spans="1:107" s="339" customFormat="1" ht="25.5" customHeight="1" x14ac:dyDescent="0.25">
      <c r="A74" s="502"/>
      <c r="B74" s="399"/>
      <c r="C74" s="1153" t="s">
        <v>24</v>
      </c>
      <c r="D74" s="1153"/>
      <c r="E74" s="1154" t="s">
        <v>1061</v>
      </c>
      <c r="F74" s="1154"/>
      <c r="G74" s="1154" t="s">
        <v>281</v>
      </c>
      <c r="H74" s="1155"/>
      <c r="I74" s="502"/>
      <c r="J74" s="502"/>
      <c r="K74" s="502"/>
      <c r="L74" s="502"/>
      <c r="M74" s="502"/>
      <c r="N74" s="502"/>
      <c r="O74" s="502"/>
      <c r="P74" s="502"/>
      <c r="Q74" s="502"/>
      <c r="R74" s="502"/>
      <c r="S74" s="502"/>
      <c r="T74" s="502"/>
      <c r="U74" s="502"/>
      <c r="V74" s="502"/>
      <c r="W74" s="502"/>
      <c r="X74" s="502"/>
      <c r="Y74" s="502"/>
      <c r="Z74" s="502"/>
      <c r="AA74" s="502"/>
      <c r="AB74" s="502"/>
      <c r="AC74" s="502"/>
      <c r="AD74" s="502"/>
      <c r="AE74" s="502"/>
      <c r="AF74" s="502"/>
      <c r="AG74" s="502"/>
      <c r="AH74" s="502"/>
      <c r="AI74" s="502"/>
      <c r="AJ74" s="502"/>
      <c r="AK74" s="502"/>
      <c r="AL74" s="502"/>
      <c r="AM74" s="502"/>
      <c r="AN74" s="502"/>
      <c r="AO74" s="502"/>
      <c r="AP74" s="502"/>
      <c r="AQ74" s="502"/>
      <c r="AR74" s="502"/>
      <c r="AS74" s="502"/>
      <c r="AT74" s="502"/>
      <c r="AU74" s="502"/>
      <c r="AV74" s="502"/>
      <c r="AW74" s="502"/>
      <c r="AX74" s="502"/>
      <c r="AY74" s="502"/>
      <c r="AZ74" s="502"/>
      <c r="BA74" s="502"/>
      <c r="BB74" s="502"/>
      <c r="BC74" s="502"/>
      <c r="BD74" s="502"/>
      <c r="BE74" s="502"/>
      <c r="BF74" s="502"/>
      <c r="BG74" s="502"/>
      <c r="BH74" s="502"/>
      <c r="BI74" s="502"/>
      <c r="BJ74" s="502"/>
      <c r="BK74" s="502"/>
      <c r="BL74" s="502"/>
      <c r="BM74" s="502"/>
      <c r="BN74" s="502"/>
      <c r="BO74" s="502"/>
      <c r="BP74" s="502"/>
      <c r="BQ74" s="502"/>
      <c r="BR74" s="502"/>
      <c r="BS74" s="502"/>
      <c r="BT74" s="502"/>
      <c r="BU74" s="502"/>
      <c r="BV74" s="502"/>
      <c r="BW74" s="502"/>
      <c r="BX74" s="502"/>
      <c r="BY74" s="502"/>
      <c r="BZ74" s="502"/>
      <c r="CA74" s="502"/>
      <c r="CB74" s="502"/>
      <c r="CC74" s="502"/>
      <c r="CD74" s="502"/>
      <c r="CE74" s="502"/>
      <c r="CF74" s="502"/>
      <c r="CG74" s="502"/>
      <c r="CH74" s="502"/>
      <c r="CI74" s="502"/>
      <c r="CJ74" s="502"/>
      <c r="CK74" s="502"/>
      <c r="CL74" s="502"/>
      <c r="CM74" s="502"/>
      <c r="CN74" s="502"/>
      <c r="CO74" s="502"/>
      <c r="CP74" s="502"/>
      <c r="CQ74" s="502"/>
      <c r="CR74" s="502"/>
      <c r="CS74" s="502"/>
      <c r="CT74" s="502"/>
      <c r="CU74" s="502"/>
      <c r="CV74" s="502"/>
      <c r="CW74" s="502"/>
      <c r="CX74" s="502"/>
      <c r="CY74" s="502"/>
      <c r="CZ74" s="502"/>
      <c r="DA74" s="502"/>
      <c r="DB74" s="502"/>
      <c r="DC74" s="502"/>
    </row>
    <row r="75" spans="1:107" s="341" customFormat="1" ht="24.75" x14ac:dyDescent="0.2">
      <c r="A75" s="579"/>
      <c r="B75" s="1106" t="s">
        <v>1056</v>
      </c>
      <c r="C75" s="1107"/>
      <c r="D75" s="1136">
        <f>+'In-House Techniques'!B28</f>
        <v>34.239130434782602</v>
      </c>
      <c r="E75" s="1107"/>
      <c r="F75" s="1093">
        <f>+'Outdoor Storage Techniques'!B28</f>
        <v>0</v>
      </c>
      <c r="G75" s="1107"/>
      <c r="H75" s="1094">
        <f>+'Field Techniques'!B28</f>
        <v>7.5</v>
      </c>
      <c r="I75" s="579"/>
      <c r="J75" s="579"/>
      <c r="K75" s="579"/>
      <c r="L75" s="579"/>
      <c r="M75" s="579"/>
      <c r="N75" s="579"/>
      <c r="O75" s="579"/>
      <c r="P75" s="579"/>
      <c r="Q75" s="579"/>
      <c r="R75" s="579"/>
      <c r="S75" s="579"/>
      <c r="T75" s="579"/>
      <c r="U75" s="579"/>
      <c r="V75" s="579"/>
      <c r="W75" s="579"/>
      <c r="X75" s="579"/>
      <c r="Y75" s="579"/>
      <c r="Z75" s="579"/>
      <c r="AA75" s="579"/>
      <c r="AB75" s="579"/>
      <c r="AC75" s="579"/>
      <c r="AD75" s="579"/>
      <c r="AE75" s="579"/>
      <c r="AF75" s="579"/>
      <c r="AG75" s="579"/>
      <c r="AH75" s="579"/>
      <c r="AI75" s="579"/>
      <c r="AJ75" s="579"/>
      <c r="AK75" s="579"/>
      <c r="AL75" s="579"/>
      <c r="AM75" s="579"/>
      <c r="AN75" s="579"/>
      <c r="AO75" s="579"/>
      <c r="AP75" s="579"/>
      <c r="AQ75" s="579"/>
      <c r="AR75" s="579"/>
      <c r="AS75" s="579"/>
      <c r="AT75" s="579"/>
      <c r="AU75" s="579"/>
      <c r="AV75" s="579"/>
      <c r="AW75" s="579"/>
      <c r="AX75" s="579"/>
      <c r="AY75" s="579"/>
      <c r="AZ75" s="579"/>
      <c r="BA75" s="579"/>
      <c r="BB75" s="579"/>
      <c r="BC75" s="579"/>
      <c r="BD75" s="579"/>
      <c r="BE75" s="579"/>
      <c r="BF75" s="579"/>
      <c r="BG75" s="579"/>
      <c r="BH75" s="579"/>
      <c r="BI75" s="579"/>
      <c r="BJ75" s="579"/>
      <c r="BK75" s="579"/>
      <c r="BL75" s="579"/>
      <c r="BM75" s="579"/>
      <c r="BN75" s="579"/>
      <c r="BO75" s="579"/>
      <c r="BP75" s="579"/>
      <c r="BQ75" s="579"/>
      <c r="BR75" s="579"/>
      <c r="BS75" s="579"/>
      <c r="BT75" s="579"/>
      <c r="BU75" s="579"/>
      <c r="BV75" s="579"/>
      <c r="BW75" s="579"/>
      <c r="BX75" s="579"/>
      <c r="BY75" s="579"/>
      <c r="BZ75" s="579"/>
      <c r="CA75" s="579"/>
      <c r="CB75" s="579"/>
      <c r="CC75" s="579"/>
      <c r="CD75" s="579"/>
      <c r="CE75" s="579"/>
      <c r="CF75" s="579"/>
      <c r="CG75" s="579"/>
      <c r="CH75" s="579"/>
      <c r="CI75" s="579"/>
      <c r="CJ75" s="579"/>
      <c r="CK75" s="579"/>
      <c r="CL75" s="579"/>
      <c r="CM75" s="579"/>
      <c r="CN75" s="579"/>
      <c r="CO75" s="579"/>
      <c r="CP75" s="579"/>
      <c r="CQ75" s="579"/>
      <c r="CR75" s="579"/>
      <c r="CS75" s="579"/>
      <c r="CT75" s="579"/>
      <c r="CU75" s="579"/>
      <c r="CV75" s="579"/>
      <c r="CW75" s="579"/>
      <c r="CX75" s="579"/>
      <c r="CY75" s="579"/>
      <c r="CZ75" s="579"/>
      <c r="DA75" s="579"/>
      <c r="DB75" s="579"/>
      <c r="DC75" s="579"/>
    </row>
    <row r="76" spans="1:107" s="341" customFormat="1" ht="25.5" x14ac:dyDescent="0.2">
      <c r="A76" s="579"/>
      <c r="B76" s="1108" t="s">
        <v>1057</v>
      </c>
      <c r="C76" s="555"/>
      <c r="D76" s="1093">
        <f>+'In-House Techniques'!B30</f>
        <v>0</v>
      </c>
      <c r="E76" s="555"/>
      <c r="F76" s="1093">
        <f>+'Outdoor Storage Techniques'!B30</f>
        <v>0</v>
      </c>
      <c r="G76" s="825"/>
      <c r="H76" s="1094">
        <f>+'Field Techniques'!B30</f>
        <v>1.5</v>
      </c>
      <c r="I76" s="579"/>
      <c r="J76" s="579"/>
      <c r="K76" s="579"/>
      <c r="L76" s="579"/>
      <c r="M76" s="579"/>
      <c r="N76" s="579"/>
      <c r="O76" s="579"/>
      <c r="P76" s="579"/>
      <c r="Q76" s="579"/>
      <c r="R76" s="579"/>
      <c r="S76" s="579"/>
      <c r="T76" s="579"/>
      <c r="U76" s="579"/>
      <c r="V76" s="579"/>
      <c r="W76" s="579"/>
      <c r="X76" s="579"/>
      <c r="Y76" s="579"/>
      <c r="Z76" s="579"/>
      <c r="AA76" s="579"/>
      <c r="AB76" s="579"/>
      <c r="AC76" s="579"/>
      <c r="AD76" s="579"/>
      <c r="AE76" s="579"/>
      <c r="AF76" s="579"/>
      <c r="AG76" s="579"/>
      <c r="AH76" s="579"/>
      <c r="AI76" s="579"/>
      <c r="AJ76" s="579"/>
      <c r="AK76" s="579"/>
      <c r="AL76" s="579"/>
      <c r="AM76" s="579"/>
      <c r="AN76" s="579"/>
      <c r="AO76" s="579"/>
      <c r="AP76" s="579"/>
      <c r="AQ76" s="579"/>
      <c r="AR76" s="579"/>
      <c r="AS76" s="579"/>
      <c r="AT76" s="579"/>
      <c r="AU76" s="579"/>
      <c r="AV76" s="579"/>
      <c r="AW76" s="579"/>
      <c r="AX76" s="579"/>
      <c r="AY76" s="579"/>
      <c r="AZ76" s="579"/>
      <c r="BA76" s="579"/>
      <c r="BB76" s="579"/>
      <c r="BC76" s="579"/>
      <c r="BD76" s="579"/>
      <c r="BE76" s="579"/>
      <c r="BF76" s="579"/>
      <c r="BG76" s="579"/>
      <c r="BH76" s="579"/>
      <c r="BI76" s="579"/>
      <c r="BJ76" s="579"/>
      <c r="BK76" s="579"/>
      <c r="BL76" s="579"/>
      <c r="BM76" s="579"/>
      <c r="BN76" s="579"/>
      <c r="BO76" s="579"/>
      <c r="BP76" s="579"/>
      <c r="BQ76" s="579"/>
      <c r="BR76" s="579"/>
      <c r="BS76" s="579"/>
      <c r="BT76" s="579"/>
      <c r="BU76" s="579"/>
      <c r="BV76" s="579"/>
      <c r="BW76" s="579"/>
      <c r="BX76" s="579"/>
      <c r="BY76" s="579"/>
      <c r="BZ76" s="579"/>
      <c r="CA76" s="579"/>
      <c r="CB76" s="579"/>
      <c r="CC76" s="579"/>
      <c r="CD76" s="579"/>
      <c r="CE76" s="579"/>
      <c r="CF76" s="579"/>
      <c r="CG76" s="579"/>
      <c r="CH76" s="579"/>
      <c r="CI76" s="579"/>
      <c r="CJ76" s="579"/>
      <c r="CK76" s="579"/>
      <c r="CL76" s="579"/>
      <c r="CM76" s="579"/>
      <c r="CN76" s="579"/>
      <c r="CO76" s="579"/>
      <c r="CP76" s="579"/>
      <c r="CQ76" s="579"/>
      <c r="CR76" s="579"/>
      <c r="CS76" s="579"/>
      <c r="CT76" s="579"/>
      <c r="CU76" s="579"/>
      <c r="CV76" s="579"/>
      <c r="CW76" s="579"/>
      <c r="CX76" s="579"/>
      <c r="CY76" s="579"/>
      <c r="CZ76" s="579"/>
      <c r="DA76" s="579"/>
      <c r="DB76" s="579"/>
      <c r="DC76" s="579"/>
    </row>
    <row r="77" spans="1:107" s="341" customFormat="1" ht="25.5" x14ac:dyDescent="0.2">
      <c r="A77" s="579"/>
      <c r="B77" s="1108" t="s">
        <v>1058</v>
      </c>
      <c r="C77" s="555"/>
      <c r="D77" s="1093">
        <f>+'In-House Techniques'!B31</f>
        <v>0</v>
      </c>
      <c r="E77" s="555"/>
      <c r="F77" s="1093">
        <f>+'Outdoor Storage Techniques'!B31</f>
        <v>0</v>
      </c>
      <c r="G77" s="825"/>
      <c r="H77" s="1094">
        <f>+'Field Techniques'!B31</f>
        <v>2.0999999999999996</v>
      </c>
      <c r="I77" s="579"/>
      <c r="J77" s="579"/>
      <c r="K77" s="579"/>
      <c r="L77" s="579"/>
      <c r="M77" s="579"/>
      <c r="N77" s="579"/>
      <c r="O77" s="579"/>
      <c r="P77" s="579"/>
      <c r="Q77" s="579"/>
      <c r="R77" s="579"/>
      <c r="S77" s="579"/>
      <c r="T77" s="579"/>
      <c r="U77" s="579"/>
      <c r="V77" s="579"/>
      <c r="W77" s="579"/>
      <c r="X77" s="579"/>
      <c r="Y77" s="579"/>
      <c r="Z77" s="579"/>
      <c r="AA77" s="579"/>
      <c r="AB77" s="579"/>
      <c r="AC77" s="579"/>
      <c r="AD77" s="579"/>
      <c r="AE77" s="579"/>
      <c r="AF77" s="579"/>
      <c r="AG77" s="579"/>
      <c r="AH77" s="579"/>
      <c r="AI77" s="579"/>
      <c r="AJ77" s="579"/>
      <c r="AK77" s="579"/>
      <c r="AL77" s="579"/>
      <c r="AM77" s="579"/>
      <c r="AN77" s="579"/>
      <c r="AO77" s="579"/>
      <c r="AP77" s="579"/>
      <c r="AQ77" s="579"/>
      <c r="AR77" s="579"/>
      <c r="AS77" s="579"/>
      <c r="AT77" s="579"/>
      <c r="AU77" s="579"/>
      <c r="AV77" s="579"/>
      <c r="AW77" s="579"/>
      <c r="AX77" s="579"/>
      <c r="AY77" s="579"/>
      <c r="AZ77" s="579"/>
      <c r="BA77" s="579"/>
      <c r="BB77" s="579"/>
      <c r="BC77" s="579"/>
      <c r="BD77" s="579"/>
      <c r="BE77" s="579"/>
      <c r="BF77" s="579"/>
      <c r="BG77" s="579"/>
      <c r="BH77" s="579"/>
      <c r="BI77" s="579"/>
      <c r="BJ77" s="579"/>
      <c r="BK77" s="579"/>
      <c r="BL77" s="579"/>
      <c r="BM77" s="579"/>
      <c r="BN77" s="579"/>
      <c r="BO77" s="579"/>
      <c r="BP77" s="579"/>
      <c r="BQ77" s="579"/>
      <c r="BR77" s="579"/>
      <c r="BS77" s="579"/>
      <c r="BT77" s="579"/>
      <c r="BU77" s="579"/>
      <c r="BV77" s="579"/>
      <c r="BW77" s="579"/>
      <c r="BX77" s="579"/>
      <c r="BY77" s="579"/>
      <c r="BZ77" s="579"/>
      <c r="CA77" s="579"/>
      <c r="CB77" s="579"/>
      <c r="CC77" s="579"/>
      <c r="CD77" s="579"/>
      <c r="CE77" s="579"/>
      <c r="CF77" s="579"/>
      <c r="CG77" s="579"/>
      <c r="CH77" s="579"/>
      <c r="CI77" s="579"/>
      <c r="CJ77" s="579"/>
      <c r="CK77" s="579"/>
      <c r="CL77" s="579"/>
      <c r="CM77" s="579"/>
      <c r="CN77" s="579"/>
      <c r="CO77" s="579"/>
      <c r="CP77" s="579"/>
      <c r="CQ77" s="579"/>
      <c r="CR77" s="579"/>
      <c r="CS77" s="579"/>
      <c r="CT77" s="579"/>
      <c r="CU77" s="579"/>
      <c r="CV77" s="579"/>
      <c r="CW77" s="579"/>
      <c r="CX77" s="579"/>
      <c r="CY77" s="579"/>
      <c r="CZ77" s="579"/>
      <c r="DA77" s="579"/>
      <c r="DB77" s="579"/>
      <c r="DC77" s="579"/>
    </row>
    <row r="78" spans="1:107" s="341" customFormat="1" ht="25.5" x14ac:dyDescent="0.2">
      <c r="A78" s="579"/>
      <c r="B78" s="1108" t="s">
        <v>1059</v>
      </c>
      <c r="C78" s="555"/>
      <c r="D78" s="1093">
        <f>+'In-House Techniques'!B32</f>
        <v>0</v>
      </c>
      <c r="E78" s="555"/>
      <c r="F78" s="1093">
        <f>+'Outdoor Storage Techniques'!B32</f>
        <v>0</v>
      </c>
      <c r="G78" s="825"/>
      <c r="H78" s="1094">
        <f>+'Field Techniques'!B32</f>
        <v>2.2999999999999998</v>
      </c>
      <c r="I78" s="579"/>
      <c r="J78" s="579"/>
      <c r="K78" s="579"/>
      <c r="L78" s="579"/>
      <c r="M78" s="579"/>
      <c r="N78" s="579"/>
      <c r="O78" s="579"/>
      <c r="P78" s="579"/>
      <c r="Q78" s="579"/>
      <c r="R78" s="579"/>
      <c r="S78" s="579"/>
      <c r="T78" s="579"/>
      <c r="U78" s="579"/>
      <c r="V78" s="579"/>
      <c r="W78" s="579"/>
      <c r="X78" s="579"/>
      <c r="Y78" s="579"/>
      <c r="Z78" s="579"/>
      <c r="AA78" s="579"/>
      <c r="AB78" s="579"/>
      <c r="AC78" s="579"/>
      <c r="AD78" s="579"/>
      <c r="AE78" s="579"/>
      <c r="AF78" s="579"/>
      <c r="AG78" s="579"/>
      <c r="AH78" s="579"/>
      <c r="AI78" s="579"/>
      <c r="AJ78" s="579"/>
      <c r="AK78" s="579"/>
      <c r="AL78" s="579"/>
      <c r="AM78" s="579"/>
      <c r="AN78" s="579"/>
      <c r="AO78" s="579"/>
      <c r="AP78" s="579"/>
      <c r="AQ78" s="579"/>
      <c r="AR78" s="579"/>
      <c r="AS78" s="579"/>
      <c r="AT78" s="579"/>
      <c r="AU78" s="579"/>
      <c r="AV78" s="579"/>
      <c r="AW78" s="579"/>
      <c r="AX78" s="579"/>
      <c r="AY78" s="579"/>
      <c r="AZ78" s="579"/>
      <c r="BA78" s="579"/>
      <c r="BB78" s="579"/>
      <c r="BC78" s="579"/>
      <c r="BD78" s="579"/>
      <c r="BE78" s="579"/>
      <c r="BF78" s="579"/>
      <c r="BG78" s="579"/>
      <c r="BH78" s="579"/>
      <c r="BI78" s="579"/>
      <c r="BJ78" s="579"/>
      <c r="BK78" s="579"/>
      <c r="BL78" s="579"/>
      <c r="BM78" s="579"/>
      <c r="BN78" s="579"/>
      <c r="BO78" s="579"/>
      <c r="BP78" s="579"/>
      <c r="BQ78" s="579"/>
      <c r="BR78" s="579"/>
      <c r="BS78" s="579"/>
      <c r="BT78" s="579"/>
      <c r="BU78" s="579"/>
      <c r="BV78" s="579"/>
      <c r="BW78" s="579"/>
      <c r="BX78" s="579"/>
      <c r="BY78" s="579"/>
      <c r="BZ78" s="579"/>
      <c r="CA78" s="579"/>
      <c r="CB78" s="579"/>
      <c r="CC78" s="579"/>
      <c r="CD78" s="579"/>
      <c r="CE78" s="579"/>
      <c r="CF78" s="579"/>
      <c r="CG78" s="579"/>
      <c r="CH78" s="579"/>
      <c r="CI78" s="579"/>
      <c r="CJ78" s="579"/>
      <c r="CK78" s="579"/>
      <c r="CL78" s="579"/>
      <c r="CM78" s="579"/>
      <c r="CN78" s="579"/>
      <c r="CO78" s="579"/>
      <c r="CP78" s="579"/>
      <c r="CQ78" s="579"/>
      <c r="CR78" s="579"/>
      <c r="CS78" s="579"/>
      <c r="CT78" s="579"/>
      <c r="CU78" s="579"/>
      <c r="CV78" s="579"/>
      <c r="CW78" s="579"/>
      <c r="CX78" s="579"/>
      <c r="CY78" s="579"/>
      <c r="CZ78" s="579"/>
      <c r="DA78" s="579"/>
      <c r="DB78" s="579"/>
      <c r="DC78" s="579"/>
    </row>
    <row r="79" spans="1:107" s="341" customFormat="1" ht="25.5" x14ac:dyDescent="0.2">
      <c r="A79" s="579"/>
      <c r="B79" s="1108" t="s">
        <v>1060</v>
      </c>
      <c r="C79" s="555"/>
      <c r="D79" s="1111">
        <f>+'In-House Techniques'!B33</f>
        <v>0</v>
      </c>
      <c r="E79" s="555"/>
      <c r="F79" s="1111">
        <f>+'Outdoor Storage Techniques'!B33</f>
        <v>0</v>
      </c>
      <c r="G79" s="825"/>
      <c r="H79" s="1113">
        <f>+'Field Techniques'!B33</f>
        <v>0.48979591836734693</v>
      </c>
      <c r="I79" s="579"/>
      <c r="J79" s="579"/>
      <c r="K79" s="579"/>
      <c r="L79" s="579"/>
      <c r="M79" s="579"/>
      <c r="N79" s="579"/>
      <c r="O79" s="579"/>
      <c r="P79" s="579"/>
      <c r="Q79" s="579"/>
      <c r="R79" s="579"/>
      <c r="S79" s="579"/>
      <c r="T79" s="579"/>
      <c r="U79" s="579"/>
      <c r="V79" s="579"/>
      <c r="W79" s="579"/>
      <c r="X79" s="579"/>
      <c r="Y79" s="579"/>
      <c r="Z79" s="579"/>
      <c r="AA79" s="579"/>
      <c r="AB79" s="579"/>
      <c r="AC79" s="579"/>
      <c r="AD79" s="579"/>
      <c r="AE79" s="579"/>
      <c r="AF79" s="579"/>
      <c r="AG79" s="579"/>
      <c r="AH79" s="579"/>
      <c r="AI79" s="579"/>
      <c r="AJ79" s="579"/>
      <c r="AK79" s="579"/>
      <c r="AL79" s="579"/>
      <c r="AM79" s="579"/>
      <c r="AN79" s="579"/>
      <c r="AO79" s="579"/>
      <c r="AP79" s="579"/>
      <c r="AQ79" s="579"/>
      <c r="AR79" s="579"/>
      <c r="AS79" s="579"/>
      <c r="AT79" s="579"/>
      <c r="AU79" s="579"/>
      <c r="AV79" s="579"/>
      <c r="AW79" s="579"/>
      <c r="AX79" s="579"/>
      <c r="AY79" s="579"/>
      <c r="AZ79" s="579"/>
      <c r="BA79" s="579"/>
      <c r="BB79" s="579"/>
      <c r="BC79" s="579"/>
      <c r="BD79" s="579"/>
      <c r="BE79" s="579"/>
      <c r="BF79" s="579"/>
      <c r="BG79" s="579"/>
      <c r="BH79" s="579"/>
      <c r="BI79" s="579"/>
      <c r="BJ79" s="579"/>
      <c r="BK79" s="579"/>
      <c r="BL79" s="579"/>
      <c r="BM79" s="579"/>
      <c r="BN79" s="579"/>
      <c r="BO79" s="579"/>
      <c r="BP79" s="579"/>
      <c r="BQ79" s="579"/>
      <c r="BR79" s="579"/>
      <c r="BS79" s="579"/>
      <c r="BT79" s="579"/>
      <c r="BU79" s="579"/>
      <c r="BV79" s="579"/>
      <c r="BW79" s="579"/>
      <c r="BX79" s="579"/>
      <c r="BY79" s="579"/>
      <c r="BZ79" s="579"/>
      <c r="CA79" s="579"/>
      <c r="CB79" s="579"/>
      <c r="CC79" s="579"/>
      <c r="CD79" s="579"/>
      <c r="CE79" s="579"/>
      <c r="CF79" s="579"/>
      <c r="CG79" s="579"/>
      <c r="CH79" s="579"/>
      <c r="CI79" s="579"/>
      <c r="CJ79" s="579"/>
      <c r="CK79" s="579"/>
      <c r="CL79" s="579"/>
      <c r="CM79" s="579"/>
      <c r="CN79" s="579"/>
      <c r="CO79" s="579"/>
      <c r="CP79" s="579"/>
      <c r="CQ79" s="579"/>
      <c r="CR79" s="579"/>
      <c r="CS79" s="579"/>
      <c r="CT79" s="579"/>
      <c r="CU79" s="579"/>
      <c r="CV79" s="579"/>
      <c r="CW79" s="579"/>
      <c r="CX79" s="579"/>
      <c r="CY79" s="579"/>
      <c r="CZ79" s="579"/>
      <c r="DA79" s="579"/>
      <c r="DB79" s="579"/>
      <c r="DC79" s="579"/>
    </row>
    <row r="80" spans="1:107" s="339" customFormat="1" ht="13.5" customHeight="1" x14ac:dyDescent="0.25">
      <c r="A80" s="502"/>
      <c r="B80" s="822" t="s">
        <v>415</v>
      </c>
      <c r="C80" s="823"/>
      <c r="D80" s="823"/>
      <c r="E80" s="823"/>
      <c r="F80" s="823"/>
      <c r="G80" s="823"/>
      <c r="H80" s="824"/>
      <c r="I80" s="502"/>
      <c r="J80" s="502"/>
      <c r="K80" s="502"/>
      <c r="L80" s="502"/>
      <c r="M80" s="502"/>
      <c r="N80" s="502"/>
      <c r="O80" s="502"/>
      <c r="P80" s="502"/>
      <c r="Q80" s="502"/>
      <c r="R80" s="502"/>
      <c r="S80" s="502"/>
      <c r="T80" s="502"/>
      <c r="U80" s="502"/>
      <c r="V80" s="502"/>
      <c r="W80" s="502"/>
      <c r="X80" s="502"/>
      <c r="Y80" s="502"/>
      <c r="Z80" s="502"/>
      <c r="AA80" s="502"/>
      <c r="AB80" s="502"/>
      <c r="AC80" s="502"/>
      <c r="AD80" s="502"/>
      <c r="AE80" s="502"/>
      <c r="AF80" s="502"/>
      <c r="AG80" s="502"/>
      <c r="AH80" s="502"/>
      <c r="AI80" s="502"/>
      <c r="AJ80" s="502"/>
      <c r="AK80" s="502"/>
      <c r="AL80" s="502"/>
      <c r="AM80" s="502"/>
      <c r="AN80" s="502"/>
      <c r="AO80" s="502"/>
      <c r="AP80" s="502"/>
      <c r="AQ80" s="502"/>
      <c r="AR80" s="502"/>
      <c r="AS80" s="502"/>
      <c r="AT80" s="502"/>
      <c r="AU80" s="502"/>
      <c r="AV80" s="502"/>
      <c r="AW80" s="502"/>
      <c r="AX80" s="502"/>
      <c r="AY80" s="502"/>
      <c r="AZ80" s="502"/>
      <c r="BA80" s="502"/>
      <c r="BB80" s="502"/>
      <c r="BC80" s="502"/>
      <c r="BD80" s="502"/>
      <c r="BE80" s="502"/>
      <c r="BF80" s="502"/>
      <c r="BG80" s="502"/>
      <c r="BH80" s="502"/>
      <c r="BI80" s="502"/>
      <c r="BJ80" s="502"/>
      <c r="BK80" s="502"/>
      <c r="BL80" s="502"/>
      <c r="BM80" s="502"/>
      <c r="BN80" s="502"/>
      <c r="BO80" s="502"/>
      <c r="BP80" s="502"/>
      <c r="BQ80" s="502"/>
      <c r="BR80" s="502"/>
      <c r="BS80" s="502"/>
      <c r="BT80" s="502"/>
      <c r="BU80" s="502"/>
      <c r="BV80" s="502"/>
      <c r="BW80" s="502"/>
      <c r="BX80" s="502"/>
      <c r="BY80" s="502"/>
      <c r="BZ80" s="502"/>
      <c r="CA80" s="502"/>
      <c r="CB80" s="502"/>
      <c r="CC80" s="502"/>
      <c r="CD80" s="502"/>
      <c r="CE80" s="502"/>
      <c r="CF80" s="502"/>
      <c r="CG80" s="502"/>
      <c r="CH80" s="502"/>
      <c r="CI80" s="502"/>
      <c r="CJ80" s="502"/>
      <c r="CK80" s="502"/>
      <c r="CL80" s="502"/>
      <c r="CM80" s="502"/>
      <c r="CN80" s="502"/>
      <c r="CO80" s="502"/>
      <c r="CP80" s="502"/>
      <c r="CQ80" s="502"/>
      <c r="CR80" s="502"/>
      <c r="CS80" s="502"/>
      <c r="CT80" s="502"/>
      <c r="CU80" s="502"/>
      <c r="CV80" s="502"/>
      <c r="CW80" s="502"/>
      <c r="CX80" s="502"/>
      <c r="CY80" s="502"/>
      <c r="CZ80" s="502"/>
      <c r="DA80" s="502"/>
      <c r="DB80" s="502"/>
      <c r="DC80" s="502"/>
    </row>
    <row r="81" spans="1:107" s="339" customFormat="1" ht="77.25" customHeight="1" thickBot="1" x14ac:dyDescent="0.3">
      <c r="A81" s="502"/>
      <c r="B81" s="1112"/>
      <c r="C81" s="1156" t="str">
        <f>'In-House Techniques'!B36</f>
        <v>Energy data from Appendix_DK_housing_manurecooling.pdf</v>
      </c>
      <c r="D81" s="1156"/>
      <c r="E81" s="1156">
        <f>+'Outdoor Storage Techniques'!B36</f>
        <v>0</v>
      </c>
      <c r="F81" s="1156"/>
      <c r="G81" s="1156" t="str">
        <f>'Field Techniques'!B36</f>
        <v>The use of sulphuric acid increases the yield. The yield increase used in the calculations is a "conservitve etimate" based on theoretical calculations. A range of field trials has shown yield increases significantly higher than this. Furthermore, the use of acid leads to a higher demand for lime applied to the field. This is included. Additional, slurry acidification during spreading reduces the energy consumption if farming in cases, where the technology is used in stead of slurry injection, which normally consume 7.5 kWh extra energy per ton slurry compared to spreading with band laying system.</v>
      </c>
      <c r="H81" s="1161"/>
      <c r="I81" s="502"/>
      <c r="J81" s="502"/>
      <c r="K81" s="502"/>
      <c r="L81" s="502"/>
      <c r="M81" s="502"/>
      <c r="N81" s="502"/>
      <c r="O81" s="502"/>
      <c r="P81" s="502"/>
      <c r="Q81" s="502"/>
      <c r="R81" s="502"/>
      <c r="S81" s="502"/>
      <c r="T81" s="502"/>
      <c r="U81" s="502"/>
      <c r="V81" s="502"/>
      <c r="W81" s="502"/>
      <c r="X81" s="502"/>
      <c r="Y81" s="502"/>
      <c r="Z81" s="502"/>
      <c r="AA81" s="502"/>
      <c r="AB81" s="502"/>
      <c r="AC81" s="502"/>
      <c r="AD81" s="502"/>
      <c r="AE81" s="502"/>
      <c r="AF81" s="502"/>
      <c r="AG81" s="502"/>
      <c r="AH81" s="502"/>
      <c r="AI81" s="502"/>
      <c r="AJ81" s="502"/>
      <c r="AK81" s="502"/>
      <c r="AL81" s="502"/>
      <c r="AM81" s="502"/>
      <c r="AN81" s="502"/>
      <c r="AO81" s="502"/>
      <c r="AP81" s="502"/>
      <c r="AQ81" s="502"/>
      <c r="AR81" s="502"/>
      <c r="AS81" s="502"/>
      <c r="AT81" s="502"/>
      <c r="AU81" s="502"/>
      <c r="AV81" s="502"/>
      <c r="AW81" s="502"/>
      <c r="AX81" s="502"/>
      <c r="AY81" s="502"/>
      <c r="AZ81" s="502"/>
      <c r="BA81" s="502"/>
      <c r="BB81" s="502"/>
      <c r="BC81" s="502"/>
      <c r="BD81" s="502"/>
      <c r="BE81" s="502"/>
      <c r="BF81" s="502"/>
      <c r="BG81" s="502"/>
      <c r="BH81" s="502"/>
      <c r="BI81" s="502"/>
      <c r="BJ81" s="502"/>
      <c r="BK81" s="502"/>
      <c r="BL81" s="502"/>
      <c r="BM81" s="502"/>
      <c r="BN81" s="502"/>
      <c r="BO81" s="502"/>
      <c r="BP81" s="502"/>
      <c r="BQ81" s="502"/>
      <c r="BR81" s="502"/>
      <c r="BS81" s="502"/>
      <c r="BT81" s="502"/>
      <c r="BU81" s="502"/>
      <c r="BV81" s="502"/>
      <c r="BW81" s="502"/>
      <c r="BX81" s="502"/>
      <c r="BY81" s="502"/>
      <c r="BZ81" s="502"/>
      <c r="CA81" s="502"/>
      <c r="CB81" s="502"/>
      <c r="CC81" s="502"/>
      <c r="CD81" s="502"/>
      <c r="CE81" s="502"/>
      <c r="CF81" s="502"/>
      <c r="CG81" s="502"/>
      <c r="CH81" s="502"/>
      <c r="CI81" s="502"/>
      <c r="CJ81" s="502"/>
      <c r="CK81" s="502"/>
      <c r="CL81" s="502"/>
      <c r="CM81" s="502"/>
      <c r="CN81" s="502"/>
      <c r="CO81" s="502"/>
      <c r="CP81" s="502"/>
      <c r="CQ81" s="502"/>
      <c r="CR81" s="502"/>
      <c r="CS81" s="502"/>
      <c r="CT81" s="502"/>
      <c r="CU81" s="502"/>
      <c r="CV81" s="502"/>
      <c r="CW81" s="502"/>
      <c r="CX81" s="502"/>
      <c r="CY81" s="502"/>
      <c r="CZ81" s="502"/>
      <c r="DA81" s="502"/>
      <c r="DB81" s="502"/>
      <c r="DC81" s="502"/>
    </row>
    <row r="82" spans="1:107" s="339" customFormat="1" ht="15.75" thickBot="1" x14ac:dyDescent="0.3">
      <c r="A82" s="502"/>
      <c r="B82" s="1078"/>
      <c r="C82" s="1078"/>
      <c r="D82" s="1078"/>
      <c r="E82" s="1078"/>
      <c r="F82" s="1078"/>
      <c r="G82" s="1078"/>
      <c r="H82" s="1078"/>
      <c r="I82" s="502"/>
      <c r="J82" s="502"/>
      <c r="K82" s="502"/>
      <c r="L82" s="502"/>
      <c r="M82" s="502"/>
      <c r="N82" s="502"/>
      <c r="O82" s="502"/>
      <c r="P82" s="502"/>
      <c r="Q82" s="502"/>
      <c r="R82" s="502"/>
      <c r="S82" s="502"/>
      <c r="T82" s="502"/>
      <c r="U82" s="502"/>
      <c r="V82" s="502"/>
      <c r="W82" s="502"/>
      <c r="X82" s="502"/>
      <c r="Y82" s="502"/>
      <c r="Z82" s="502"/>
      <c r="AA82" s="502"/>
      <c r="AB82" s="502"/>
      <c r="AC82" s="502"/>
      <c r="AD82" s="502"/>
      <c r="AE82" s="502"/>
      <c r="AF82" s="502"/>
      <c r="AG82" s="502"/>
      <c r="AH82" s="502"/>
      <c r="AI82" s="502"/>
      <c r="AJ82" s="502"/>
      <c r="AK82" s="502"/>
      <c r="AL82" s="502"/>
      <c r="AM82" s="502"/>
      <c r="AN82" s="502"/>
      <c r="AO82" s="502"/>
      <c r="AP82" s="502"/>
      <c r="AQ82" s="502"/>
      <c r="AR82" s="502"/>
      <c r="AS82" s="502"/>
      <c r="AT82" s="502"/>
      <c r="AU82" s="502"/>
      <c r="AV82" s="502"/>
      <c r="AW82" s="502"/>
      <c r="AX82" s="502"/>
      <c r="AY82" s="502"/>
      <c r="AZ82" s="502"/>
      <c r="BA82" s="502"/>
      <c r="BB82" s="502"/>
      <c r="BC82" s="502"/>
      <c r="BD82" s="502"/>
      <c r="BE82" s="502"/>
      <c r="BF82" s="502"/>
      <c r="BG82" s="502"/>
      <c r="BH82" s="502"/>
      <c r="BI82" s="502"/>
      <c r="BJ82" s="502"/>
      <c r="BK82" s="502"/>
      <c r="BL82" s="502"/>
      <c r="BM82" s="502"/>
      <c r="BN82" s="502"/>
      <c r="BO82" s="502"/>
      <c r="BP82" s="502"/>
      <c r="BQ82" s="502"/>
      <c r="BR82" s="502"/>
      <c r="BS82" s="502"/>
      <c r="BT82" s="502"/>
      <c r="BU82" s="502"/>
      <c r="BV82" s="502"/>
      <c r="BW82" s="502"/>
      <c r="BX82" s="502"/>
      <c r="BY82" s="502"/>
      <c r="BZ82" s="502"/>
      <c r="CA82" s="502"/>
      <c r="CB82" s="502"/>
      <c r="CC82" s="502"/>
      <c r="CD82" s="502"/>
      <c r="CE82" s="502"/>
      <c r="CF82" s="502"/>
      <c r="CG82" s="502"/>
      <c r="CH82" s="502"/>
      <c r="CI82" s="502"/>
      <c r="CJ82" s="502"/>
      <c r="CK82" s="502"/>
      <c r="CL82" s="502"/>
      <c r="CM82" s="502"/>
      <c r="CN82" s="502"/>
      <c r="CO82" s="502"/>
      <c r="CP82" s="502"/>
      <c r="CQ82" s="502"/>
      <c r="CR82" s="502"/>
      <c r="CS82" s="502"/>
      <c r="CT82" s="502"/>
      <c r="CU82" s="502"/>
      <c r="CV82" s="502"/>
      <c r="CW82" s="502"/>
      <c r="CX82" s="502"/>
      <c r="CY82" s="502"/>
      <c r="CZ82" s="502"/>
      <c r="DA82" s="502"/>
      <c r="DB82" s="502"/>
      <c r="DC82" s="502"/>
    </row>
    <row r="83" spans="1:107" s="339" customFormat="1" x14ac:dyDescent="0.25">
      <c r="A83" s="502"/>
      <c r="B83" s="1104" t="s">
        <v>1053</v>
      </c>
      <c r="C83" s="395"/>
      <c r="D83" s="395"/>
      <c r="E83" s="395"/>
      <c r="F83" s="395"/>
      <c r="G83" s="395"/>
      <c r="H83" s="784"/>
      <c r="I83" s="502"/>
      <c r="J83" s="502"/>
      <c r="K83" s="502"/>
      <c r="L83" s="502"/>
      <c r="M83" s="502"/>
      <c r="N83" s="502"/>
      <c r="O83" s="502"/>
      <c r="P83" s="502"/>
      <c r="Q83" s="502"/>
      <c r="R83" s="502"/>
      <c r="S83" s="502"/>
      <c r="T83" s="502"/>
      <c r="U83" s="502"/>
      <c r="V83" s="502"/>
      <c r="W83" s="502"/>
      <c r="X83" s="502"/>
      <c r="Y83" s="502"/>
      <c r="Z83" s="502"/>
      <c r="AA83" s="502"/>
      <c r="AB83" s="502"/>
      <c r="AC83" s="502"/>
      <c r="AD83" s="502"/>
      <c r="AE83" s="502"/>
      <c r="AF83" s="502"/>
      <c r="AG83" s="502"/>
      <c r="AH83" s="502"/>
      <c r="AI83" s="502"/>
      <c r="AJ83" s="502"/>
      <c r="AK83" s="502"/>
      <c r="AL83" s="502"/>
      <c r="AM83" s="502"/>
      <c r="AN83" s="502"/>
      <c r="AO83" s="502"/>
      <c r="AP83" s="502"/>
      <c r="AQ83" s="502"/>
      <c r="AR83" s="502"/>
      <c r="AS83" s="502"/>
      <c r="AT83" s="502"/>
      <c r="AU83" s="502"/>
      <c r="AV83" s="502"/>
      <c r="AW83" s="502"/>
      <c r="AX83" s="502"/>
      <c r="AY83" s="502"/>
      <c r="AZ83" s="502"/>
      <c r="BA83" s="502"/>
      <c r="BB83" s="502"/>
      <c r="BC83" s="502"/>
      <c r="BD83" s="502"/>
      <c r="BE83" s="502"/>
      <c r="BF83" s="502"/>
      <c r="BG83" s="502"/>
      <c r="BH83" s="502"/>
      <c r="BI83" s="502"/>
      <c r="BJ83" s="502"/>
      <c r="BK83" s="502"/>
      <c r="BL83" s="502"/>
      <c r="BM83" s="502"/>
      <c r="BN83" s="502"/>
      <c r="BO83" s="502"/>
      <c r="BP83" s="502"/>
      <c r="BQ83" s="502"/>
      <c r="BR83" s="502"/>
      <c r="BS83" s="502"/>
      <c r="BT83" s="502"/>
      <c r="BU83" s="502"/>
      <c r="BV83" s="502"/>
      <c r="BW83" s="502"/>
      <c r="BX83" s="502"/>
      <c r="BY83" s="502"/>
      <c r="BZ83" s="502"/>
      <c r="CA83" s="502"/>
      <c r="CB83" s="502"/>
      <c r="CC83" s="502"/>
      <c r="CD83" s="502"/>
      <c r="CE83" s="502"/>
      <c r="CF83" s="502"/>
      <c r="CG83" s="502"/>
      <c r="CH83" s="502"/>
      <c r="CI83" s="502"/>
      <c r="CJ83" s="502"/>
      <c r="CK83" s="502"/>
      <c r="CL83" s="502"/>
      <c r="CM83" s="502"/>
      <c r="CN83" s="502"/>
      <c r="CO83" s="502"/>
      <c r="CP83" s="502"/>
      <c r="CQ83" s="502"/>
      <c r="CR83" s="502"/>
      <c r="CS83" s="502"/>
      <c r="CT83" s="502"/>
      <c r="CU83" s="502"/>
      <c r="CV83" s="502"/>
      <c r="CW83" s="502"/>
      <c r="CX83" s="502"/>
      <c r="CY83" s="502"/>
      <c r="CZ83" s="502"/>
      <c r="DA83" s="502"/>
      <c r="DB83" s="502"/>
      <c r="DC83" s="502"/>
    </row>
    <row r="84" spans="1:107" s="339" customFormat="1" ht="202.5" customHeight="1" thickBot="1" x14ac:dyDescent="0.3">
      <c r="A84" s="502"/>
      <c r="B84" s="1148" t="str">
        <f>"The In-Housing Technique is based on: "&amp;'In-House Techniques'!$B$2&amp; "                                                                                                                                                                                                     The Outdoor Storage Technique is based on:"&amp;'Outdoor Storage Techniques'!$B$2&amp;  "                                                                                                                                                                                                           The Field Technique is based on:"&amp;'Field Techniques'!$B$2</f>
        <v xml:space="preserve">The In-Housing Technique is based on: Danish Environmental Agency (2011): The Technology List and Danish EPA technology sheet, 23.05.2011. Teknologitype: Køling af gylle i slagtesvinestalde. In Danish. www. mst.dk/NR/rdonlyres/C52DE881-AFCB-4845-954C-F330F1B18373/0/Slagtesvin_Kølingafgylle_version3.pdf combied with information from the online system for revision of the IRPP BREF document the by the European IPPC Bureau, BAT Information System (BATIS), datasheet from Denmark: "DK_housing_cooling_2.pdf" and "Appendix_DK_housing_manurecooling.pdf"                                                                                                                                                                                                     The Outdoor Storage Technique is based on:Danish Environmental Agency (2010): Fast overdækning af gyllebeholder.  Danish EPA technology sheet (date: 11.11.2010) combined with Information from the online system for revision of the IRPP BREF document the by the European IPPC Bureau, BAT Information System (BATIS), datasheet: "Denmark. DK_storage_Tent_covering.pdf"                                                                                                                                                                                                           The Field Technique is based on:The SyreN technique was accepted on The Technology List by the Danish EPA (www.mst.dk) in Oct 2012 and verified in VERA Verification Statement (Oct 2012): (Technology: SyreN. Manufactured by: BioCover a/s.) www.veracert.eu. Further information from AgroTechnologyATLAS (2013): 1002 Slurry acidification during field spreading http://agro-technology-atlas.eu/techdescs.aspx?techgroup=1000. These information are combined with Information from the online system for revision of the IRPP BREF document the by the European IPPC Bureau, BAT Information System (BATIS). </v>
      </c>
      <c r="C84" s="1149"/>
      <c r="D84" s="1149"/>
      <c r="E84" s="1149"/>
      <c r="F84" s="1149"/>
      <c r="G84" s="1149"/>
      <c r="H84" s="1150"/>
      <c r="I84" s="502"/>
      <c r="J84" s="502"/>
      <c r="K84" s="502"/>
      <c r="L84" s="502"/>
      <c r="M84" s="502"/>
      <c r="N84" s="502"/>
      <c r="O84" s="502"/>
      <c r="P84" s="502"/>
      <c r="Q84" s="502"/>
      <c r="R84" s="502"/>
      <c r="S84" s="502"/>
      <c r="T84" s="502"/>
      <c r="U84" s="502"/>
      <c r="V84" s="502"/>
      <c r="W84" s="502"/>
      <c r="X84" s="502"/>
      <c r="Y84" s="502"/>
      <c r="Z84" s="502"/>
      <c r="AA84" s="502"/>
      <c r="AB84" s="502"/>
      <c r="AC84" s="502"/>
      <c r="AD84" s="502"/>
      <c r="AE84" s="502"/>
      <c r="AF84" s="502"/>
      <c r="AG84" s="502"/>
      <c r="AH84" s="502"/>
      <c r="AI84" s="502"/>
      <c r="AJ84" s="502"/>
      <c r="AK84" s="502"/>
      <c r="AL84" s="502"/>
      <c r="AM84" s="502"/>
      <c r="AN84" s="502"/>
      <c r="AO84" s="502"/>
      <c r="AP84" s="502"/>
      <c r="AQ84" s="502"/>
      <c r="AR84" s="502"/>
      <c r="AS84" s="502"/>
      <c r="AT84" s="502"/>
      <c r="AU84" s="502"/>
      <c r="AV84" s="502"/>
      <c r="AW84" s="502"/>
      <c r="AX84" s="502"/>
      <c r="AY84" s="502"/>
      <c r="AZ84" s="502"/>
      <c r="BA84" s="502"/>
      <c r="BB84" s="502"/>
      <c r="BC84" s="502"/>
      <c r="BD84" s="502"/>
      <c r="BE84" s="502"/>
      <c r="BF84" s="502"/>
      <c r="BG84" s="502"/>
      <c r="BH84" s="502"/>
      <c r="BI84" s="502"/>
      <c r="BJ84" s="502"/>
      <c r="BK84" s="502"/>
      <c r="BL84" s="502"/>
      <c r="BM84" s="502"/>
      <c r="BN84" s="502"/>
      <c r="BO84" s="502"/>
      <c r="BP84" s="502"/>
      <c r="BQ84" s="502"/>
      <c r="BR84" s="502"/>
      <c r="BS84" s="502"/>
      <c r="BT84" s="502"/>
      <c r="BU84" s="502"/>
      <c r="BV84" s="502"/>
      <c r="BW84" s="502"/>
      <c r="BX84" s="502"/>
      <c r="BY84" s="502"/>
      <c r="BZ84" s="502"/>
      <c r="CA84" s="502"/>
      <c r="CB84" s="502"/>
      <c r="CC84" s="502"/>
      <c r="CD84" s="502"/>
      <c r="CE84" s="502"/>
      <c r="CF84" s="502"/>
      <c r="CG84" s="502"/>
      <c r="CH84" s="502"/>
      <c r="CI84" s="502"/>
      <c r="CJ84" s="502"/>
      <c r="CK84" s="502"/>
      <c r="CL84" s="502"/>
      <c r="CM84" s="502"/>
      <c r="CN84" s="502"/>
      <c r="CO84" s="502"/>
      <c r="CP84" s="502"/>
      <c r="CQ84" s="502"/>
      <c r="CR84" s="502"/>
      <c r="CS84" s="502"/>
      <c r="CT84" s="502"/>
      <c r="CU84" s="502"/>
      <c r="CV84" s="502"/>
      <c r="CW84" s="502"/>
      <c r="CX84" s="502"/>
      <c r="CY84" s="502"/>
      <c r="CZ84" s="502"/>
      <c r="DA84" s="502"/>
      <c r="DB84" s="502"/>
      <c r="DC84" s="502"/>
    </row>
    <row r="85" spans="1:107" s="339" customFormat="1" x14ac:dyDescent="0.25">
      <c r="A85" s="502"/>
      <c r="B85" s="1078"/>
      <c r="C85" s="1078"/>
      <c r="D85" s="1078"/>
      <c r="E85" s="1078"/>
      <c r="F85" s="1078"/>
      <c r="G85" s="1078"/>
      <c r="H85" s="1078"/>
      <c r="I85" s="502"/>
      <c r="J85" s="502"/>
      <c r="K85" s="502"/>
      <c r="L85" s="502"/>
      <c r="M85" s="502"/>
      <c r="N85" s="502"/>
      <c r="O85" s="502"/>
      <c r="P85" s="502"/>
      <c r="Q85" s="502"/>
      <c r="R85" s="502"/>
      <c r="S85" s="502"/>
      <c r="T85" s="502"/>
      <c r="U85" s="502"/>
      <c r="V85" s="502"/>
      <c r="W85" s="502"/>
      <c r="X85" s="502"/>
      <c r="Y85" s="502"/>
      <c r="Z85" s="502"/>
      <c r="AA85" s="502"/>
      <c r="AB85" s="502"/>
      <c r="AC85" s="502"/>
      <c r="AD85" s="502"/>
      <c r="AE85" s="502"/>
      <c r="AF85" s="502"/>
      <c r="AG85" s="502"/>
      <c r="AH85" s="502"/>
      <c r="AI85" s="502"/>
      <c r="AJ85" s="502"/>
      <c r="AK85" s="502"/>
      <c r="AL85" s="502"/>
      <c r="AM85" s="502"/>
      <c r="AN85" s="502"/>
      <c r="AO85" s="502"/>
      <c r="AP85" s="502"/>
      <c r="AQ85" s="502"/>
      <c r="AR85" s="502"/>
      <c r="AS85" s="502"/>
      <c r="AT85" s="502"/>
      <c r="AU85" s="502"/>
      <c r="AV85" s="502"/>
      <c r="AW85" s="502"/>
      <c r="AX85" s="502"/>
      <c r="AY85" s="502"/>
      <c r="AZ85" s="502"/>
      <c r="BA85" s="502"/>
      <c r="BB85" s="502"/>
      <c r="BC85" s="502"/>
      <c r="BD85" s="502"/>
      <c r="BE85" s="502"/>
      <c r="BF85" s="502"/>
      <c r="BG85" s="502"/>
      <c r="BH85" s="502"/>
      <c r="BI85" s="502"/>
      <c r="BJ85" s="502"/>
      <c r="BK85" s="502"/>
      <c r="BL85" s="502"/>
      <c r="BM85" s="502"/>
      <c r="BN85" s="502"/>
      <c r="BO85" s="502"/>
      <c r="BP85" s="502"/>
      <c r="BQ85" s="502"/>
      <c r="BR85" s="502"/>
      <c r="BS85" s="502"/>
      <c r="BT85" s="502"/>
      <c r="BU85" s="502"/>
      <c r="BV85" s="502"/>
      <c r="BW85" s="502"/>
      <c r="BX85" s="502"/>
      <c r="BY85" s="502"/>
      <c r="BZ85" s="502"/>
      <c r="CA85" s="502"/>
      <c r="CB85" s="502"/>
      <c r="CC85" s="502"/>
      <c r="CD85" s="502"/>
      <c r="CE85" s="502"/>
      <c r="CF85" s="502"/>
      <c r="CG85" s="502"/>
      <c r="CH85" s="502"/>
      <c r="CI85" s="502"/>
      <c r="CJ85" s="502"/>
      <c r="CK85" s="502"/>
      <c r="CL85" s="502"/>
      <c r="CM85" s="502"/>
      <c r="CN85" s="502"/>
      <c r="CO85" s="502"/>
      <c r="CP85" s="502"/>
      <c r="CQ85" s="502"/>
      <c r="CR85" s="502"/>
      <c r="CS85" s="502"/>
      <c r="CT85" s="502"/>
      <c r="CU85" s="502"/>
      <c r="CV85" s="502"/>
      <c r="CW85" s="502"/>
      <c r="CX85" s="502"/>
      <c r="CY85" s="502"/>
      <c r="CZ85" s="502"/>
      <c r="DA85" s="502"/>
      <c r="DB85" s="502"/>
      <c r="DC85" s="502"/>
    </row>
    <row r="86" spans="1:107" s="339" customFormat="1" x14ac:dyDescent="0.25">
      <c r="A86" s="502"/>
      <c r="B86" s="826"/>
      <c r="C86" s="740"/>
      <c r="D86" s="740"/>
      <c r="E86" s="740"/>
      <c r="F86" s="740"/>
      <c r="G86" s="740"/>
      <c r="H86" s="740"/>
      <c r="I86" s="502"/>
      <c r="J86" s="502"/>
      <c r="K86" s="502"/>
      <c r="L86" s="502"/>
      <c r="M86" s="502"/>
      <c r="N86" s="502"/>
      <c r="O86" s="502"/>
      <c r="P86" s="502"/>
      <c r="Q86" s="502"/>
      <c r="R86" s="502"/>
      <c r="S86" s="502"/>
      <c r="T86" s="502"/>
      <c r="U86" s="502"/>
      <c r="V86" s="502"/>
      <c r="W86" s="502"/>
      <c r="X86" s="502"/>
      <c r="Y86" s="502"/>
      <c r="Z86" s="502"/>
      <c r="AA86" s="502"/>
      <c r="AB86" s="502"/>
      <c r="AC86" s="502"/>
      <c r="AD86" s="502"/>
      <c r="AE86" s="502"/>
      <c r="AF86" s="502"/>
      <c r="AG86" s="502"/>
      <c r="AH86" s="502"/>
      <c r="AI86" s="502"/>
      <c r="AJ86" s="502"/>
      <c r="AK86" s="502"/>
      <c r="AL86" s="502"/>
      <c r="AM86" s="502"/>
      <c r="AN86" s="502"/>
      <c r="AO86" s="502"/>
      <c r="AP86" s="502"/>
      <c r="AQ86" s="502"/>
      <c r="AR86" s="502"/>
      <c r="AS86" s="502"/>
      <c r="AT86" s="502"/>
      <c r="AU86" s="502"/>
      <c r="AV86" s="502"/>
      <c r="AW86" s="502"/>
      <c r="AX86" s="502"/>
      <c r="AY86" s="502"/>
      <c r="AZ86" s="502"/>
      <c r="BA86" s="502"/>
      <c r="BB86" s="502"/>
      <c r="BC86" s="502"/>
      <c r="BD86" s="502"/>
      <c r="BE86" s="502"/>
      <c r="BF86" s="502"/>
      <c r="BG86" s="502"/>
      <c r="BH86" s="502"/>
      <c r="BI86" s="502"/>
      <c r="BJ86" s="502"/>
      <c r="BK86" s="502"/>
      <c r="BL86" s="502"/>
      <c r="BM86" s="502"/>
      <c r="BN86" s="502"/>
      <c r="BO86" s="502"/>
      <c r="BP86" s="502"/>
      <c r="BQ86" s="502"/>
      <c r="BR86" s="502"/>
      <c r="BS86" s="502"/>
      <c r="BT86" s="502"/>
      <c r="BU86" s="502"/>
      <c r="BV86" s="502"/>
      <c r="BW86" s="502"/>
      <c r="BX86" s="502"/>
      <c r="BY86" s="502"/>
      <c r="BZ86" s="502"/>
      <c r="CA86" s="502"/>
      <c r="CB86" s="502"/>
      <c r="CC86" s="502"/>
      <c r="CD86" s="502"/>
      <c r="CE86" s="502"/>
      <c r="CF86" s="502"/>
      <c r="CG86" s="502"/>
      <c r="CH86" s="502"/>
      <c r="CI86" s="502"/>
      <c r="CJ86" s="502"/>
      <c r="CK86" s="502"/>
      <c r="CL86" s="502"/>
      <c r="CM86" s="502"/>
      <c r="CN86" s="502"/>
      <c r="CO86" s="502"/>
      <c r="CP86" s="502"/>
      <c r="CQ86" s="502"/>
      <c r="CR86" s="502"/>
      <c r="CS86" s="502"/>
      <c r="CT86" s="502"/>
      <c r="CU86" s="502"/>
      <c r="CV86" s="502"/>
      <c r="CW86" s="502"/>
      <c r="CX86" s="502"/>
      <c r="CY86" s="502"/>
      <c r="CZ86" s="502"/>
      <c r="DA86" s="502"/>
      <c r="DB86" s="502"/>
      <c r="DC86" s="502"/>
    </row>
    <row r="87" spans="1:107" ht="16.5" x14ac:dyDescent="0.25">
      <c r="B87" s="818" t="s">
        <v>366</v>
      </c>
      <c r="C87" s="502"/>
      <c r="D87" s="502"/>
      <c r="E87" s="502"/>
      <c r="F87" s="502"/>
      <c r="G87" s="502"/>
      <c r="H87" s="502"/>
    </row>
    <row r="88" spans="1:107" x14ac:dyDescent="0.25">
      <c r="B88" s="502"/>
      <c r="C88" s="502"/>
      <c r="D88" s="502"/>
      <c r="E88" s="502"/>
      <c r="F88" s="502"/>
      <c r="G88" s="502"/>
      <c r="H88" s="502"/>
    </row>
    <row r="89" spans="1:107" ht="18.75" thickBot="1" x14ac:dyDescent="0.3">
      <c r="B89" s="818" t="s">
        <v>915</v>
      </c>
      <c r="C89" s="810"/>
      <c r="D89" s="810"/>
      <c r="E89" s="810"/>
      <c r="F89" s="810"/>
      <c r="G89" s="810"/>
      <c r="H89" s="810"/>
    </row>
    <row r="90" spans="1:107" s="305" customFormat="1" ht="13.5" x14ac:dyDescent="0.25">
      <c r="A90" s="792"/>
      <c r="B90" s="838" t="s">
        <v>365</v>
      </c>
      <c r="C90" s="839"/>
      <c r="D90" s="839" t="s">
        <v>2</v>
      </c>
      <c r="E90" s="840" t="s">
        <v>24</v>
      </c>
      <c r="F90" s="840" t="s">
        <v>282</v>
      </c>
      <c r="G90" s="840" t="s">
        <v>281</v>
      </c>
      <c r="H90" s="841" t="s">
        <v>283</v>
      </c>
      <c r="I90" s="792"/>
      <c r="J90" s="792"/>
      <c r="K90" s="792"/>
      <c r="L90" s="792"/>
      <c r="M90" s="792"/>
      <c r="N90" s="792"/>
      <c r="O90" s="792"/>
      <c r="P90" s="792"/>
      <c r="Q90" s="792"/>
      <c r="R90" s="792"/>
      <c r="S90" s="792"/>
      <c r="T90" s="792"/>
      <c r="U90" s="792"/>
      <c r="V90" s="792"/>
      <c r="W90" s="792"/>
      <c r="X90" s="792"/>
      <c r="Y90" s="792"/>
      <c r="Z90" s="792"/>
      <c r="AA90" s="792"/>
      <c r="AB90" s="792"/>
      <c r="AC90" s="792"/>
      <c r="AD90" s="792"/>
      <c r="AE90" s="792"/>
      <c r="AF90" s="792"/>
      <c r="AG90" s="792"/>
      <c r="AH90" s="792"/>
      <c r="AI90" s="792"/>
      <c r="AJ90" s="792"/>
      <c r="AK90" s="792"/>
      <c r="AL90" s="792"/>
      <c r="AM90" s="792"/>
      <c r="AN90" s="792"/>
      <c r="AO90" s="792"/>
      <c r="AP90" s="792"/>
      <c r="AQ90" s="792"/>
      <c r="AR90" s="792"/>
      <c r="AS90" s="792"/>
      <c r="AT90" s="792"/>
      <c r="AU90" s="792"/>
      <c r="AV90" s="792"/>
      <c r="AW90" s="792"/>
      <c r="AX90" s="792"/>
      <c r="AY90" s="792"/>
      <c r="AZ90" s="792"/>
      <c r="BA90" s="792"/>
      <c r="BB90" s="792"/>
      <c r="BC90" s="792"/>
      <c r="BD90" s="792"/>
      <c r="BE90" s="792"/>
      <c r="BF90" s="792"/>
      <c r="BG90" s="792"/>
      <c r="BH90" s="792"/>
      <c r="BI90" s="792"/>
      <c r="BJ90" s="792"/>
      <c r="BK90" s="792"/>
      <c r="BL90" s="792"/>
      <c r="BM90" s="792"/>
      <c r="BN90" s="792"/>
      <c r="BO90" s="792"/>
      <c r="BP90" s="792"/>
      <c r="BQ90" s="792"/>
      <c r="BR90" s="792"/>
      <c r="BS90" s="792"/>
      <c r="BT90" s="792"/>
      <c r="BU90" s="792"/>
      <c r="BV90" s="792"/>
      <c r="BW90" s="792"/>
      <c r="BX90" s="792"/>
      <c r="BY90" s="792"/>
      <c r="BZ90" s="792"/>
      <c r="CA90" s="792"/>
      <c r="CB90" s="792"/>
      <c r="CC90" s="792"/>
      <c r="CD90" s="792"/>
      <c r="CE90" s="792"/>
      <c r="CF90" s="792"/>
      <c r="CG90" s="792"/>
      <c r="CH90" s="792"/>
      <c r="CI90" s="792"/>
      <c r="CJ90" s="792"/>
      <c r="CK90" s="792"/>
      <c r="CL90" s="792"/>
      <c r="CM90" s="792"/>
      <c r="CN90" s="792"/>
      <c r="CO90" s="792"/>
      <c r="CP90" s="792"/>
      <c r="CQ90" s="792"/>
      <c r="CR90" s="792"/>
      <c r="CS90" s="792"/>
      <c r="CT90" s="792"/>
      <c r="CU90" s="792"/>
      <c r="CV90" s="792"/>
      <c r="CW90" s="792"/>
      <c r="CX90" s="792"/>
      <c r="CY90" s="792"/>
      <c r="CZ90" s="792"/>
      <c r="DA90" s="792"/>
      <c r="DB90" s="792"/>
      <c r="DC90" s="792"/>
    </row>
    <row r="91" spans="1:107" s="305" customFormat="1" ht="12" x14ac:dyDescent="0.2">
      <c r="A91" s="792"/>
      <c r="B91" s="842" t="s">
        <v>914</v>
      </c>
      <c r="C91" s="810"/>
      <c r="D91" s="843" t="s">
        <v>31</v>
      </c>
      <c r="E91" s="844">
        <f>+'Calculations - Techn'!E69</f>
        <v>9.969000279350063E-4</v>
      </c>
      <c r="F91" s="844">
        <f>+'Calculations - Techn'!F69</f>
        <v>9.4806312769010032E-5</v>
      </c>
      <c r="G91" s="844">
        <f>+'Calculations - Techn'!G69</f>
        <v>0</v>
      </c>
      <c r="H91" s="845">
        <f>+'Calculations - Techn'!H69</f>
        <v>1.0917063407040162E-3</v>
      </c>
      <c r="I91" s="792"/>
      <c r="J91" s="792"/>
      <c r="K91" s="792"/>
      <c r="L91" s="792"/>
      <c r="M91" s="792"/>
      <c r="N91" s="792"/>
      <c r="O91" s="792"/>
      <c r="P91" s="792"/>
      <c r="Q91" s="792"/>
      <c r="R91" s="792"/>
      <c r="S91" s="792"/>
      <c r="T91" s="792"/>
      <c r="U91" s="792"/>
      <c r="V91" s="792"/>
      <c r="W91" s="792"/>
      <c r="X91" s="792"/>
      <c r="Y91" s="792"/>
      <c r="Z91" s="792"/>
      <c r="AA91" s="792"/>
      <c r="AB91" s="792"/>
      <c r="AC91" s="792"/>
      <c r="AD91" s="792"/>
      <c r="AE91" s="792"/>
      <c r="AF91" s="792"/>
      <c r="AG91" s="792"/>
      <c r="AH91" s="792"/>
      <c r="AI91" s="792"/>
      <c r="AJ91" s="792"/>
      <c r="AK91" s="792"/>
      <c r="AL91" s="792"/>
      <c r="AM91" s="792"/>
      <c r="AN91" s="792"/>
      <c r="AO91" s="792"/>
      <c r="AP91" s="792"/>
      <c r="AQ91" s="792"/>
      <c r="AR91" s="792"/>
      <c r="AS91" s="792"/>
      <c r="AT91" s="792"/>
      <c r="AU91" s="792"/>
      <c r="AV91" s="792"/>
      <c r="AW91" s="792"/>
      <c r="AX91" s="792"/>
      <c r="AY91" s="792"/>
      <c r="AZ91" s="792"/>
      <c r="BA91" s="792"/>
      <c r="BB91" s="792"/>
      <c r="BC91" s="792"/>
      <c r="BD91" s="792"/>
      <c r="BE91" s="792"/>
      <c r="BF91" s="792"/>
      <c r="BG91" s="792"/>
      <c r="BH91" s="792"/>
      <c r="BI91" s="792"/>
      <c r="BJ91" s="792"/>
      <c r="BK91" s="792"/>
      <c r="BL91" s="792"/>
      <c r="BM91" s="792"/>
      <c r="BN91" s="792"/>
      <c r="BO91" s="792"/>
      <c r="BP91" s="792"/>
      <c r="BQ91" s="792"/>
      <c r="BR91" s="792"/>
      <c r="BS91" s="792"/>
      <c r="BT91" s="792"/>
      <c r="BU91" s="792"/>
      <c r="BV91" s="792"/>
      <c r="BW91" s="792"/>
      <c r="BX91" s="792"/>
      <c r="BY91" s="792"/>
      <c r="BZ91" s="792"/>
      <c r="CA91" s="792"/>
      <c r="CB91" s="792"/>
      <c r="CC91" s="792"/>
      <c r="CD91" s="792"/>
      <c r="CE91" s="792"/>
      <c r="CF91" s="792"/>
      <c r="CG91" s="792"/>
      <c r="CH91" s="792"/>
      <c r="CI91" s="792"/>
      <c r="CJ91" s="792"/>
      <c r="CK91" s="792"/>
      <c r="CL91" s="792"/>
      <c r="CM91" s="792"/>
      <c r="CN91" s="792"/>
      <c r="CO91" s="792"/>
      <c r="CP91" s="792"/>
      <c r="CQ91" s="792"/>
      <c r="CR91" s="792"/>
      <c r="CS91" s="792"/>
      <c r="CT91" s="792"/>
      <c r="CU91" s="792"/>
      <c r="CV91" s="792"/>
      <c r="CW91" s="792"/>
      <c r="CX91" s="792"/>
      <c r="CY91" s="792"/>
      <c r="CZ91" s="792"/>
      <c r="DA91" s="792"/>
      <c r="DB91" s="792"/>
      <c r="DC91" s="792"/>
    </row>
    <row r="92" spans="1:107" s="305" customFormat="1" ht="12" x14ac:dyDescent="0.2">
      <c r="A92" s="792"/>
      <c r="B92" s="842" t="s">
        <v>913</v>
      </c>
      <c r="C92" s="810"/>
      <c r="D92" s="843" t="s">
        <v>31</v>
      </c>
      <c r="E92" s="846">
        <f>+'Calculations - Techn'!E70</f>
        <v>0.49979999999999997</v>
      </c>
      <c r="F92" s="846">
        <f>+'Calculations - Techn'!F70</f>
        <v>5.1360037500000011E-2</v>
      </c>
      <c r="G92" s="846">
        <f>+'Calculations - Techn'!G70</f>
        <v>0.39815309098833779</v>
      </c>
      <c r="H92" s="847">
        <f>+'Calculations - Techn'!H70</f>
        <v>0.94931312848833782</v>
      </c>
      <c r="I92" s="792"/>
      <c r="J92" s="792"/>
      <c r="K92" s="792"/>
      <c r="L92" s="792"/>
      <c r="M92" s="792"/>
      <c r="N92" s="792"/>
      <c r="O92" s="792"/>
      <c r="P92" s="792"/>
      <c r="Q92" s="792"/>
      <c r="R92" s="792"/>
      <c r="S92" s="792"/>
      <c r="T92" s="792"/>
      <c r="U92" s="792"/>
      <c r="V92" s="792"/>
      <c r="W92" s="792"/>
      <c r="X92" s="792"/>
      <c r="Y92" s="792"/>
      <c r="Z92" s="792"/>
      <c r="AA92" s="792"/>
      <c r="AB92" s="792"/>
      <c r="AC92" s="792"/>
      <c r="AD92" s="792"/>
      <c r="AE92" s="792"/>
      <c r="AF92" s="792"/>
      <c r="AG92" s="792"/>
      <c r="AH92" s="792"/>
      <c r="AI92" s="792"/>
      <c r="AJ92" s="792"/>
      <c r="AK92" s="792"/>
      <c r="AL92" s="792"/>
      <c r="AM92" s="792"/>
      <c r="AN92" s="792"/>
      <c r="AO92" s="792"/>
      <c r="AP92" s="792"/>
      <c r="AQ92" s="792"/>
      <c r="AR92" s="792"/>
      <c r="AS92" s="792"/>
      <c r="AT92" s="792"/>
      <c r="AU92" s="792"/>
      <c r="AV92" s="792"/>
      <c r="AW92" s="792"/>
      <c r="AX92" s="792"/>
      <c r="AY92" s="792"/>
      <c r="AZ92" s="792"/>
      <c r="BA92" s="792"/>
      <c r="BB92" s="792"/>
      <c r="BC92" s="792"/>
      <c r="BD92" s="792"/>
      <c r="BE92" s="792"/>
      <c r="BF92" s="792"/>
      <c r="BG92" s="792"/>
      <c r="BH92" s="792"/>
      <c r="BI92" s="792"/>
      <c r="BJ92" s="792"/>
      <c r="BK92" s="792"/>
      <c r="BL92" s="792"/>
      <c r="BM92" s="792"/>
      <c r="BN92" s="792"/>
      <c r="BO92" s="792"/>
      <c r="BP92" s="792"/>
      <c r="BQ92" s="792"/>
      <c r="BR92" s="792"/>
      <c r="BS92" s="792"/>
      <c r="BT92" s="792"/>
      <c r="BU92" s="792"/>
      <c r="BV92" s="792"/>
      <c r="BW92" s="792"/>
      <c r="BX92" s="792"/>
      <c r="BY92" s="792"/>
      <c r="BZ92" s="792"/>
      <c r="CA92" s="792"/>
      <c r="CB92" s="792"/>
      <c r="CC92" s="792"/>
      <c r="CD92" s="792"/>
      <c r="CE92" s="792"/>
      <c r="CF92" s="792"/>
      <c r="CG92" s="792"/>
      <c r="CH92" s="792"/>
      <c r="CI92" s="792"/>
      <c r="CJ92" s="792"/>
      <c r="CK92" s="792"/>
      <c r="CL92" s="792"/>
      <c r="CM92" s="792"/>
      <c r="CN92" s="792"/>
      <c r="CO92" s="792"/>
      <c r="CP92" s="792"/>
      <c r="CQ92" s="792"/>
      <c r="CR92" s="792"/>
      <c r="CS92" s="792"/>
      <c r="CT92" s="792"/>
      <c r="CU92" s="792"/>
      <c r="CV92" s="792"/>
      <c r="CW92" s="792"/>
      <c r="CX92" s="792"/>
      <c r="CY92" s="792"/>
      <c r="CZ92" s="792"/>
      <c r="DA92" s="792"/>
      <c r="DB92" s="792"/>
      <c r="DC92" s="792"/>
    </row>
    <row r="93" spans="1:107" s="305" customFormat="1" ht="12" x14ac:dyDescent="0.2">
      <c r="A93" s="792"/>
      <c r="B93" s="842" t="s">
        <v>304</v>
      </c>
      <c r="C93" s="810"/>
      <c r="D93" s="843" t="s">
        <v>31</v>
      </c>
      <c r="E93" s="844">
        <f>+'Calculations - Techn'!E71</f>
        <v>0</v>
      </c>
      <c r="F93" s="810">
        <f>+'Calculations - Techn'!F71</f>
        <v>0</v>
      </c>
      <c r="G93" s="846">
        <f>+'Calculations - Techn'!G71</f>
        <v>-2.9669615777535373E-2</v>
      </c>
      <c r="H93" s="847">
        <f>+'Calculations - Techn'!H71</f>
        <v>-2.9669615777535373E-2</v>
      </c>
      <c r="I93" s="792"/>
      <c r="J93" s="792"/>
      <c r="K93" s="792"/>
      <c r="L93" s="792"/>
      <c r="M93" s="792"/>
      <c r="N93" s="792"/>
      <c r="O93" s="792"/>
      <c r="P93" s="792"/>
      <c r="Q93" s="792"/>
      <c r="R93" s="792"/>
      <c r="S93" s="792"/>
      <c r="T93" s="792"/>
      <c r="U93" s="792"/>
      <c r="V93" s="792"/>
      <c r="W93" s="792"/>
      <c r="X93" s="792"/>
      <c r="Y93" s="792"/>
      <c r="Z93" s="792"/>
      <c r="AA93" s="792"/>
      <c r="AB93" s="792"/>
      <c r="AC93" s="792"/>
      <c r="AD93" s="792"/>
      <c r="AE93" s="792"/>
      <c r="AF93" s="792"/>
      <c r="AG93" s="792"/>
      <c r="AH93" s="792"/>
      <c r="AI93" s="792"/>
      <c r="AJ93" s="792"/>
      <c r="AK93" s="792"/>
      <c r="AL93" s="792"/>
      <c r="AM93" s="792"/>
      <c r="AN93" s="792"/>
      <c r="AO93" s="792"/>
      <c r="AP93" s="792"/>
      <c r="AQ93" s="792"/>
      <c r="AR93" s="792"/>
      <c r="AS93" s="792"/>
      <c r="AT93" s="792"/>
      <c r="AU93" s="792"/>
      <c r="AV93" s="792"/>
      <c r="AW93" s="792"/>
      <c r="AX93" s="792"/>
      <c r="AY93" s="792"/>
      <c r="AZ93" s="792"/>
      <c r="BA93" s="792"/>
      <c r="BB93" s="792"/>
      <c r="BC93" s="792"/>
      <c r="BD93" s="792"/>
      <c r="BE93" s="792"/>
      <c r="BF93" s="792"/>
      <c r="BG93" s="792"/>
      <c r="BH93" s="792"/>
      <c r="BI93" s="792"/>
      <c r="BJ93" s="792"/>
      <c r="BK93" s="792"/>
      <c r="BL93" s="792"/>
      <c r="BM93" s="792"/>
      <c r="BN93" s="792"/>
      <c r="BO93" s="792"/>
      <c r="BP93" s="792"/>
      <c r="BQ93" s="792"/>
      <c r="BR93" s="792"/>
      <c r="BS93" s="792"/>
      <c r="BT93" s="792"/>
      <c r="BU93" s="792"/>
      <c r="BV93" s="792"/>
      <c r="BW93" s="792"/>
      <c r="BX93" s="792"/>
      <c r="BY93" s="792"/>
      <c r="BZ93" s="792"/>
      <c r="CA93" s="792"/>
      <c r="CB93" s="792"/>
      <c r="CC93" s="792"/>
      <c r="CD93" s="792"/>
      <c r="CE93" s="792"/>
      <c r="CF93" s="792"/>
      <c r="CG93" s="792"/>
      <c r="CH93" s="792"/>
      <c r="CI93" s="792"/>
      <c r="CJ93" s="792"/>
      <c r="CK93" s="792"/>
      <c r="CL93" s="792"/>
      <c r="CM93" s="792"/>
      <c r="CN93" s="792"/>
      <c r="CO93" s="792"/>
      <c r="CP93" s="792"/>
      <c r="CQ93" s="792"/>
      <c r="CR93" s="792"/>
      <c r="CS93" s="792"/>
      <c r="CT93" s="792"/>
      <c r="CU93" s="792"/>
      <c r="CV93" s="792"/>
      <c r="CW93" s="792"/>
      <c r="CX93" s="792"/>
      <c r="CY93" s="792"/>
      <c r="CZ93" s="792"/>
      <c r="DA93" s="792"/>
      <c r="DB93" s="792"/>
      <c r="DC93" s="792"/>
    </row>
    <row r="94" spans="1:107" s="305" customFormat="1" ht="13.5" x14ac:dyDescent="0.25">
      <c r="A94" s="792"/>
      <c r="B94" s="309" t="s">
        <v>364</v>
      </c>
      <c r="C94" s="312"/>
      <c r="D94" s="308" t="s">
        <v>31</v>
      </c>
      <c r="E94" s="438">
        <f>+'Calculations - Techn'!E72</f>
        <v>0.50079690002793498</v>
      </c>
      <c r="F94" s="438">
        <f>+'Calculations - Techn'!F72</f>
        <v>5.1454843812769019E-2</v>
      </c>
      <c r="G94" s="438">
        <f>+'Calculations - Techn'!G72</f>
        <v>0.36848347521080244</v>
      </c>
      <c r="H94" s="437">
        <f>+'Calculations - Techn'!H72</f>
        <v>0.92073521905150646</v>
      </c>
      <c r="I94" s="792"/>
      <c r="J94" s="792"/>
      <c r="K94" s="792"/>
      <c r="L94" s="792"/>
      <c r="M94" s="792"/>
      <c r="N94" s="792"/>
      <c r="O94" s="792"/>
      <c r="P94" s="792"/>
      <c r="Q94" s="792"/>
      <c r="R94" s="792"/>
      <c r="S94" s="792"/>
      <c r="T94" s="792"/>
      <c r="U94" s="792"/>
      <c r="V94" s="792"/>
      <c r="W94" s="792"/>
      <c r="X94" s="792"/>
      <c r="Y94" s="792"/>
      <c r="Z94" s="792"/>
      <c r="AA94" s="792"/>
      <c r="AB94" s="792"/>
      <c r="AC94" s="792"/>
      <c r="AD94" s="792"/>
      <c r="AE94" s="792"/>
      <c r="AF94" s="792"/>
      <c r="AG94" s="792"/>
      <c r="AH94" s="792"/>
      <c r="AI94" s="792"/>
      <c r="AJ94" s="792"/>
      <c r="AK94" s="792"/>
      <c r="AL94" s="792"/>
      <c r="AM94" s="792"/>
      <c r="AN94" s="792"/>
      <c r="AO94" s="792"/>
      <c r="AP94" s="792"/>
      <c r="AQ94" s="792"/>
      <c r="AR94" s="792"/>
      <c r="AS94" s="792"/>
      <c r="AT94" s="792"/>
      <c r="AU94" s="792"/>
      <c r="AV94" s="792"/>
      <c r="AW94" s="792"/>
      <c r="AX94" s="792"/>
      <c r="AY94" s="792"/>
      <c r="AZ94" s="792"/>
      <c r="BA94" s="792"/>
      <c r="BB94" s="792"/>
      <c r="BC94" s="792"/>
      <c r="BD94" s="792"/>
      <c r="BE94" s="792"/>
      <c r="BF94" s="792"/>
      <c r="BG94" s="792"/>
      <c r="BH94" s="792"/>
      <c r="BI94" s="792"/>
      <c r="BJ94" s="792"/>
      <c r="BK94" s="792"/>
      <c r="BL94" s="792"/>
      <c r="BM94" s="792"/>
      <c r="BN94" s="792"/>
      <c r="BO94" s="792"/>
      <c r="BP94" s="792"/>
      <c r="BQ94" s="792"/>
      <c r="BR94" s="792"/>
      <c r="BS94" s="792"/>
      <c r="BT94" s="792"/>
      <c r="BU94" s="792"/>
      <c r="BV94" s="792"/>
      <c r="BW94" s="792"/>
      <c r="BX94" s="792"/>
      <c r="BY94" s="792"/>
      <c r="BZ94" s="792"/>
      <c r="CA94" s="792"/>
      <c r="CB94" s="792"/>
      <c r="CC94" s="792"/>
      <c r="CD94" s="792"/>
      <c r="CE94" s="792"/>
      <c r="CF94" s="792"/>
      <c r="CG94" s="792"/>
      <c r="CH94" s="792"/>
      <c r="CI94" s="792"/>
      <c r="CJ94" s="792"/>
      <c r="CK94" s="792"/>
      <c r="CL94" s="792"/>
      <c r="CM94" s="792"/>
      <c r="CN94" s="792"/>
      <c r="CO94" s="792"/>
      <c r="CP94" s="792"/>
      <c r="CQ94" s="792"/>
      <c r="CR94" s="792"/>
      <c r="CS94" s="792"/>
      <c r="CT94" s="792"/>
      <c r="CU94" s="792"/>
      <c r="CV94" s="792"/>
      <c r="CW94" s="792"/>
      <c r="CX94" s="792"/>
      <c r="CY94" s="792"/>
      <c r="CZ94" s="792"/>
      <c r="DA94" s="792"/>
      <c r="DB94" s="792"/>
      <c r="DC94" s="792"/>
    </row>
    <row r="95" spans="1:107" s="305" customFormat="1" ht="13.5" x14ac:dyDescent="0.25">
      <c r="A95" s="792"/>
      <c r="B95" s="309" t="s">
        <v>439</v>
      </c>
      <c r="C95" s="312"/>
      <c r="D95" s="308" t="s">
        <v>31</v>
      </c>
      <c r="E95" s="438">
        <f>'Calculations - Ref system'!E68</f>
        <v>0.7142912292216439</v>
      </c>
      <c r="F95" s="438">
        <f>'Calculations - Ref system'!F68</f>
        <v>9.8798631312769017E-2</v>
      </c>
      <c r="G95" s="438">
        <f>'Calculations - Ref system'!G68</f>
        <v>0.60333187690617529</v>
      </c>
      <c r="H95" s="437">
        <f>'Calculations - Ref system'!H68</f>
        <v>1.4164217374405881</v>
      </c>
      <c r="I95" s="792"/>
      <c r="J95" s="792"/>
      <c r="K95" s="792"/>
      <c r="L95" s="792"/>
      <c r="M95" s="792"/>
      <c r="N95" s="792"/>
      <c r="O95" s="792"/>
      <c r="P95" s="792"/>
      <c r="Q95" s="792"/>
      <c r="R95" s="792"/>
      <c r="S95" s="792"/>
      <c r="T95" s="792"/>
      <c r="U95" s="792"/>
      <c r="V95" s="792"/>
      <c r="W95" s="792"/>
      <c r="X95" s="792"/>
      <c r="Y95" s="792"/>
      <c r="Z95" s="792"/>
      <c r="AA95" s="792"/>
      <c r="AB95" s="792"/>
      <c r="AC95" s="792"/>
      <c r="AD95" s="792"/>
      <c r="AE95" s="792"/>
      <c r="AF95" s="792"/>
      <c r="AG95" s="792"/>
      <c r="AH95" s="792"/>
      <c r="AI95" s="792"/>
      <c r="AJ95" s="792"/>
      <c r="AK95" s="792"/>
      <c r="AL95" s="792"/>
      <c r="AM95" s="792"/>
      <c r="AN95" s="792"/>
      <c r="AO95" s="792"/>
      <c r="AP95" s="792"/>
      <c r="AQ95" s="792"/>
      <c r="AR95" s="792"/>
      <c r="AS95" s="792"/>
      <c r="AT95" s="792"/>
      <c r="AU95" s="792"/>
      <c r="AV95" s="792"/>
      <c r="AW95" s="792"/>
      <c r="AX95" s="792"/>
      <c r="AY95" s="792"/>
      <c r="AZ95" s="792"/>
      <c r="BA95" s="792"/>
      <c r="BB95" s="792"/>
      <c r="BC95" s="792"/>
      <c r="BD95" s="792"/>
      <c r="BE95" s="792"/>
      <c r="BF95" s="792"/>
      <c r="BG95" s="792"/>
      <c r="BH95" s="792"/>
      <c r="BI95" s="792"/>
      <c r="BJ95" s="792"/>
      <c r="BK95" s="792"/>
      <c r="BL95" s="792"/>
      <c r="BM95" s="792"/>
      <c r="BN95" s="792"/>
      <c r="BO95" s="792"/>
      <c r="BP95" s="792"/>
      <c r="BQ95" s="792"/>
      <c r="BR95" s="792"/>
      <c r="BS95" s="792"/>
      <c r="BT95" s="792"/>
      <c r="BU95" s="792"/>
      <c r="BV95" s="792"/>
      <c r="BW95" s="792"/>
      <c r="BX95" s="792"/>
      <c r="BY95" s="792"/>
      <c r="BZ95" s="792"/>
      <c r="CA95" s="792"/>
      <c r="CB95" s="792"/>
      <c r="CC95" s="792"/>
      <c r="CD95" s="792"/>
      <c r="CE95" s="792"/>
      <c r="CF95" s="792"/>
      <c r="CG95" s="792"/>
      <c r="CH95" s="792"/>
      <c r="CI95" s="792"/>
      <c r="CJ95" s="792"/>
      <c r="CK95" s="792"/>
      <c r="CL95" s="792"/>
      <c r="CM95" s="792"/>
      <c r="CN95" s="792"/>
      <c r="CO95" s="792"/>
      <c r="CP95" s="792"/>
      <c r="CQ95" s="792"/>
      <c r="CR95" s="792"/>
      <c r="CS95" s="792"/>
      <c r="CT95" s="792"/>
      <c r="CU95" s="792"/>
      <c r="CV95" s="792"/>
      <c r="CW95" s="792"/>
      <c r="CX95" s="792"/>
      <c r="CY95" s="792"/>
      <c r="CZ95" s="792"/>
      <c r="DA95" s="792"/>
      <c r="DB95" s="792"/>
      <c r="DC95" s="792"/>
    </row>
    <row r="96" spans="1:107" s="305" customFormat="1" ht="12" x14ac:dyDescent="0.2">
      <c r="A96" s="792"/>
      <c r="B96" s="309" t="s">
        <v>319</v>
      </c>
      <c r="C96" s="312"/>
      <c r="D96" s="308" t="s">
        <v>31</v>
      </c>
      <c r="E96" s="438">
        <f>E94-E95</f>
        <v>-0.21349432919370892</v>
      </c>
      <c r="F96" s="438">
        <f>F94-F95</f>
        <v>-4.7343787499999998E-2</v>
      </c>
      <c r="G96" s="438">
        <f>G94-G95</f>
        <v>-0.23484840169537285</v>
      </c>
      <c r="H96" s="437">
        <f>H94-H95</f>
        <v>-0.49568651838908162</v>
      </c>
      <c r="I96" s="792"/>
      <c r="J96" s="792"/>
      <c r="K96" s="792"/>
      <c r="L96" s="792"/>
      <c r="M96" s="792"/>
      <c r="N96" s="792"/>
      <c r="O96" s="792"/>
      <c r="P96" s="792"/>
      <c r="Q96" s="792"/>
      <c r="R96" s="792"/>
      <c r="S96" s="792"/>
      <c r="T96" s="792"/>
      <c r="U96" s="792"/>
      <c r="V96" s="792"/>
      <c r="W96" s="792"/>
      <c r="X96" s="792"/>
      <c r="Y96" s="792"/>
      <c r="Z96" s="792"/>
      <c r="AA96" s="792"/>
      <c r="AB96" s="792"/>
      <c r="AC96" s="792"/>
      <c r="AD96" s="792"/>
      <c r="AE96" s="792"/>
      <c r="AF96" s="792"/>
      <c r="AG96" s="792"/>
      <c r="AH96" s="792"/>
      <c r="AI96" s="792"/>
      <c r="AJ96" s="792"/>
      <c r="AK96" s="792"/>
      <c r="AL96" s="792"/>
      <c r="AM96" s="792"/>
      <c r="AN96" s="792"/>
      <c r="AO96" s="792"/>
      <c r="AP96" s="792"/>
      <c r="AQ96" s="792"/>
      <c r="AR96" s="792"/>
      <c r="AS96" s="792"/>
      <c r="AT96" s="792"/>
      <c r="AU96" s="792"/>
      <c r="AV96" s="792"/>
      <c r="AW96" s="792"/>
      <c r="AX96" s="792"/>
      <c r="AY96" s="792"/>
      <c r="AZ96" s="792"/>
      <c r="BA96" s="792"/>
      <c r="BB96" s="792"/>
      <c r="BC96" s="792"/>
      <c r="BD96" s="792"/>
      <c r="BE96" s="792"/>
      <c r="BF96" s="792"/>
      <c r="BG96" s="792"/>
      <c r="BH96" s="792"/>
      <c r="BI96" s="792"/>
      <c r="BJ96" s="792"/>
      <c r="BK96" s="792"/>
      <c r="BL96" s="792"/>
      <c r="BM96" s="792"/>
      <c r="BN96" s="792"/>
      <c r="BO96" s="792"/>
      <c r="BP96" s="792"/>
      <c r="BQ96" s="792"/>
      <c r="BR96" s="792"/>
      <c r="BS96" s="792"/>
      <c r="BT96" s="792"/>
      <c r="BU96" s="792"/>
      <c r="BV96" s="792"/>
      <c r="BW96" s="792"/>
      <c r="BX96" s="792"/>
      <c r="BY96" s="792"/>
      <c r="BZ96" s="792"/>
      <c r="CA96" s="792"/>
      <c r="CB96" s="792"/>
      <c r="CC96" s="792"/>
      <c r="CD96" s="792"/>
      <c r="CE96" s="792"/>
      <c r="CF96" s="792"/>
      <c r="CG96" s="792"/>
      <c r="CH96" s="792"/>
      <c r="CI96" s="792"/>
      <c r="CJ96" s="792"/>
      <c r="CK96" s="792"/>
      <c r="CL96" s="792"/>
      <c r="CM96" s="792"/>
      <c r="CN96" s="792"/>
      <c r="CO96" s="792"/>
      <c r="CP96" s="792"/>
      <c r="CQ96" s="792"/>
      <c r="CR96" s="792"/>
      <c r="CS96" s="792"/>
      <c r="CT96" s="792"/>
      <c r="CU96" s="792"/>
      <c r="CV96" s="792"/>
      <c r="CW96" s="792"/>
      <c r="CX96" s="792"/>
      <c r="CY96" s="792"/>
      <c r="CZ96" s="792"/>
      <c r="DA96" s="792"/>
      <c r="DB96" s="792"/>
      <c r="DC96" s="792"/>
    </row>
    <row r="97" spans="1:107" s="305" customFormat="1" ht="12.75" thickBot="1" x14ac:dyDescent="0.25">
      <c r="A97" s="792"/>
      <c r="B97" s="853" t="s">
        <v>319</v>
      </c>
      <c r="C97" s="896"/>
      <c r="D97" s="854" t="s">
        <v>272</v>
      </c>
      <c r="E97" s="855">
        <f>+'Calculations - Techn'!E73</f>
        <v>-29.888975317021828</v>
      </c>
      <c r="F97" s="855">
        <f>+'Calculations - Techn'!F73</f>
        <v>-47.919477092878665</v>
      </c>
      <c r="G97" s="855">
        <f>+'Calculations - Techn'!G73</f>
        <v>-38.925243416550714</v>
      </c>
      <c r="H97" s="856">
        <f>+'Calculations - Techn'!H73</f>
        <v>-34.995687039141707</v>
      </c>
      <c r="I97" s="792"/>
      <c r="J97" s="792"/>
      <c r="K97" s="792"/>
      <c r="L97" s="792"/>
      <c r="M97" s="792"/>
      <c r="N97" s="792"/>
      <c r="O97" s="792"/>
      <c r="P97" s="792"/>
      <c r="Q97" s="792"/>
      <c r="R97" s="792"/>
      <c r="S97" s="792"/>
      <c r="T97" s="792"/>
      <c r="U97" s="792"/>
      <c r="V97" s="792"/>
      <c r="W97" s="792"/>
      <c r="X97" s="792"/>
      <c r="Y97" s="792"/>
      <c r="Z97" s="792"/>
      <c r="AA97" s="792"/>
      <c r="AB97" s="792"/>
      <c r="AC97" s="792"/>
      <c r="AD97" s="792"/>
      <c r="AE97" s="792"/>
      <c r="AF97" s="792"/>
      <c r="AG97" s="792"/>
      <c r="AH97" s="792"/>
      <c r="AI97" s="792"/>
      <c r="AJ97" s="792"/>
      <c r="AK97" s="792"/>
      <c r="AL97" s="792"/>
      <c r="AM97" s="792"/>
      <c r="AN97" s="792"/>
      <c r="AO97" s="792"/>
      <c r="AP97" s="792"/>
      <c r="AQ97" s="792"/>
      <c r="AR97" s="792"/>
      <c r="AS97" s="792"/>
      <c r="AT97" s="792"/>
      <c r="AU97" s="792"/>
      <c r="AV97" s="792"/>
      <c r="AW97" s="792"/>
      <c r="AX97" s="792"/>
      <c r="AY97" s="792"/>
      <c r="AZ97" s="792"/>
      <c r="BA97" s="792"/>
      <c r="BB97" s="792"/>
      <c r="BC97" s="792"/>
      <c r="BD97" s="792"/>
      <c r="BE97" s="792"/>
      <c r="BF97" s="792"/>
      <c r="BG97" s="792"/>
      <c r="BH97" s="792"/>
      <c r="BI97" s="792"/>
      <c r="BJ97" s="792"/>
      <c r="BK97" s="792"/>
      <c r="BL97" s="792"/>
      <c r="BM97" s="792"/>
      <c r="BN97" s="792"/>
      <c r="BO97" s="792"/>
      <c r="BP97" s="792"/>
      <c r="BQ97" s="792"/>
      <c r="BR97" s="792"/>
      <c r="BS97" s="792"/>
      <c r="BT97" s="792"/>
      <c r="BU97" s="792"/>
      <c r="BV97" s="792"/>
      <c r="BW97" s="792"/>
      <c r="BX97" s="792"/>
      <c r="BY97" s="792"/>
      <c r="BZ97" s="792"/>
      <c r="CA97" s="792"/>
      <c r="CB97" s="792"/>
      <c r="CC97" s="792"/>
      <c r="CD97" s="792"/>
      <c r="CE97" s="792"/>
      <c r="CF97" s="792"/>
      <c r="CG97" s="792"/>
      <c r="CH97" s="792"/>
      <c r="CI97" s="792"/>
      <c r="CJ97" s="792"/>
      <c r="CK97" s="792"/>
      <c r="CL97" s="792"/>
      <c r="CM97" s="792"/>
      <c r="CN97" s="792"/>
      <c r="CO97" s="792"/>
      <c r="CP97" s="792"/>
      <c r="CQ97" s="792"/>
      <c r="CR97" s="792"/>
      <c r="CS97" s="792"/>
      <c r="CT97" s="792"/>
      <c r="CU97" s="792"/>
      <c r="CV97" s="792"/>
      <c r="CW97" s="792"/>
      <c r="CX97" s="792"/>
      <c r="CY97" s="792"/>
      <c r="CZ97" s="792"/>
      <c r="DA97" s="792"/>
      <c r="DB97" s="792"/>
      <c r="DC97" s="792"/>
    </row>
    <row r="98" spans="1:107" s="305" customFormat="1" ht="13.5" x14ac:dyDescent="0.25">
      <c r="A98" s="792"/>
      <c r="B98" s="838" t="s">
        <v>363</v>
      </c>
      <c r="C98" s="839"/>
      <c r="D98" s="839" t="s">
        <v>2</v>
      </c>
      <c r="E98" s="848" t="str">
        <f>+'Calculations - Techn'!E74</f>
        <v>Housing</v>
      </c>
      <c r="F98" s="840" t="str">
        <f>+'Calculations - Techn'!F74</f>
        <v>Storage</v>
      </c>
      <c r="G98" s="840" t="str">
        <f>+'Calculations - Techn'!G74</f>
        <v>Field</v>
      </c>
      <c r="H98" s="841" t="str">
        <f>+'Calculations - Techn'!H74</f>
        <v>Total system</v>
      </c>
      <c r="I98" s="792"/>
      <c r="J98" s="792"/>
      <c r="K98" s="792"/>
      <c r="L98" s="792"/>
      <c r="M98" s="792"/>
      <c r="N98" s="792"/>
      <c r="O98" s="792"/>
      <c r="P98" s="792"/>
      <c r="Q98" s="792"/>
      <c r="R98" s="792"/>
      <c r="S98" s="792"/>
      <c r="T98" s="792"/>
      <c r="U98" s="792"/>
      <c r="V98" s="792"/>
      <c r="W98" s="792"/>
      <c r="X98" s="792"/>
      <c r="Y98" s="792"/>
      <c r="Z98" s="792"/>
      <c r="AA98" s="792"/>
      <c r="AB98" s="792"/>
      <c r="AC98" s="792"/>
      <c r="AD98" s="792"/>
      <c r="AE98" s="792"/>
      <c r="AF98" s="792"/>
      <c r="AG98" s="792"/>
      <c r="AH98" s="792"/>
      <c r="AI98" s="792"/>
      <c r="AJ98" s="792"/>
      <c r="AK98" s="792"/>
      <c r="AL98" s="792"/>
      <c r="AM98" s="792"/>
      <c r="AN98" s="792"/>
      <c r="AO98" s="792"/>
      <c r="AP98" s="792"/>
      <c r="AQ98" s="792"/>
      <c r="AR98" s="792"/>
      <c r="AS98" s="792"/>
      <c r="AT98" s="792"/>
      <c r="AU98" s="792"/>
      <c r="AV98" s="792"/>
      <c r="AW98" s="792"/>
      <c r="AX98" s="792"/>
      <c r="AY98" s="792"/>
      <c r="AZ98" s="792"/>
      <c r="BA98" s="792"/>
      <c r="BB98" s="792"/>
      <c r="BC98" s="792"/>
      <c r="BD98" s="792"/>
      <c r="BE98" s="792"/>
      <c r="BF98" s="792"/>
      <c r="BG98" s="792"/>
      <c r="BH98" s="792"/>
      <c r="BI98" s="792"/>
      <c r="BJ98" s="792"/>
      <c r="BK98" s="792"/>
      <c r="BL98" s="792"/>
      <c r="BM98" s="792"/>
      <c r="BN98" s="792"/>
      <c r="BO98" s="792"/>
      <c r="BP98" s="792"/>
      <c r="BQ98" s="792"/>
      <c r="BR98" s="792"/>
      <c r="BS98" s="792"/>
      <c r="BT98" s="792"/>
      <c r="BU98" s="792"/>
      <c r="BV98" s="792"/>
      <c r="BW98" s="792"/>
      <c r="BX98" s="792"/>
      <c r="BY98" s="792"/>
      <c r="BZ98" s="792"/>
      <c r="CA98" s="792"/>
      <c r="CB98" s="792"/>
      <c r="CC98" s="792"/>
      <c r="CD98" s="792"/>
      <c r="CE98" s="792"/>
      <c r="CF98" s="792"/>
      <c r="CG98" s="792"/>
      <c r="CH98" s="792"/>
      <c r="CI98" s="792"/>
      <c r="CJ98" s="792"/>
      <c r="CK98" s="792"/>
      <c r="CL98" s="792"/>
      <c r="CM98" s="792"/>
      <c r="CN98" s="792"/>
      <c r="CO98" s="792"/>
      <c r="CP98" s="792"/>
      <c r="CQ98" s="792"/>
      <c r="CR98" s="792"/>
      <c r="CS98" s="792"/>
      <c r="CT98" s="792"/>
      <c r="CU98" s="792"/>
      <c r="CV98" s="792"/>
      <c r="CW98" s="792"/>
      <c r="CX98" s="792"/>
      <c r="CY98" s="792"/>
      <c r="CZ98" s="792"/>
      <c r="DA98" s="792"/>
      <c r="DB98" s="792"/>
      <c r="DC98" s="792"/>
    </row>
    <row r="99" spans="1:107" s="305" customFormat="1" ht="12" x14ac:dyDescent="0.2">
      <c r="A99" s="792"/>
      <c r="B99" s="842" t="s">
        <v>292</v>
      </c>
      <c r="C99" s="843" t="s">
        <v>285</v>
      </c>
      <c r="D99" s="843" t="s">
        <v>31</v>
      </c>
      <c r="E99" s="849">
        <f>+'Calculations - Techn'!E77</f>
        <v>51.354137120108689</v>
      </c>
      <c r="F99" s="849">
        <f>+'Calculations - Techn'!F77</f>
        <v>4.8838361413999989</v>
      </c>
      <c r="G99" s="849">
        <f>+'Calculations - Techn'!G77</f>
        <v>0</v>
      </c>
      <c r="H99" s="850">
        <f>+'Calculations - Techn'!H77</f>
        <v>56.237973261508685</v>
      </c>
      <c r="I99" s="792"/>
      <c r="J99" s="792"/>
      <c r="K99" s="792"/>
      <c r="L99" s="792"/>
      <c r="M99" s="792"/>
      <c r="N99" s="792"/>
      <c r="O99" s="792"/>
      <c r="P99" s="792"/>
      <c r="Q99" s="792"/>
      <c r="R99" s="792"/>
      <c r="S99" s="792"/>
      <c r="T99" s="792"/>
      <c r="U99" s="792"/>
      <c r="V99" s="792"/>
      <c r="W99" s="792"/>
      <c r="X99" s="792"/>
      <c r="Y99" s="792"/>
      <c r="Z99" s="792"/>
      <c r="AA99" s="792"/>
      <c r="AB99" s="792"/>
      <c r="AC99" s="792"/>
      <c r="AD99" s="792"/>
      <c r="AE99" s="792"/>
      <c r="AF99" s="792"/>
      <c r="AG99" s="792"/>
      <c r="AH99" s="792"/>
      <c r="AI99" s="792"/>
      <c r="AJ99" s="792"/>
      <c r="AK99" s="792"/>
      <c r="AL99" s="792"/>
      <c r="AM99" s="792"/>
      <c r="AN99" s="792"/>
      <c r="AO99" s="792"/>
      <c r="AP99" s="792"/>
      <c r="AQ99" s="792"/>
      <c r="AR99" s="792"/>
      <c r="AS99" s="792"/>
      <c r="AT99" s="792"/>
      <c r="AU99" s="792"/>
      <c r="AV99" s="792"/>
      <c r="AW99" s="792"/>
      <c r="AX99" s="792"/>
      <c r="AY99" s="792"/>
      <c r="AZ99" s="792"/>
      <c r="BA99" s="792"/>
      <c r="BB99" s="792"/>
      <c r="BC99" s="792"/>
      <c r="BD99" s="792"/>
      <c r="BE99" s="792"/>
      <c r="BF99" s="792"/>
      <c r="BG99" s="792"/>
      <c r="BH99" s="792"/>
      <c r="BI99" s="792"/>
      <c r="BJ99" s="792"/>
      <c r="BK99" s="792"/>
      <c r="BL99" s="792"/>
      <c r="BM99" s="792"/>
      <c r="BN99" s="792"/>
      <c r="BO99" s="792"/>
      <c r="BP99" s="792"/>
      <c r="BQ99" s="792"/>
      <c r="BR99" s="792"/>
      <c r="BS99" s="792"/>
      <c r="BT99" s="792"/>
      <c r="BU99" s="792"/>
      <c r="BV99" s="792"/>
      <c r="BW99" s="792"/>
      <c r="BX99" s="792"/>
      <c r="BY99" s="792"/>
      <c r="BZ99" s="792"/>
      <c r="CA99" s="792"/>
      <c r="CB99" s="792"/>
      <c r="CC99" s="792"/>
      <c r="CD99" s="792"/>
      <c r="CE99" s="792"/>
      <c r="CF99" s="792"/>
      <c r="CG99" s="792"/>
      <c r="CH99" s="792"/>
      <c r="CI99" s="792"/>
      <c r="CJ99" s="792"/>
      <c r="CK99" s="792"/>
      <c r="CL99" s="792"/>
      <c r="CM99" s="792"/>
      <c r="CN99" s="792"/>
      <c r="CO99" s="792"/>
      <c r="CP99" s="792"/>
      <c r="CQ99" s="792"/>
      <c r="CR99" s="792"/>
      <c r="CS99" s="792"/>
      <c r="CT99" s="792"/>
      <c r="CU99" s="792"/>
      <c r="CV99" s="792"/>
      <c r="CW99" s="792"/>
      <c r="CX99" s="792"/>
      <c r="CY99" s="792"/>
      <c r="CZ99" s="792"/>
      <c r="DA99" s="792"/>
      <c r="DB99" s="792"/>
      <c r="DC99" s="792"/>
    </row>
    <row r="100" spans="1:107" s="305" customFormat="1" ht="12" x14ac:dyDescent="0.2">
      <c r="A100" s="792"/>
      <c r="B100" s="842"/>
      <c r="C100" s="843" t="s">
        <v>287</v>
      </c>
      <c r="D100" s="843" t="s">
        <v>31</v>
      </c>
      <c r="E100" s="849">
        <f>+'Calculations - Techn'!E78</f>
        <v>9.1274706714130431</v>
      </c>
      <c r="F100" s="849">
        <f>+'Calculations - Techn'!F78</f>
        <v>0</v>
      </c>
      <c r="G100" s="849">
        <f>+'Calculations - Techn'!G78</f>
        <v>0</v>
      </c>
      <c r="H100" s="850">
        <f>+'Calculations - Techn'!H78</f>
        <v>9.1274706714130431</v>
      </c>
      <c r="I100" s="792"/>
      <c r="J100" s="792"/>
      <c r="K100" s="792"/>
      <c r="L100" s="792"/>
      <c r="M100" s="792"/>
      <c r="N100" s="792"/>
      <c r="O100" s="792"/>
      <c r="P100" s="792"/>
      <c r="Q100" s="792"/>
      <c r="R100" s="792"/>
      <c r="S100" s="792"/>
      <c r="T100" s="792"/>
      <c r="U100" s="792"/>
      <c r="V100" s="792"/>
      <c r="W100" s="792"/>
      <c r="X100" s="792"/>
      <c r="Y100" s="792"/>
      <c r="Z100" s="792"/>
      <c r="AA100" s="792"/>
      <c r="AB100" s="792"/>
      <c r="AC100" s="792"/>
      <c r="AD100" s="792"/>
      <c r="AE100" s="792"/>
      <c r="AF100" s="792"/>
      <c r="AG100" s="792"/>
      <c r="AH100" s="792"/>
      <c r="AI100" s="792"/>
      <c r="AJ100" s="792"/>
      <c r="AK100" s="792"/>
      <c r="AL100" s="792"/>
      <c r="AM100" s="792"/>
      <c r="AN100" s="792"/>
      <c r="AO100" s="792"/>
      <c r="AP100" s="792"/>
      <c r="AQ100" s="792"/>
      <c r="AR100" s="792"/>
      <c r="AS100" s="792"/>
      <c r="AT100" s="792"/>
      <c r="AU100" s="792"/>
      <c r="AV100" s="792"/>
      <c r="AW100" s="792"/>
      <c r="AX100" s="792"/>
      <c r="AY100" s="792"/>
      <c r="AZ100" s="792"/>
      <c r="BA100" s="792"/>
      <c r="BB100" s="792"/>
      <c r="BC100" s="792"/>
      <c r="BD100" s="792"/>
      <c r="BE100" s="792"/>
      <c r="BF100" s="792"/>
      <c r="BG100" s="792"/>
      <c r="BH100" s="792"/>
      <c r="BI100" s="792"/>
      <c r="BJ100" s="792"/>
      <c r="BK100" s="792"/>
      <c r="BL100" s="792"/>
      <c r="BM100" s="792"/>
      <c r="BN100" s="792"/>
      <c r="BO100" s="792"/>
      <c r="BP100" s="792"/>
      <c r="BQ100" s="792"/>
      <c r="BR100" s="792"/>
      <c r="BS100" s="792"/>
      <c r="BT100" s="792"/>
      <c r="BU100" s="792"/>
      <c r="BV100" s="792"/>
      <c r="BW100" s="792"/>
      <c r="BX100" s="792"/>
      <c r="BY100" s="792"/>
      <c r="BZ100" s="792"/>
      <c r="CA100" s="792"/>
      <c r="CB100" s="792"/>
      <c r="CC100" s="792"/>
      <c r="CD100" s="792"/>
      <c r="CE100" s="792"/>
      <c r="CF100" s="792"/>
      <c r="CG100" s="792"/>
      <c r="CH100" s="792"/>
      <c r="CI100" s="792"/>
      <c r="CJ100" s="792"/>
      <c r="CK100" s="792"/>
      <c r="CL100" s="792"/>
      <c r="CM100" s="792"/>
      <c r="CN100" s="792"/>
      <c r="CO100" s="792"/>
      <c r="CP100" s="792"/>
      <c r="CQ100" s="792"/>
      <c r="CR100" s="792"/>
      <c r="CS100" s="792"/>
      <c r="CT100" s="792"/>
      <c r="CU100" s="792"/>
      <c r="CV100" s="792"/>
      <c r="CW100" s="792"/>
      <c r="CX100" s="792"/>
      <c r="CY100" s="792"/>
      <c r="CZ100" s="792"/>
      <c r="DA100" s="792"/>
      <c r="DB100" s="792"/>
      <c r="DC100" s="792"/>
    </row>
    <row r="101" spans="1:107" s="305" customFormat="1" ht="12" x14ac:dyDescent="0.2">
      <c r="A101" s="792"/>
      <c r="B101" s="842"/>
      <c r="C101" s="843" t="s">
        <v>334</v>
      </c>
      <c r="D101" s="843" t="s">
        <v>31</v>
      </c>
      <c r="E101" s="851">
        <f>+'Calculations - Techn'!E79</f>
        <v>0</v>
      </c>
      <c r="F101" s="810">
        <f>+'Calculations - Techn'!F79</f>
        <v>0</v>
      </c>
      <c r="G101" s="810">
        <f>+'Calculations - Techn'!G79</f>
        <v>0</v>
      </c>
      <c r="H101" s="852">
        <f>+'Calculations - Techn'!H79</f>
        <v>0</v>
      </c>
      <c r="I101" s="792"/>
      <c r="J101" s="792"/>
      <c r="K101" s="792"/>
      <c r="L101" s="792"/>
      <c r="M101" s="792"/>
      <c r="N101" s="792"/>
      <c r="O101" s="792"/>
      <c r="P101" s="792"/>
      <c r="Q101" s="792"/>
      <c r="R101" s="792"/>
      <c r="S101" s="792"/>
      <c r="T101" s="792"/>
      <c r="U101" s="792"/>
      <c r="V101" s="792"/>
      <c r="W101" s="792"/>
      <c r="X101" s="792"/>
      <c r="Y101" s="792"/>
      <c r="Z101" s="792"/>
      <c r="AA101" s="792"/>
      <c r="AB101" s="792"/>
      <c r="AC101" s="792"/>
      <c r="AD101" s="792"/>
      <c r="AE101" s="792"/>
      <c r="AF101" s="792"/>
      <c r="AG101" s="792"/>
      <c r="AH101" s="792"/>
      <c r="AI101" s="792"/>
      <c r="AJ101" s="792"/>
      <c r="AK101" s="792"/>
      <c r="AL101" s="792"/>
      <c r="AM101" s="792"/>
      <c r="AN101" s="792"/>
      <c r="AO101" s="792"/>
      <c r="AP101" s="792"/>
      <c r="AQ101" s="792"/>
      <c r="AR101" s="792"/>
      <c r="AS101" s="792"/>
      <c r="AT101" s="792"/>
      <c r="AU101" s="792"/>
      <c r="AV101" s="792"/>
      <c r="AW101" s="792"/>
      <c r="AX101" s="792"/>
      <c r="AY101" s="792"/>
      <c r="AZ101" s="792"/>
      <c r="BA101" s="792"/>
      <c r="BB101" s="792"/>
      <c r="BC101" s="792"/>
      <c r="BD101" s="792"/>
      <c r="BE101" s="792"/>
      <c r="BF101" s="792"/>
      <c r="BG101" s="792"/>
      <c r="BH101" s="792"/>
      <c r="BI101" s="792"/>
      <c r="BJ101" s="792"/>
      <c r="BK101" s="792"/>
      <c r="BL101" s="792"/>
      <c r="BM101" s="792"/>
      <c r="BN101" s="792"/>
      <c r="BO101" s="792"/>
      <c r="BP101" s="792"/>
      <c r="BQ101" s="792"/>
      <c r="BR101" s="792"/>
      <c r="BS101" s="792"/>
      <c r="BT101" s="792"/>
      <c r="BU101" s="792"/>
      <c r="BV101" s="792"/>
      <c r="BW101" s="792"/>
      <c r="BX101" s="792"/>
      <c r="BY101" s="792"/>
      <c r="BZ101" s="792"/>
      <c r="CA101" s="792"/>
      <c r="CB101" s="792"/>
      <c r="CC101" s="792"/>
      <c r="CD101" s="792"/>
      <c r="CE101" s="792"/>
      <c r="CF101" s="792"/>
      <c r="CG101" s="792"/>
      <c r="CH101" s="792"/>
      <c r="CI101" s="792"/>
      <c r="CJ101" s="792"/>
      <c r="CK101" s="792"/>
      <c r="CL101" s="792"/>
      <c r="CM101" s="792"/>
      <c r="CN101" s="792"/>
      <c r="CO101" s="792"/>
      <c r="CP101" s="792"/>
      <c r="CQ101" s="792"/>
      <c r="CR101" s="792"/>
      <c r="CS101" s="792"/>
      <c r="CT101" s="792"/>
      <c r="CU101" s="792"/>
      <c r="CV101" s="792"/>
      <c r="CW101" s="792"/>
      <c r="CX101" s="792"/>
      <c r="CY101" s="792"/>
      <c r="CZ101" s="792"/>
      <c r="DA101" s="792"/>
      <c r="DB101" s="792"/>
      <c r="DC101" s="792"/>
    </row>
    <row r="102" spans="1:107" s="305" customFormat="1" ht="12" x14ac:dyDescent="0.2">
      <c r="A102" s="792"/>
      <c r="B102" s="842"/>
      <c r="C102" s="843" t="s">
        <v>346</v>
      </c>
      <c r="D102" s="843" t="s">
        <v>31</v>
      </c>
      <c r="E102" s="851">
        <f>+'Calculations - Techn'!E80</f>
        <v>0</v>
      </c>
      <c r="F102" s="810">
        <f>+'Calculations - Techn'!F80</f>
        <v>0</v>
      </c>
      <c r="G102" s="846">
        <f>+'Calculations - Techn'!G80</f>
        <v>0</v>
      </c>
      <c r="H102" s="852">
        <f>+'Calculations - Techn'!H80</f>
        <v>0</v>
      </c>
      <c r="I102" s="792"/>
      <c r="J102" s="792"/>
      <c r="K102" s="792"/>
      <c r="L102" s="792"/>
      <c r="M102" s="792"/>
      <c r="N102" s="792"/>
      <c r="O102" s="792"/>
      <c r="P102" s="792"/>
      <c r="Q102" s="792"/>
      <c r="R102" s="792"/>
      <c r="S102" s="792"/>
      <c r="T102" s="792"/>
      <c r="U102" s="792"/>
      <c r="V102" s="792"/>
      <c r="W102" s="792"/>
      <c r="X102" s="792"/>
      <c r="Y102" s="792"/>
      <c r="Z102" s="792"/>
      <c r="AA102" s="792"/>
      <c r="AB102" s="792"/>
      <c r="AC102" s="792"/>
      <c r="AD102" s="792"/>
      <c r="AE102" s="792"/>
      <c r="AF102" s="792"/>
      <c r="AG102" s="792"/>
      <c r="AH102" s="792"/>
      <c r="AI102" s="792"/>
      <c r="AJ102" s="792"/>
      <c r="AK102" s="792"/>
      <c r="AL102" s="792"/>
      <c r="AM102" s="792"/>
      <c r="AN102" s="792"/>
      <c r="AO102" s="792"/>
      <c r="AP102" s="792"/>
      <c r="AQ102" s="792"/>
      <c r="AR102" s="792"/>
      <c r="AS102" s="792"/>
      <c r="AT102" s="792"/>
      <c r="AU102" s="792"/>
      <c r="AV102" s="792"/>
      <c r="AW102" s="792"/>
      <c r="AX102" s="792"/>
      <c r="AY102" s="792"/>
      <c r="AZ102" s="792"/>
      <c r="BA102" s="792"/>
      <c r="BB102" s="792"/>
      <c r="BC102" s="792"/>
      <c r="BD102" s="792"/>
      <c r="BE102" s="792"/>
      <c r="BF102" s="792"/>
      <c r="BG102" s="792"/>
      <c r="BH102" s="792"/>
      <c r="BI102" s="792"/>
      <c r="BJ102" s="792"/>
      <c r="BK102" s="792"/>
      <c r="BL102" s="792"/>
      <c r="BM102" s="792"/>
      <c r="BN102" s="792"/>
      <c r="BO102" s="792"/>
      <c r="BP102" s="792"/>
      <c r="BQ102" s="792"/>
      <c r="BR102" s="792"/>
      <c r="BS102" s="792"/>
      <c r="BT102" s="792"/>
      <c r="BU102" s="792"/>
      <c r="BV102" s="792"/>
      <c r="BW102" s="792"/>
      <c r="BX102" s="792"/>
      <c r="BY102" s="792"/>
      <c r="BZ102" s="792"/>
      <c r="CA102" s="792"/>
      <c r="CB102" s="792"/>
      <c r="CC102" s="792"/>
      <c r="CD102" s="792"/>
      <c r="CE102" s="792"/>
      <c r="CF102" s="792"/>
      <c r="CG102" s="792"/>
      <c r="CH102" s="792"/>
      <c r="CI102" s="792"/>
      <c r="CJ102" s="792"/>
      <c r="CK102" s="792"/>
      <c r="CL102" s="792"/>
      <c r="CM102" s="792"/>
      <c r="CN102" s="792"/>
      <c r="CO102" s="792"/>
      <c r="CP102" s="792"/>
      <c r="CQ102" s="792"/>
      <c r="CR102" s="792"/>
      <c r="CS102" s="792"/>
      <c r="CT102" s="792"/>
      <c r="CU102" s="792"/>
      <c r="CV102" s="792"/>
      <c r="CW102" s="792"/>
      <c r="CX102" s="792"/>
      <c r="CY102" s="792"/>
      <c r="CZ102" s="792"/>
      <c r="DA102" s="792"/>
      <c r="DB102" s="792"/>
      <c r="DC102" s="792"/>
    </row>
    <row r="103" spans="1:107" s="305" customFormat="1" ht="12" x14ac:dyDescent="0.2">
      <c r="A103" s="792"/>
      <c r="B103" s="842"/>
      <c r="C103" s="843" t="s">
        <v>327</v>
      </c>
      <c r="D103" s="843" t="s">
        <v>31</v>
      </c>
      <c r="E103" s="851">
        <f>+'Calculations - Techn'!E81</f>
        <v>0</v>
      </c>
      <c r="F103" s="810">
        <f>+'Calculations - Techn'!F81</f>
        <v>0</v>
      </c>
      <c r="G103" s="846">
        <f>+'Calculations - Techn'!G81</f>
        <v>0.8231292517006803</v>
      </c>
      <c r="H103" s="852">
        <f>+'Calculations - Techn'!H81</f>
        <v>0.8231292517006803</v>
      </c>
      <c r="I103" s="792"/>
      <c r="J103" s="792"/>
      <c r="K103" s="792"/>
      <c r="L103" s="792"/>
      <c r="M103" s="792"/>
      <c r="N103" s="792"/>
      <c r="O103" s="792"/>
      <c r="P103" s="792"/>
      <c r="Q103" s="792"/>
      <c r="R103" s="792"/>
      <c r="S103" s="792"/>
      <c r="T103" s="792"/>
      <c r="U103" s="792"/>
      <c r="V103" s="792"/>
      <c r="W103" s="792"/>
      <c r="X103" s="792"/>
      <c r="Y103" s="792"/>
      <c r="Z103" s="792"/>
      <c r="AA103" s="792"/>
      <c r="AB103" s="792"/>
      <c r="AC103" s="792"/>
      <c r="AD103" s="792"/>
      <c r="AE103" s="792"/>
      <c r="AF103" s="792"/>
      <c r="AG103" s="792"/>
      <c r="AH103" s="792"/>
      <c r="AI103" s="792"/>
      <c r="AJ103" s="792"/>
      <c r="AK103" s="792"/>
      <c r="AL103" s="792"/>
      <c r="AM103" s="792"/>
      <c r="AN103" s="792"/>
      <c r="AO103" s="792"/>
      <c r="AP103" s="792"/>
      <c r="AQ103" s="792"/>
      <c r="AR103" s="792"/>
      <c r="AS103" s="792"/>
      <c r="AT103" s="792"/>
      <c r="AU103" s="792"/>
      <c r="AV103" s="792"/>
      <c r="AW103" s="792"/>
      <c r="AX103" s="792"/>
      <c r="AY103" s="792"/>
      <c r="AZ103" s="792"/>
      <c r="BA103" s="792"/>
      <c r="BB103" s="792"/>
      <c r="BC103" s="792"/>
      <c r="BD103" s="792"/>
      <c r="BE103" s="792"/>
      <c r="BF103" s="792"/>
      <c r="BG103" s="792"/>
      <c r="BH103" s="792"/>
      <c r="BI103" s="792"/>
      <c r="BJ103" s="792"/>
      <c r="BK103" s="792"/>
      <c r="BL103" s="792"/>
      <c r="BM103" s="792"/>
      <c r="BN103" s="792"/>
      <c r="BO103" s="792"/>
      <c r="BP103" s="792"/>
      <c r="BQ103" s="792"/>
      <c r="BR103" s="792"/>
      <c r="BS103" s="792"/>
      <c r="BT103" s="792"/>
      <c r="BU103" s="792"/>
      <c r="BV103" s="792"/>
      <c r="BW103" s="792"/>
      <c r="BX103" s="792"/>
      <c r="BY103" s="792"/>
      <c r="BZ103" s="792"/>
      <c r="CA103" s="792"/>
      <c r="CB103" s="792"/>
      <c r="CC103" s="792"/>
      <c r="CD103" s="792"/>
      <c r="CE103" s="792"/>
      <c r="CF103" s="792"/>
      <c r="CG103" s="792"/>
      <c r="CH103" s="792"/>
      <c r="CI103" s="792"/>
      <c r="CJ103" s="792"/>
      <c r="CK103" s="792"/>
      <c r="CL103" s="792"/>
      <c r="CM103" s="792"/>
      <c r="CN103" s="792"/>
      <c r="CO103" s="792"/>
      <c r="CP103" s="792"/>
      <c r="CQ103" s="792"/>
      <c r="CR103" s="792"/>
      <c r="CS103" s="792"/>
      <c r="CT103" s="792"/>
      <c r="CU103" s="792"/>
      <c r="CV103" s="792"/>
      <c r="CW103" s="792"/>
      <c r="CX103" s="792"/>
      <c r="CY103" s="792"/>
      <c r="CZ103" s="792"/>
      <c r="DA103" s="792"/>
      <c r="DB103" s="792"/>
      <c r="DC103" s="792"/>
    </row>
    <row r="104" spans="1:107" s="305" customFormat="1" ht="12" x14ac:dyDescent="0.2">
      <c r="A104" s="792"/>
      <c r="B104" s="309" t="s">
        <v>315</v>
      </c>
      <c r="C104" s="308"/>
      <c r="D104" s="308" t="s">
        <v>31</v>
      </c>
      <c r="E104" s="311">
        <f>+'Calculations - Techn'!E82</f>
        <v>20.257569534791319</v>
      </c>
      <c r="F104" s="311">
        <f>+'Calculations - Techn'!F82</f>
        <v>52.078652369401865</v>
      </c>
      <c r="G104" s="311">
        <f>+'Calculations - Techn'!G82</f>
        <v>34.708246907735308</v>
      </c>
      <c r="H104" s="310">
        <f>+'Calculations - Techn'!H82</f>
        <v>107.04446881192848</v>
      </c>
      <c r="I104" s="792"/>
      <c r="J104" s="792"/>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2"/>
      <c r="AJ104" s="792"/>
      <c r="AK104" s="792"/>
      <c r="AL104" s="792"/>
      <c r="AM104" s="792"/>
      <c r="AN104" s="792"/>
      <c r="AO104" s="792"/>
      <c r="AP104" s="792"/>
      <c r="AQ104" s="792"/>
      <c r="AR104" s="792"/>
      <c r="AS104" s="792"/>
      <c r="AT104" s="792"/>
      <c r="AU104" s="792"/>
      <c r="AV104" s="792"/>
      <c r="AW104" s="792"/>
      <c r="AX104" s="792"/>
      <c r="AY104" s="792"/>
      <c r="AZ104" s="792"/>
      <c r="BA104" s="792"/>
      <c r="BB104" s="792"/>
      <c r="BC104" s="792"/>
      <c r="BD104" s="792"/>
      <c r="BE104" s="792"/>
      <c r="BF104" s="792"/>
      <c r="BG104" s="792"/>
      <c r="BH104" s="792"/>
      <c r="BI104" s="792"/>
      <c r="BJ104" s="792"/>
      <c r="BK104" s="792"/>
      <c r="BL104" s="792"/>
      <c r="BM104" s="792"/>
      <c r="BN104" s="792"/>
      <c r="BO104" s="792"/>
      <c r="BP104" s="792"/>
      <c r="BQ104" s="792"/>
      <c r="BR104" s="792"/>
      <c r="BS104" s="792"/>
      <c r="BT104" s="792"/>
      <c r="BU104" s="792"/>
      <c r="BV104" s="792"/>
      <c r="BW104" s="792"/>
      <c r="BX104" s="792"/>
      <c r="BY104" s="792"/>
      <c r="BZ104" s="792"/>
      <c r="CA104" s="792"/>
      <c r="CB104" s="792"/>
      <c r="CC104" s="792"/>
      <c r="CD104" s="792"/>
      <c r="CE104" s="792"/>
      <c r="CF104" s="792"/>
      <c r="CG104" s="792"/>
      <c r="CH104" s="792"/>
      <c r="CI104" s="792"/>
      <c r="CJ104" s="792"/>
      <c r="CK104" s="792"/>
      <c r="CL104" s="792"/>
      <c r="CM104" s="792"/>
      <c r="CN104" s="792"/>
      <c r="CO104" s="792"/>
      <c r="CP104" s="792"/>
      <c r="CQ104" s="792"/>
      <c r="CR104" s="792"/>
      <c r="CS104" s="792"/>
      <c r="CT104" s="792"/>
      <c r="CU104" s="792"/>
      <c r="CV104" s="792"/>
      <c r="CW104" s="792"/>
      <c r="CX104" s="792"/>
      <c r="CY104" s="792"/>
      <c r="CZ104" s="792"/>
      <c r="DA104" s="792"/>
      <c r="DB104" s="792"/>
      <c r="DC104" s="792"/>
    </row>
    <row r="105" spans="1:107" s="305" customFormat="1" ht="12" x14ac:dyDescent="0.2">
      <c r="A105" s="792"/>
      <c r="B105" s="842" t="s">
        <v>304</v>
      </c>
      <c r="C105" s="843" t="s">
        <v>285</v>
      </c>
      <c r="D105" s="843" t="s">
        <v>31</v>
      </c>
      <c r="E105" s="849">
        <f>+'Calculations - Techn'!E84</f>
        <v>0</v>
      </c>
      <c r="F105" s="849">
        <f>+'Calculations - Techn'!F84</f>
        <v>0</v>
      </c>
      <c r="G105" s="849">
        <f>+'Calculations - Techn'!G84</f>
        <v>0</v>
      </c>
      <c r="H105" s="850">
        <f>+'Calculations - Techn'!H84</f>
        <v>0</v>
      </c>
      <c r="I105" s="792"/>
      <c r="J105" s="792"/>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2"/>
      <c r="AJ105" s="792"/>
      <c r="AK105" s="792"/>
      <c r="AL105" s="792"/>
      <c r="AM105" s="792"/>
      <c r="AN105" s="792"/>
      <c r="AO105" s="792"/>
      <c r="AP105" s="792"/>
      <c r="AQ105" s="792"/>
      <c r="AR105" s="792"/>
      <c r="AS105" s="792"/>
      <c r="AT105" s="792"/>
      <c r="AU105" s="792"/>
      <c r="AV105" s="792"/>
      <c r="AW105" s="792"/>
      <c r="AX105" s="792"/>
      <c r="AY105" s="792"/>
      <c r="AZ105" s="792"/>
      <c r="BA105" s="792"/>
      <c r="BB105" s="792"/>
      <c r="BC105" s="792"/>
      <c r="BD105" s="792"/>
      <c r="BE105" s="792"/>
      <c r="BF105" s="792"/>
      <c r="BG105" s="792"/>
      <c r="BH105" s="792"/>
      <c r="BI105" s="792"/>
      <c r="BJ105" s="792"/>
      <c r="BK105" s="792"/>
      <c r="BL105" s="792"/>
      <c r="BM105" s="792"/>
      <c r="BN105" s="792"/>
      <c r="BO105" s="792"/>
      <c r="BP105" s="792"/>
      <c r="BQ105" s="792"/>
      <c r="BR105" s="792"/>
      <c r="BS105" s="792"/>
      <c r="BT105" s="792"/>
      <c r="BU105" s="792"/>
      <c r="BV105" s="792"/>
      <c r="BW105" s="792"/>
      <c r="BX105" s="792"/>
      <c r="BY105" s="792"/>
      <c r="BZ105" s="792"/>
      <c r="CA105" s="792"/>
      <c r="CB105" s="792"/>
      <c r="CC105" s="792"/>
      <c r="CD105" s="792"/>
      <c r="CE105" s="792"/>
      <c r="CF105" s="792"/>
      <c r="CG105" s="792"/>
      <c r="CH105" s="792"/>
      <c r="CI105" s="792"/>
      <c r="CJ105" s="792"/>
      <c r="CK105" s="792"/>
      <c r="CL105" s="792"/>
      <c r="CM105" s="792"/>
      <c r="CN105" s="792"/>
      <c r="CO105" s="792"/>
      <c r="CP105" s="792"/>
      <c r="CQ105" s="792"/>
      <c r="CR105" s="792"/>
      <c r="CS105" s="792"/>
      <c r="CT105" s="792"/>
      <c r="CU105" s="792"/>
      <c r="CV105" s="792"/>
      <c r="CW105" s="792"/>
      <c r="CX105" s="792"/>
      <c r="CY105" s="792"/>
      <c r="CZ105" s="792"/>
      <c r="DA105" s="792"/>
      <c r="DB105" s="792"/>
      <c r="DC105" s="792"/>
    </row>
    <row r="106" spans="1:107" s="305" customFormat="1" ht="12" x14ac:dyDescent="0.2">
      <c r="A106" s="792"/>
      <c r="B106" s="842"/>
      <c r="C106" s="843" t="s">
        <v>287</v>
      </c>
      <c r="D106" s="843" t="s">
        <v>31</v>
      </c>
      <c r="E106" s="849">
        <f>+'Calculations - Techn'!E85</f>
        <v>0</v>
      </c>
      <c r="F106" s="849">
        <f>+'Calculations - Techn'!F85</f>
        <v>0</v>
      </c>
      <c r="G106" s="849">
        <f>+'Calculations - Techn'!G85</f>
        <v>0</v>
      </c>
      <c r="H106" s="850">
        <f>+'Calculations - Techn'!H85</f>
        <v>0</v>
      </c>
      <c r="I106" s="792"/>
      <c r="J106" s="792"/>
      <c r="K106" s="792"/>
      <c r="L106" s="792"/>
      <c r="M106" s="792"/>
      <c r="N106" s="792"/>
      <c r="O106" s="792"/>
      <c r="P106" s="792"/>
      <c r="Q106" s="792"/>
      <c r="R106" s="792"/>
      <c r="S106" s="792"/>
      <c r="T106" s="792"/>
      <c r="U106" s="792"/>
      <c r="V106" s="792"/>
      <c r="W106" s="792"/>
      <c r="X106" s="792"/>
      <c r="Y106" s="792"/>
      <c r="Z106" s="792"/>
      <c r="AA106" s="792"/>
      <c r="AB106" s="792"/>
      <c r="AC106" s="792"/>
      <c r="AD106" s="792"/>
      <c r="AE106" s="792"/>
      <c r="AF106" s="792"/>
      <c r="AG106" s="792"/>
      <c r="AH106" s="792"/>
      <c r="AI106" s="792"/>
      <c r="AJ106" s="792"/>
      <c r="AK106" s="792"/>
      <c r="AL106" s="792"/>
      <c r="AM106" s="792"/>
      <c r="AN106" s="792"/>
      <c r="AO106" s="792"/>
      <c r="AP106" s="792"/>
      <c r="AQ106" s="792"/>
      <c r="AR106" s="792"/>
      <c r="AS106" s="792"/>
      <c r="AT106" s="792"/>
      <c r="AU106" s="792"/>
      <c r="AV106" s="792"/>
      <c r="AW106" s="792"/>
      <c r="AX106" s="792"/>
      <c r="AY106" s="792"/>
      <c r="AZ106" s="792"/>
      <c r="BA106" s="792"/>
      <c r="BB106" s="792"/>
      <c r="BC106" s="792"/>
      <c r="BD106" s="792"/>
      <c r="BE106" s="792"/>
      <c r="BF106" s="792"/>
      <c r="BG106" s="792"/>
      <c r="BH106" s="792"/>
      <c r="BI106" s="792"/>
      <c r="BJ106" s="792"/>
      <c r="BK106" s="792"/>
      <c r="BL106" s="792"/>
      <c r="BM106" s="792"/>
      <c r="BN106" s="792"/>
      <c r="BO106" s="792"/>
      <c r="BP106" s="792"/>
      <c r="BQ106" s="792"/>
      <c r="BR106" s="792"/>
      <c r="BS106" s="792"/>
      <c r="BT106" s="792"/>
      <c r="BU106" s="792"/>
      <c r="BV106" s="792"/>
      <c r="BW106" s="792"/>
      <c r="BX106" s="792"/>
      <c r="BY106" s="792"/>
      <c r="BZ106" s="792"/>
      <c r="CA106" s="792"/>
      <c r="CB106" s="792"/>
      <c r="CC106" s="792"/>
      <c r="CD106" s="792"/>
      <c r="CE106" s="792"/>
      <c r="CF106" s="792"/>
      <c r="CG106" s="792"/>
      <c r="CH106" s="792"/>
      <c r="CI106" s="792"/>
      <c r="CJ106" s="792"/>
      <c r="CK106" s="792"/>
      <c r="CL106" s="792"/>
      <c r="CM106" s="792"/>
      <c r="CN106" s="792"/>
      <c r="CO106" s="792"/>
      <c r="CP106" s="792"/>
      <c r="CQ106" s="792"/>
      <c r="CR106" s="792"/>
      <c r="CS106" s="792"/>
      <c r="CT106" s="792"/>
      <c r="CU106" s="792"/>
      <c r="CV106" s="792"/>
      <c r="CW106" s="792"/>
      <c r="CX106" s="792"/>
      <c r="CY106" s="792"/>
      <c r="CZ106" s="792"/>
      <c r="DA106" s="792"/>
      <c r="DB106" s="792"/>
      <c r="DC106" s="792"/>
    </row>
    <row r="107" spans="1:107" s="305" customFormat="1" ht="12" x14ac:dyDescent="0.2">
      <c r="A107" s="792"/>
      <c r="B107" s="842"/>
      <c r="C107" s="843" t="s">
        <v>266</v>
      </c>
      <c r="D107" s="843" t="s">
        <v>31</v>
      </c>
      <c r="E107" s="849">
        <f>+'Calculations - Techn'!E86</f>
        <v>0</v>
      </c>
      <c r="F107" s="849">
        <f>+'Calculations - Techn'!F86</f>
        <v>0</v>
      </c>
      <c r="G107" s="849">
        <f>+'Calculations - Techn'!G86</f>
        <v>-29.505255394899894</v>
      </c>
      <c r="H107" s="850">
        <f>+'Calculations - Techn'!H86</f>
        <v>-29.505255394899894</v>
      </c>
      <c r="I107" s="792"/>
      <c r="J107" s="792"/>
      <c r="K107" s="792"/>
      <c r="L107" s="792"/>
      <c r="M107" s="792"/>
      <c r="N107" s="792"/>
      <c r="O107" s="792"/>
      <c r="P107" s="792"/>
      <c r="Q107" s="792"/>
      <c r="R107" s="792"/>
      <c r="S107" s="792"/>
      <c r="T107" s="792"/>
      <c r="U107" s="792"/>
      <c r="V107" s="792"/>
      <c r="W107" s="792"/>
      <c r="X107" s="792"/>
      <c r="Y107" s="792"/>
      <c r="Z107" s="792"/>
      <c r="AA107" s="792"/>
      <c r="AB107" s="792"/>
      <c r="AC107" s="792"/>
      <c r="AD107" s="792"/>
      <c r="AE107" s="792"/>
      <c r="AF107" s="792"/>
      <c r="AG107" s="792"/>
      <c r="AH107" s="792"/>
      <c r="AI107" s="792"/>
      <c r="AJ107" s="792"/>
      <c r="AK107" s="792"/>
      <c r="AL107" s="792"/>
      <c r="AM107" s="792"/>
      <c r="AN107" s="792"/>
      <c r="AO107" s="792"/>
      <c r="AP107" s="792"/>
      <c r="AQ107" s="792"/>
      <c r="AR107" s="792"/>
      <c r="AS107" s="792"/>
      <c r="AT107" s="792"/>
      <c r="AU107" s="792"/>
      <c r="AV107" s="792"/>
      <c r="AW107" s="792"/>
      <c r="AX107" s="792"/>
      <c r="AY107" s="792"/>
      <c r="AZ107" s="792"/>
      <c r="BA107" s="792"/>
      <c r="BB107" s="792"/>
      <c r="BC107" s="792"/>
      <c r="BD107" s="792"/>
      <c r="BE107" s="792"/>
      <c r="BF107" s="792"/>
      <c r="BG107" s="792"/>
      <c r="BH107" s="792"/>
      <c r="BI107" s="792"/>
      <c r="BJ107" s="792"/>
      <c r="BK107" s="792"/>
      <c r="BL107" s="792"/>
      <c r="BM107" s="792"/>
      <c r="BN107" s="792"/>
      <c r="BO107" s="792"/>
      <c r="BP107" s="792"/>
      <c r="BQ107" s="792"/>
      <c r="BR107" s="792"/>
      <c r="BS107" s="792"/>
      <c r="BT107" s="792"/>
      <c r="BU107" s="792"/>
      <c r="BV107" s="792"/>
      <c r="BW107" s="792"/>
      <c r="BX107" s="792"/>
      <c r="BY107" s="792"/>
      <c r="BZ107" s="792"/>
      <c r="CA107" s="792"/>
      <c r="CB107" s="792"/>
      <c r="CC107" s="792"/>
      <c r="CD107" s="792"/>
      <c r="CE107" s="792"/>
      <c r="CF107" s="792"/>
      <c r="CG107" s="792"/>
      <c r="CH107" s="792"/>
      <c r="CI107" s="792"/>
      <c r="CJ107" s="792"/>
      <c r="CK107" s="792"/>
      <c r="CL107" s="792"/>
      <c r="CM107" s="792"/>
      <c r="CN107" s="792"/>
      <c r="CO107" s="792"/>
      <c r="CP107" s="792"/>
      <c r="CQ107" s="792"/>
      <c r="CR107" s="792"/>
      <c r="CS107" s="792"/>
      <c r="CT107" s="792"/>
      <c r="CU107" s="792"/>
      <c r="CV107" s="792"/>
      <c r="CW107" s="792"/>
      <c r="CX107" s="792"/>
      <c r="CY107" s="792"/>
      <c r="CZ107" s="792"/>
      <c r="DA107" s="792"/>
      <c r="DB107" s="792"/>
      <c r="DC107" s="792"/>
    </row>
    <row r="108" spans="1:107" s="305" customFormat="1" ht="12" x14ac:dyDescent="0.2">
      <c r="A108" s="792"/>
      <c r="B108" s="842"/>
      <c r="C108" s="843" t="s">
        <v>356</v>
      </c>
      <c r="D108" s="843" t="s">
        <v>31</v>
      </c>
      <c r="E108" s="849">
        <f>+'Calculations - Techn'!E87</f>
        <v>0</v>
      </c>
      <c r="F108" s="849">
        <f>+'Calculations - Techn'!F87</f>
        <v>0</v>
      </c>
      <c r="G108" s="851">
        <f>+'Calculations - Techn'!G87</f>
        <v>0</v>
      </c>
      <c r="H108" s="850">
        <f>+'Calculations - Techn'!H87</f>
        <v>0</v>
      </c>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c r="BC108" s="792"/>
      <c r="BD108" s="792"/>
      <c r="BE108" s="792"/>
      <c r="BF108" s="792"/>
      <c r="BG108" s="792"/>
      <c r="BH108" s="792"/>
      <c r="BI108" s="792"/>
      <c r="BJ108" s="792"/>
      <c r="BK108" s="792"/>
      <c r="BL108" s="792"/>
      <c r="BM108" s="792"/>
      <c r="BN108" s="792"/>
      <c r="BO108" s="792"/>
      <c r="BP108" s="792"/>
      <c r="BQ108" s="792"/>
      <c r="BR108" s="792"/>
      <c r="BS108" s="792"/>
      <c r="BT108" s="792"/>
      <c r="BU108" s="792"/>
      <c r="BV108" s="792"/>
      <c r="BW108" s="792"/>
      <c r="BX108" s="792"/>
      <c r="BY108" s="792"/>
      <c r="BZ108" s="792"/>
      <c r="CA108" s="792"/>
      <c r="CB108" s="792"/>
      <c r="CC108" s="792"/>
      <c r="CD108" s="792"/>
      <c r="CE108" s="792"/>
      <c r="CF108" s="792"/>
      <c r="CG108" s="792"/>
      <c r="CH108" s="792"/>
      <c r="CI108" s="792"/>
      <c r="CJ108" s="792"/>
      <c r="CK108" s="792"/>
      <c r="CL108" s="792"/>
      <c r="CM108" s="792"/>
      <c r="CN108" s="792"/>
      <c r="CO108" s="792"/>
      <c r="CP108" s="792"/>
      <c r="CQ108" s="792"/>
      <c r="CR108" s="792"/>
      <c r="CS108" s="792"/>
      <c r="CT108" s="792"/>
      <c r="CU108" s="792"/>
      <c r="CV108" s="792"/>
      <c r="CW108" s="792"/>
      <c r="CX108" s="792"/>
      <c r="CY108" s="792"/>
      <c r="CZ108" s="792"/>
      <c r="DA108" s="792"/>
      <c r="DB108" s="792"/>
      <c r="DC108" s="792"/>
    </row>
    <row r="109" spans="1:107" s="305" customFormat="1" ht="12" x14ac:dyDescent="0.2">
      <c r="A109" s="792"/>
      <c r="B109" s="842"/>
      <c r="C109" s="843" t="s">
        <v>357</v>
      </c>
      <c r="D109" s="843" t="s">
        <v>31</v>
      </c>
      <c r="E109" s="849">
        <f>+'Calculations - Techn'!E88</f>
        <v>0</v>
      </c>
      <c r="F109" s="849">
        <f>+'Calculations - Techn'!F88</f>
        <v>0</v>
      </c>
      <c r="G109" s="849">
        <f>+'Calculations - Techn'!G88</f>
        <v>0</v>
      </c>
      <c r="H109" s="850">
        <f>+'Calculations - Techn'!H88</f>
        <v>0</v>
      </c>
      <c r="I109" s="792"/>
      <c r="J109" s="792"/>
      <c r="K109" s="792"/>
      <c r="L109" s="792"/>
      <c r="M109" s="792"/>
      <c r="N109" s="792"/>
      <c r="O109" s="792"/>
      <c r="P109" s="792"/>
      <c r="Q109" s="792"/>
      <c r="R109" s="792"/>
      <c r="S109" s="792"/>
      <c r="T109" s="792"/>
      <c r="U109" s="792"/>
      <c r="V109" s="792"/>
      <c r="W109" s="792"/>
      <c r="X109" s="792"/>
      <c r="Y109" s="792"/>
      <c r="Z109" s="792"/>
      <c r="AA109" s="792"/>
      <c r="AB109" s="792"/>
      <c r="AC109" s="792"/>
      <c r="AD109" s="792"/>
      <c r="AE109" s="792"/>
      <c r="AF109" s="792"/>
      <c r="AG109" s="792"/>
      <c r="AH109" s="792"/>
      <c r="AI109" s="792"/>
      <c r="AJ109" s="792"/>
      <c r="AK109" s="792"/>
      <c r="AL109" s="792"/>
      <c r="AM109" s="792"/>
      <c r="AN109" s="792"/>
      <c r="AO109" s="792"/>
      <c r="AP109" s="792"/>
      <c r="AQ109" s="792"/>
      <c r="AR109" s="792"/>
      <c r="AS109" s="792"/>
      <c r="AT109" s="792"/>
      <c r="AU109" s="792"/>
      <c r="AV109" s="792"/>
      <c r="AW109" s="792"/>
      <c r="AX109" s="792"/>
      <c r="AY109" s="792"/>
      <c r="AZ109" s="792"/>
      <c r="BA109" s="792"/>
      <c r="BB109" s="792"/>
      <c r="BC109" s="792"/>
      <c r="BD109" s="792"/>
      <c r="BE109" s="792"/>
      <c r="BF109" s="792"/>
      <c r="BG109" s="792"/>
      <c r="BH109" s="792"/>
      <c r="BI109" s="792"/>
      <c r="BJ109" s="792"/>
      <c r="BK109" s="792"/>
      <c r="BL109" s="792"/>
      <c r="BM109" s="792"/>
      <c r="BN109" s="792"/>
      <c r="BO109" s="792"/>
      <c r="BP109" s="792"/>
      <c r="BQ109" s="792"/>
      <c r="BR109" s="792"/>
      <c r="BS109" s="792"/>
      <c r="BT109" s="792"/>
      <c r="BU109" s="792"/>
      <c r="BV109" s="792"/>
      <c r="BW109" s="792"/>
      <c r="BX109" s="792"/>
      <c r="BY109" s="792"/>
      <c r="BZ109" s="792"/>
      <c r="CA109" s="792"/>
      <c r="CB109" s="792"/>
      <c r="CC109" s="792"/>
      <c r="CD109" s="792"/>
      <c r="CE109" s="792"/>
      <c r="CF109" s="792"/>
      <c r="CG109" s="792"/>
      <c r="CH109" s="792"/>
      <c r="CI109" s="792"/>
      <c r="CJ109" s="792"/>
      <c r="CK109" s="792"/>
      <c r="CL109" s="792"/>
      <c r="CM109" s="792"/>
      <c r="CN109" s="792"/>
      <c r="CO109" s="792"/>
      <c r="CP109" s="792"/>
      <c r="CQ109" s="792"/>
      <c r="CR109" s="792"/>
      <c r="CS109" s="792"/>
      <c r="CT109" s="792"/>
      <c r="CU109" s="792"/>
      <c r="CV109" s="792"/>
      <c r="CW109" s="792"/>
      <c r="CX109" s="792"/>
      <c r="CY109" s="792"/>
      <c r="CZ109" s="792"/>
      <c r="DA109" s="792"/>
      <c r="DB109" s="792"/>
      <c r="DC109" s="792"/>
    </row>
    <row r="110" spans="1:107" s="305" customFormat="1" ht="12" x14ac:dyDescent="0.2">
      <c r="A110" s="792"/>
      <c r="B110" s="309" t="s">
        <v>442</v>
      </c>
      <c r="C110" s="308"/>
      <c r="D110" s="308" t="s">
        <v>31</v>
      </c>
      <c r="E110" s="307">
        <f>+'Calculations - Techn'!E89</f>
        <v>80.739177326313055</v>
      </c>
      <c r="F110" s="307">
        <f>+'Calculations - Techn'!F89</f>
        <v>56.962488510801862</v>
      </c>
      <c r="G110" s="307">
        <f>+'Calculations - Techn'!G89</f>
        <v>6.0261207645360919</v>
      </c>
      <c r="H110" s="306">
        <f>+'Calculations - Techn'!H89</f>
        <v>143.72778660165096</v>
      </c>
      <c r="I110" s="792"/>
      <c r="J110" s="792"/>
      <c r="K110" s="792"/>
      <c r="L110" s="792"/>
      <c r="M110" s="792"/>
      <c r="N110" s="792"/>
      <c r="O110" s="792"/>
      <c r="P110" s="792"/>
      <c r="Q110" s="792"/>
      <c r="R110" s="792"/>
      <c r="S110" s="792"/>
      <c r="T110" s="792"/>
      <c r="U110" s="792"/>
      <c r="V110" s="792"/>
      <c r="W110" s="792"/>
      <c r="X110" s="792"/>
      <c r="Y110" s="792"/>
      <c r="Z110" s="792"/>
      <c r="AA110" s="792"/>
      <c r="AB110" s="792"/>
      <c r="AC110" s="792"/>
      <c r="AD110" s="792"/>
      <c r="AE110" s="792"/>
      <c r="AF110" s="792"/>
      <c r="AG110" s="792"/>
      <c r="AH110" s="792"/>
      <c r="AI110" s="792"/>
      <c r="AJ110" s="792"/>
      <c r="AK110" s="792"/>
      <c r="AL110" s="792"/>
      <c r="AM110" s="792"/>
      <c r="AN110" s="792"/>
      <c r="AO110" s="792"/>
      <c r="AP110" s="792"/>
      <c r="AQ110" s="792"/>
      <c r="AR110" s="792"/>
      <c r="AS110" s="792"/>
      <c r="AT110" s="792"/>
      <c r="AU110" s="792"/>
      <c r="AV110" s="792"/>
      <c r="AW110" s="792"/>
      <c r="AX110" s="792"/>
      <c r="AY110" s="792"/>
      <c r="AZ110" s="792"/>
      <c r="BA110" s="792"/>
      <c r="BB110" s="792"/>
      <c r="BC110" s="792"/>
      <c r="BD110" s="792"/>
      <c r="BE110" s="792"/>
      <c r="BF110" s="792"/>
      <c r="BG110" s="792"/>
      <c r="BH110" s="792"/>
      <c r="BI110" s="792"/>
      <c r="BJ110" s="792"/>
      <c r="BK110" s="792"/>
      <c r="BL110" s="792"/>
      <c r="BM110" s="792"/>
      <c r="BN110" s="792"/>
      <c r="BO110" s="792"/>
      <c r="BP110" s="792"/>
      <c r="BQ110" s="792"/>
      <c r="BR110" s="792"/>
      <c r="BS110" s="792"/>
      <c r="BT110" s="792"/>
      <c r="BU110" s="792"/>
      <c r="BV110" s="792"/>
      <c r="BW110" s="792"/>
      <c r="BX110" s="792"/>
      <c r="BY110" s="792"/>
      <c r="BZ110" s="792"/>
      <c r="CA110" s="792"/>
      <c r="CB110" s="792"/>
      <c r="CC110" s="792"/>
      <c r="CD110" s="792"/>
      <c r="CE110" s="792"/>
      <c r="CF110" s="792"/>
      <c r="CG110" s="792"/>
      <c r="CH110" s="792"/>
      <c r="CI110" s="792"/>
      <c r="CJ110" s="792"/>
      <c r="CK110" s="792"/>
      <c r="CL110" s="792"/>
      <c r="CM110" s="792"/>
      <c r="CN110" s="792"/>
      <c r="CO110" s="792"/>
      <c r="CP110" s="792"/>
      <c r="CQ110" s="792"/>
      <c r="CR110" s="792"/>
      <c r="CS110" s="792"/>
      <c r="CT110" s="792"/>
      <c r="CU110" s="792"/>
      <c r="CV110" s="792"/>
      <c r="CW110" s="792"/>
      <c r="CX110" s="792"/>
      <c r="CY110" s="792"/>
      <c r="CZ110" s="792"/>
      <c r="DA110" s="792"/>
      <c r="DB110" s="792"/>
      <c r="DC110" s="792"/>
    </row>
    <row r="111" spans="1:107" s="305" customFormat="1" ht="12" x14ac:dyDescent="0.2">
      <c r="A111" s="792"/>
      <c r="B111" s="309" t="s">
        <v>440</v>
      </c>
      <c r="C111" s="308"/>
      <c r="D111" s="308" t="s">
        <v>31</v>
      </c>
      <c r="E111" s="307">
        <f>'Calculations - Ref system'!E81</f>
        <v>45.383708398595665</v>
      </c>
      <c r="F111" s="307">
        <f>'Calculations - Ref system'!F81</f>
        <v>56.63504714478016</v>
      </c>
      <c r="G111" s="307">
        <f>'Calculations - Ref system'!G81</f>
        <v>6.553564206379999</v>
      </c>
      <c r="H111" s="306">
        <f>'Calculations - Ref system'!H81</f>
        <v>108.57231974975582</v>
      </c>
      <c r="I111" s="792"/>
      <c r="J111" s="792"/>
      <c r="K111" s="792"/>
      <c r="L111" s="792"/>
      <c r="M111" s="792"/>
      <c r="N111" s="792"/>
      <c r="O111" s="792"/>
      <c r="P111" s="792"/>
      <c r="Q111" s="792"/>
      <c r="R111" s="792"/>
      <c r="S111" s="792"/>
      <c r="T111" s="792"/>
      <c r="U111" s="792"/>
      <c r="V111" s="792"/>
      <c r="W111" s="792"/>
      <c r="X111" s="792"/>
      <c r="Y111" s="792"/>
      <c r="Z111" s="792"/>
      <c r="AA111" s="792"/>
      <c r="AB111" s="792"/>
      <c r="AC111" s="792"/>
      <c r="AD111" s="792"/>
      <c r="AE111" s="792"/>
      <c r="AF111" s="792"/>
      <c r="AG111" s="792"/>
      <c r="AH111" s="792"/>
      <c r="AI111" s="792"/>
      <c r="AJ111" s="792"/>
      <c r="AK111" s="792"/>
      <c r="AL111" s="792"/>
      <c r="AM111" s="792"/>
      <c r="AN111" s="792"/>
      <c r="AO111" s="792"/>
      <c r="AP111" s="792"/>
      <c r="AQ111" s="792"/>
      <c r="AR111" s="792"/>
      <c r="AS111" s="792"/>
      <c r="AT111" s="792"/>
      <c r="AU111" s="792"/>
      <c r="AV111" s="792"/>
      <c r="AW111" s="792"/>
      <c r="AX111" s="792"/>
      <c r="AY111" s="792"/>
      <c r="AZ111" s="792"/>
      <c r="BA111" s="792"/>
      <c r="BB111" s="792"/>
      <c r="BC111" s="792"/>
      <c r="BD111" s="792"/>
      <c r="BE111" s="792"/>
      <c r="BF111" s="792"/>
      <c r="BG111" s="792"/>
      <c r="BH111" s="792"/>
      <c r="BI111" s="792"/>
      <c r="BJ111" s="792"/>
      <c r="BK111" s="792"/>
      <c r="BL111" s="792"/>
      <c r="BM111" s="792"/>
      <c r="BN111" s="792"/>
      <c r="BO111" s="792"/>
      <c r="BP111" s="792"/>
      <c r="BQ111" s="792"/>
      <c r="BR111" s="792"/>
      <c r="BS111" s="792"/>
      <c r="BT111" s="792"/>
      <c r="BU111" s="792"/>
      <c r="BV111" s="792"/>
      <c r="BW111" s="792"/>
      <c r="BX111" s="792"/>
      <c r="BY111" s="792"/>
      <c r="BZ111" s="792"/>
      <c r="CA111" s="792"/>
      <c r="CB111" s="792"/>
      <c r="CC111" s="792"/>
      <c r="CD111" s="792"/>
      <c r="CE111" s="792"/>
      <c r="CF111" s="792"/>
      <c r="CG111" s="792"/>
      <c r="CH111" s="792"/>
      <c r="CI111" s="792"/>
      <c r="CJ111" s="792"/>
      <c r="CK111" s="792"/>
      <c r="CL111" s="792"/>
      <c r="CM111" s="792"/>
      <c r="CN111" s="792"/>
      <c r="CO111" s="792"/>
      <c r="CP111" s="792"/>
      <c r="CQ111" s="792"/>
      <c r="CR111" s="792"/>
      <c r="CS111" s="792"/>
      <c r="CT111" s="792"/>
      <c r="CU111" s="792"/>
      <c r="CV111" s="792"/>
      <c r="CW111" s="792"/>
      <c r="CX111" s="792"/>
      <c r="CY111" s="792"/>
      <c r="CZ111" s="792"/>
      <c r="DA111" s="792"/>
      <c r="DB111" s="792"/>
      <c r="DC111" s="792"/>
    </row>
    <row r="112" spans="1:107" s="305" customFormat="1" ht="12" x14ac:dyDescent="0.2">
      <c r="A112" s="792"/>
      <c r="B112" s="309" t="s">
        <v>319</v>
      </c>
      <c r="C112" s="308"/>
      <c r="D112" s="308" t="s">
        <v>31</v>
      </c>
      <c r="E112" s="307">
        <f>E110-E111</f>
        <v>35.355468927717389</v>
      </c>
      <c r="F112" s="307">
        <f>F110-F111</f>
        <v>0.32744136602170215</v>
      </c>
      <c r="G112" s="307">
        <f>G110-G111</f>
        <v>-0.52744344184390712</v>
      </c>
      <c r="H112" s="306">
        <f>H110-H111</f>
        <v>35.155466851895142</v>
      </c>
      <c r="I112" s="792"/>
      <c r="J112" s="792"/>
      <c r="K112" s="792"/>
      <c r="L112" s="792"/>
      <c r="M112" s="792"/>
      <c r="N112" s="792"/>
      <c r="O112" s="792"/>
      <c r="P112" s="792"/>
      <c r="Q112" s="792"/>
      <c r="R112" s="792"/>
      <c r="S112" s="792"/>
      <c r="T112" s="792"/>
      <c r="U112" s="792"/>
      <c r="V112" s="792"/>
      <c r="W112" s="792"/>
      <c r="X112" s="792"/>
      <c r="Y112" s="792"/>
      <c r="Z112" s="792"/>
      <c r="AA112" s="792"/>
      <c r="AB112" s="792"/>
      <c r="AC112" s="792"/>
      <c r="AD112" s="792"/>
      <c r="AE112" s="792"/>
      <c r="AF112" s="792"/>
      <c r="AG112" s="792"/>
      <c r="AH112" s="792"/>
      <c r="AI112" s="792"/>
      <c r="AJ112" s="792"/>
      <c r="AK112" s="792"/>
      <c r="AL112" s="792"/>
      <c r="AM112" s="792"/>
      <c r="AN112" s="792"/>
      <c r="AO112" s="792"/>
      <c r="AP112" s="792"/>
      <c r="AQ112" s="792"/>
      <c r="AR112" s="792"/>
      <c r="AS112" s="792"/>
      <c r="AT112" s="792"/>
      <c r="AU112" s="792"/>
      <c r="AV112" s="792"/>
      <c r="AW112" s="792"/>
      <c r="AX112" s="792"/>
      <c r="AY112" s="792"/>
      <c r="AZ112" s="792"/>
      <c r="BA112" s="792"/>
      <c r="BB112" s="792"/>
      <c r="BC112" s="792"/>
      <c r="BD112" s="792"/>
      <c r="BE112" s="792"/>
      <c r="BF112" s="792"/>
      <c r="BG112" s="792"/>
      <c r="BH112" s="792"/>
      <c r="BI112" s="792"/>
      <c r="BJ112" s="792"/>
      <c r="BK112" s="792"/>
      <c r="BL112" s="792"/>
      <c r="BM112" s="792"/>
      <c r="BN112" s="792"/>
      <c r="BO112" s="792"/>
      <c r="BP112" s="792"/>
      <c r="BQ112" s="792"/>
      <c r="BR112" s="792"/>
      <c r="BS112" s="792"/>
      <c r="BT112" s="792"/>
      <c r="BU112" s="792"/>
      <c r="BV112" s="792"/>
      <c r="BW112" s="792"/>
      <c r="BX112" s="792"/>
      <c r="BY112" s="792"/>
      <c r="BZ112" s="792"/>
      <c r="CA112" s="792"/>
      <c r="CB112" s="792"/>
      <c r="CC112" s="792"/>
      <c r="CD112" s="792"/>
      <c r="CE112" s="792"/>
      <c r="CF112" s="792"/>
      <c r="CG112" s="792"/>
      <c r="CH112" s="792"/>
      <c r="CI112" s="792"/>
      <c r="CJ112" s="792"/>
      <c r="CK112" s="792"/>
      <c r="CL112" s="792"/>
      <c r="CM112" s="792"/>
      <c r="CN112" s="792"/>
      <c r="CO112" s="792"/>
      <c r="CP112" s="792"/>
      <c r="CQ112" s="792"/>
      <c r="CR112" s="792"/>
      <c r="CS112" s="792"/>
      <c r="CT112" s="792"/>
      <c r="CU112" s="792"/>
      <c r="CV112" s="792"/>
      <c r="CW112" s="792"/>
      <c r="CX112" s="792"/>
      <c r="CY112" s="792"/>
      <c r="CZ112" s="792"/>
      <c r="DA112" s="792"/>
      <c r="DB112" s="792"/>
      <c r="DC112" s="792"/>
    </row>
    <row r="113" spans="1:107" s="305" customFormat="1" ht="12.75" thickBot="1" x14ac:dyDescent="0.25">
      <c r="A113" s="792"/>
      <c r="B113" s="853" t="s">
        <v>319</v>
      </c>
      <c r="C113" s="814"/>
      <c r="D113" s="854" t="s">
        <v>272</v>
      </c>
      <c r="E113" s="855">
        <f>+'Calculations - Techn'!E90</f>
        <v>77.903437544586851</v>
      </c>
      <c r="F113" s="855">
        <f>+'Calculations - Techn'!F90</f>
        <v>0.57816031332090312</v>
      </c>
      <c r="G113" s="855">
        <f>+'Calculations - Techn'!G90</f>
        <v>-8.0481921780888719</v>
      </c>
      <c r="H113" s="856">
        <f>+'Calculations - Techn'!H90</f>
        <v>32.379769478006573</v>
      </c>
      <c r="I113" s="792"/>
      <c r="J113" s="792"/>
      <c r="K113" s="792"/>
      <c r="L113" s="792"/>
      <c r="M113" s="792"/>
      <c r="N113" s="792"/>
      <c r="O113" s="792"/>
      <c r="P113" s="792"/>
      <c r="Q113" s="792"/>
      <c r="R113" s="792"/>
      <c r="S113" s="792"/>
      <c r="T113" s="792"/>
      <c r="U113" s="792"/>
      <c r="V113" s="792"/>
      <c r="W113" s="792"/>
      <c r="X113" s="792"/>
      <c r="Y113" s="792"/>
      <c r="Z113" s="792"/>
      <c r="AA113" s="792"/>
      <c r="AB113" s="792"/>
      <c r="AC113" s="792"/>
      <c r="AD113" s="792"/>
      <c r="AE113" s="792"/>
      <c r="AF113" s="792"/>
      <c r="AG113" s="792"/>
      <c r="AH113" s="792"/>
      <c r="AI113" s="792"/>
      <c r="AJ113" s="792"/>
      <c r="AK113" s="792"/>
      <c r="AL113" s="792"/>
      <c r="AM113" s="792"/>
      <c r="AN113" s="792"/>
      <c r="AO113" s="792"/>
      <c r="AP113" s="792"/>
      <c r="AQ113" s="792"/>
      <c r="AR113" s="792"/>
      <c r="AS113" s="792"/>
      <c r="AT113" s="792"/>
      <c r="AU113" s="792"/>
      <c r="AV113" s="792"/>
      <c r="AW113" s="792"/>
      <c r="AX113" s="792"/>
      <c r="AY113" s="792"/>
      <c r="AZ113" s="792"/>
      <c r="BA113" s="792"/>
      <c r="BB113" s="792"/>
      <c r="BC113" s="792"/>
      <c r="BD113" s="792"/>
      <c r="BE113" s="792"/>
      <c r="BF113" s="792"/>
      <c r="BG113" s="792"/>
      <c r="BH113" s="792"/>
      <c r="BI113" s="792"/>
      <c r="BJ113" s="792"/>
      <c r="BK113" s="792"/>
      <c r="BL113" s="792"/>
      <c r="BM113" s="792"/>
      <c r="BN113" s="792"/>
      <c r="BO113" s="792"/>
      <c r="BP113" s="792"/>
      <c r="BQ113" s="792"/>
      <c r="BR113" s="792"/>
      <c r="BS113" s="792"/>
      <c r="BT113" s="792"/>
      <c r="BU113" s="792"/>
      <c r="BV113" s="792"/>
      <c r="BW113" s="792"/>
      <c r="BX113" s="792"/>
      <c r="BY113" s="792"/>
      <c r="BZ113" s="792"/>
      <c r="CA113" s="792"/>
      <c r="CB113" s="792"/>
      <c r="CC113" s="792"/>
      <c r="CD113" s="792"/>
      <c r="CE113" s="792"/>
      <c r="CF113" s="792"/>
      <c r="CG113" s="792"/>
      <c r="CH113" s="792"/>
      <c r="CI113" s="792"/>
      <c r="CJ113" s="792"/>
      <c r="CK113" s="792"/>
      <c r="CL113" s="792"/>
      <c r="CM113" s="792"/>
      <c r="CN113" s="792"/>
      <c r="CO113" s="792"/>
      <c r="CP113" s="792"/>
      <c r="CQ113" s="792"/>
      <c r="CR113" s="792"/>
      <c r="CS113" s="792"/>
      <c r="CT113" s="792"/>
      <c r="CU113" s="792"/>
      <c r="CV113" s="792"/>
      <c r="CW113" s="792"/>
      <c r="CX113" s="792"/>
      <c r="CY113" s="792"/>
      <c r="CZ113" s="792"/>
      <c r="DA113" s="792"/>
      <c r="DB113" s="792"/>
      <c r="DC113" s="792"/>
    </row>
    <row r="114" spans="1:107" s="305" customFormat="1" ht="12.75" x14ac:dyDescent="0.2">
      <c r="A114" s="792"/>
      <c r="B114" s="838" t="s">
        <v>284</v>
      </c>
      <c r="C114" s="839"/>
      <c r="D114" s="839" t="s">
        <v>2</v>
      </c>
      <c r="E114" s="848" t="str">
        <f>+'Calculations - Techn'!E91</f>
        <v>Housing</v>
      </c>
      <c r="F114" s="840" t="str">
        <f>+'Calculations - Techn'!F91</f>
        <v>Storage</v>
      </c>
      <c r="G114" s="840" t="str">
        <f>+'Calculations - Techn'!G91</f>
        <v>Field</v>
      </c>
      <c r="H114" s="841" t="str">
        <f>+'Calculations - Techn'!H91</f>
        <v>Total system</v>
      </c>
      <c r="I114" s="792"/>
      <c r="J114" s="792"/>
      <c r="K114" s="792"/>
      <c r="L114" s="792"/>
      <c r="M114" s="792"/>
      <c r="N114" s="792"/>
      <c r="O114" s="792"/>
      <c r="P114" s="792"/>
      <c r="Q114" s="792"/>
      <c r="R114" s="792"/>
      <c r="S114" s="792"/>
      <c r="T114" s="792"/>
      <c r="U114" s="792"/>
      <c r="V114" s="792"/>
      <c r="W114" s="792"/>
      <c r="X114" s="792"/>
      <c r="Y114" s="792"/>
      <c r="Z114" s="792"/>
      <c r="AA114" s="792"/>
      <c r="AB114" s="792"/>
      <c r="AC114" s="792"/>
      <c r="AD114" s="792"/>
      <c r="AE114" s="792"/>
      <c r="AF114" s="792"/>
      <c r="AG114" s="792"/>
      <c r="AH114" s="792"/>
      <c r="AI114" s="792"/>
      <c r="AJ114" s="792"/>
      <c r="AK114" s="792"/>
      <c r="AL114" s="792"/>
      <c r="AM114" s="792"/>
      <c r="AN114" s="792"/>
      <c r="AO114" s="792"/>
      <c r="AP114" s="792"/>
      <c r="AQ114" s="792"/>
      <c r="AR114" s="792"/>
      <c r="AS114" s="792"/>
      <c r="AT114" s="792"/>
      <c r="AU114" s="792"/>
      <c r="AV114" s="792"/>
      <c r="AW114" s="792"/>
      <c r="AX114" s="792"/>
      <c r="AY114" s="792"/>
      <c r="AZ114" s="792"/>
      <c r="BA114" s="792"/>
      <c r="BB114" s="792"/>
      <c r="BC114" s="792"/>
      <c r="BD114" s="792"/>
      <c r="BE114" s="792"/>
      <c r="BF114" s="792"/>
      <c r="BG114" s="792"/>
      <c r="BH114" s="792"/>
      <c r="BI114" s="792"/>
      <c r="BJ114" s="792"/>
      <c r="BK114" s="792"/>
      <c r="BL114" s="792"/>
      <c r="BM114" s="792"/>
      <c r="BN114" s="792"/>
      <c r="BO114" s="792"/>
      <c r="BP114" s="792"/>
      <c r="BQ114" s="792"/>
      <c r="BR114" s="792"/>
      <c r="BS114" s="792"/>
      <c r="BT114" s="792"/>
      <c r="BU114" s="792"/>
      <c r="BV114" s="792"/>
      <c r="BW114" s="792"/>
      <c r="BX114" s="792"/>
      <c r="BY114" s="792"/>
      <c r="BZ114" s="792"/>
      <c r="CA114" s="792"/>
      <c r="CB114" s="792"/>
      <c r="CC114" s="792"/>
      <c r="CD114" s="792"/>
      <c r="CE114" s="792"/>
      <c r="CF114" s="792"/>
      <c r="CG114" s="792"/>
      <c r="CH114" s="792"/>
      <c r="CI114" s="792"/>
      <c r="CJ114" s="792"/>
      <c r="CK114" s="792"/>
      <c r="CL114" s="792"/>
      <c r="CM114" s="792"/>
      <c r="CN114" s="792"/>
      <c r="CO114" s="792"/>
      <c r="CP114" s="792"/>
      <c r="CQ114" s="792"/>
      <c r="CR114" s="792"/>
      <c r="CS114" s="792"/>
      <c r="CT114" s="792"/>
      <c r="CU114" s="792"/>
      <c r="CV114" s="792"/>
      <c r="CW114" s="792"/>
      <c r="CX114" s="792"/>
      <c r="CY114" s="792"/>
      <c r="CZ114" s="792"/>
      <c r="DA114" s="792"/>
      <c r="DB114" s="792"/>
      <c r="DC114" s="792"/>
    </row>
    <row r="115" spans="1:107" s="305" customFormat="1" ht="12" x14ac:dyDescent="0.2">
      <c r="A115" s="792"/>
      <c r="B115" s="842" t="s">
        <v>306</v>
      </c>
      <c r="C115" s="810"/>
      <c r="D115" s="843" t="s">
        <v>31</v>
      </c>
      <c r="E115" s="851">
        <f>+'Calculations - Techn'!E92</f>
        <v>0</v>
      </c>
      <c r="F115" s="810">
        <f>+'Calculations - Techn'!F92</f>
        <v>0</v>
      </c>
      <c r="G115" s="846">
        <f>+'Calculations - Techn'!G92</f>
        <v>2.2208394805544476</v>
      </c>
      <c r="H115" s="847">
        <f>+'Calculations - Techn'!H92</f>
        <v>2.2208394805544476</v>
      </c>
      <c r="I115" s="792"/>
      <c r="J115" s="792"/>
      <c r="K115" s="792"/>
      <c r="L115" s="792"/>
      <c r="M115" s="792"/>
      <c r="N115" s="792"/>
      <c r="O115" s="792"/>
      <c r="P115" s="792"/>
      <c r="Q115" s="792"/>
      <c r="R115" s="792"/>
      <c r="S115" s="792"/>
      <c r="T115" s="792"/>
      <c r="U115" s="792"/>
      <c r="V115" s="792"/>
      <c r="W115" s="792"/>
      <c r="X115" s="792"/>
      <c r="Y115" s="792"/>
      <c r="Z115" s="792"/>
      <c r="AA115" s="792"/>
      <c r="AB115" s="792"/>
      <c r="AC115" s="792"/>
      <c r="AD115" s="792"/>
      <c r="AE115" s="792"/>
      <c r="AF115" s="792"/>
      <c r="AG115" s="792"/>
      <c r="AH115" s="792"/>
      <c r="AI115" s="792"/>
      <c r="AJ115" s="792"/>
      <c r="AK115" s="792"/>
      <c r="AL115" s="792"/>
      <c r="AM115" s="792"/>
      <c r="AN115" s="792"/>
      <c r="AO115" s="792"/>
      <c r="AP115" s="792"/>
      <c r="AQ115" s="792"/>
      <c r="AR115" s="792"/>
      <c r="AS115" s="792"/>
      <c r="AT115" s="792"/>
      <c r="AU115" s="792"/>
      <c r="AV115" s="792"/>
      <c r="AW115" s="792"/>
      <c r="AX115" s="792"/>
      <c r="AY115" s="792"/>
      <c r="AZ115" s="792"/>
      <c r="BA115" s="792"/>
      <c r="BB115" s="792"/>
      <c r="BC115" s="792"/>
      <c r="BD115" s="792"/>
      <c r="BE115" s="792"/>
      <c r="BF115" s="792"/>
      <c r="BG115" s="792"/>
      <c r="BH115" s="792"/>
      <c r="BI115" s="792"/>
      <c r="BJ115" s="792"/>
      <c r="BK115" s="792"/>
      <c r="BL115" s="792"/>
      <c r="BM115" s="792"/>
      <c r="BN115" s="792"/>
      <c r="BO115" s="792"/>
      <c r="BP115" s="792"/>
      <c r="BQ115" s="792"/>
      <c r="BR115" s="792"/>
      <c r="BS115" s="792"/>
      <c r="BT115" s="792"/>
      <c r="BU115" s="792"/>
      <c r="BV115" s="792"/>
      <c r="BW115" s="792"/>
      <c r="BX115" s="792"/>
      <c r="BY115" s="792"/>
      <c r="BZ115" s="792"/>
      <c r="CA115" s="792"/>
      <c r="CB115" s="792"/>
      <c r="CC115" s="792"/>
      <c r="CD115" s="792"/>
      <c r="CE115" s="792"/>
      <c r="CF115" s="792"/>
      <c r="CG115" s="792"/>
      <c r="CH115" s="792"/>
      <c r="CI115" s="792"/>
      <c r="CJ115" s="792"/>
      <c r="CK115" s="792"/>
      <c r="CL115" s="792"/>
      <c r="CM115" s="792"/>
      <c r="CN115" s="792"/>
      <c r="CO115" s="792"/>
      <c r="CP115" s="792"/>
      <c r="CQ115" s="792"/>
      <c r="CR115" s="792"/>
      <c r="CS115" s="792"/>
      <c r="CT115" s="792"/>
      <c r="CU115" s="792"/>
      <c r="CV115" s="792"/>
      <c r="CW115" s="792"/>
      <c r="CX115" s="792"/>
      <c r="CY115" s="792"/>
      <c r="CZ115" s="792"/>
      <c r="DA115" s="792"/>
      <c r="DB115" s="792"/>
      <c r="DC115" s="792"/>
    </row>
    <row r="116" spans="1:107" s="305" customFormat="1" ht="12" x14ac:dyDescent="0.2">
      <c r="A116" s="792"/>
      <c r="B116" s="842" t="s">
        <v>441</v>
      </c>
      <c r="C116" s="810"/>
      <c r="D116" s="843" t="s">
        <v>31</v>
      </c>
      <c r="E116" s="851">
        <f>'Calculations - Ref system'!E83</f>
        <v>0</v>
      </c>
      <c r="F116" s="810">
        <f>'Calculations - Ref system'!F83</f>
        <v>0</v>
      </c>
      <c r="G116" s="846">
        <f>'Calculations - Ref system'!G83</f>
        <v>1.9999999656101073</v>
      </c>
      <c r="H116" s="847">
        <f>'Calculations - Ref system'!H83</f>
        <v>1.9999999656101073</v>
      </c>
      <c r="I116" s="792"/>
      <c r="J116" s="792"/>
      <c r="K116" s="792"/>
      <c r="L116" s="792"/>
      <c r="M116" s="792"/>
      <c r="N116" s="792"/>
      <c r="O116" s="792"/>
      <c r="P116" s="792"/>
      <c r="Q116" s="792"/>
      <c r="R116" s="792"/>
      <c r="S116" s="792"/>
      <c r="T116" s="792"/>
      <c r="U116" s="792"/>
      <c r="V116" s="792"/>
      <c r="W116" s="792"/>
      <c r="X116" s="792"/>
      <c r="Y116" s="792"/>
      <c r="Z116" s="792"/>
      <c r="AA116" s="792"/>
      <c r="AB116" s="792"/>
      <c r="AC116" s="792"/>
      <c r="AD116" s="792"/>
      <c r="AE116" s="792"/>
      <c r="AF116" s="792"/>
      <c r="AG116" s="792"/>
      <c r="AH116" s="792"/>
      <c r="AI116" s="792"/>
      <c r="AJ116" s="792"/>
      <c r="AK116" s="792"/>
      <c r="AL116" s="792"/>
      <c r="AM116" s="792"/>
      <c r="AN116" s="792"/>
      <c r="AO116" s="792"/>
      <c r="AP116" s="792"/>
      <c r="AQ116" s="792"/>
      <c r="AR116" s="792"/>
      <c r="AS116" s="792"/>
      <c r="AT116" s="792"/>
      <c r="AU116" s="792"/>
      <c r="AV116" s="792"/>
      <c r="AW116" s="792"/>
      <c r="AX116" s="792"/>
      <c r="AY116" s="792"/>
      <c r="AZ116" s="792"/>
      <c r="BA116" s="792"/>
      <c r="BB116" s="792"/>
      <c r="BC116" s="792"/>
      <c r="BD116" s="792"/>
      <c r="BE116" s="792"/>
      <c r="BF116" s="792"/>
      <c r="BG116" s="792"/>
      <c r="BH116" s="792"/>
      <c r="BI116" s="792"/>
      <c r="BJ116" s="792"/>
      <c r="BK116" s="792"/>
      <c r="BL116" s="792"/>
      <c r="BM116" s="792"/>
      <c r="BN116" s="792"/>
      <c r="BO116" s="792"/>
      <c r="BP116" s="792"/>
      <c r="BQ116" s="792"/>
      <c r="BR116" s="792"/>
      <c r="BS116" s="792"/>
      <c r="BT116" s="792"/>
      <c r="BU116" s="792"/>
      <c r="BV116" s="792"/>
      <c r="BW116" s="792"/>
      <c r="BX116" s="792"/>
      <c r="BY116" s="792"/>
      <c r="BZ116" s="792"/>
      <c r="CA116" s="792"/>
      <c r="CB116" s="792"/>
      <c r="CC116" s="792"/>
      <c r="CD116" s="792"/>
      <c r="CE116" s="792"/>
      <c r="CF116" s="792"/>
      <c r="CG116" s="792"/>
      <c r="CH116" s="792"/>
      <c r="CI116" s="792"/>
      <c r="CJ116" s="792"/>
      <c r="CK116" s="792"/>
      <c r="CL116" s="792"/>
      <c r="CM116" s="792"/>
      <c r="CN116" s="792"/>
      <c r="CO116" s="792"/>
      <c r="CP116" s="792"/>
      <c r="CQ116" s="792"/>
      <c r="CR116" s="792"/>
      <c r="CS116" s="792"/>
      <c r="CT116" s="792"/>
      <c r="CU116" s="792"/>
      <c r="CV116" s="792"/>
      <c r="CW116" s="792"/>
      <c r="CX116" s="792"/>
      <c r="CY116" s="792"/>
      <c r="CZ116" s="792"/>
      <c r="DA116" s="792"/>
      <c r="DB116" s="792"/>
      <c r="DC116" s="792"/>
    </row>
    <row r="117" spans="1:107" s="305" customFormat="1" ht="12" x14ac:dyDescent="0.2">
      <c r="A117" s="792"/>
      <c r="B117" s="842" t="s">
        <v>319</v>
      </c>
      <c r="C117" s="810"/>
      <c r="D117" s="843" t="s">
        <v>31</v>
      </c>
      <c r="E117" s="851">
        <f>E115-E116</f>
        <v>0</v>
      </c>
      <c r="F117" s="851">
        <f>F115-F116</f>
        <v>0</v>
      </c>
      <c r="G117" s="851">
        <f>G115-G116</f>
        <v>0.22083951494434029</v>
      </c>
      <c r="H117" s="852">
        <f>H115-H116</f>
        <v>0.22083951494434029</v>
      </c>
      <c r="I117" s="792"/>
      <c r="J117" s="792"/>
      <c r="K117" s="792"/>
      <c r="L117" s="792"/>
      <c r="M117" s="792"/>
      <c r="N117" s="792"/>
      <c r="O117" s="792"/>
      <c r="P117" s="792"/>
      <c r="Q117" s="792"/>
      <c r="R117" s="792"/>
      <c r="S117" s="792"/>
      <c r="T117" s="792"/>
      <c r="U117" s="792"/>
      <c r="V117" s="792"/>
      <c r="W117" s="792"/>
      <c r="X117" s="792"/>
      <c r="Y117" s="792"/>
      <c r="Z117" s="792"/>
      <c r="AA117" s="792"/>
      <c r="AB117" s="792"/>
      <c r="AC117" s="792"/>
      <c r="AD117" s="792"/>
      <c r="AE117" s="792"/>
      <c r="AF117" s="792"/>
      <c r="AG117" s="792"/>
      <c r="AH117" s="792"/>
      <c r="AI117" s="792"/>
      <c r="AJ117" s="792"/>
      <c r="AK117" s="792"/>
      <c r="AL117" s="792"/>
      <c r="AM117" s="792"/>
      <c r="AN117" s="792"/>
      <c r="AO117" s="792"/>
      <c r="AP117" s="792"/>
      <c r="AQ117" s="792"/>
      <c r="AR117" s="792"/>
      <c r="AS117" s="792"/>
      <c r="AT117" s="792"/>
      <c r="AU117" s="792"/>
      <c r="AV117" s="792"/>
      <c r="AW117" s="792"/>
      <c r="AX117" s="792"/>
      <c r="AY117" s="792"/>
      <c r="AZ117" s="792"/>
      <c r="BA117" s="792"/>
      <c r="BB117" s="792"/>
      <c r="BC117" s="792"/>
      <c r="BD117" s="792"/>
      <c r="BE117" s="792"/>
      <c r="BF117" s="792"/>
      <c r="BG117" s="792"/>
      <c r="BH117" s="792"/>
      <c r="BI117" s="792"/>
      <c r="BJ117" s="792"/>
      <c r="BK117" s="792"/>
      <c r="BL117" s="792"/>
      <c r="BM117" s="792"/>
      <c r="BN117" s="792"/>
      <c r="BO117" s="792"/>
      <c r="BP117" s="792"/>
      <c r="BQ117" s="792"/>
      <c r="BR117" s="792"/>
      <c r="BS117" s="792"/>
      <c r="BT117" s="792"/>
      <c r="BU117" s="792"/>
      <c r="BV117" s="792"/>
      <c r="BW117" s="792"/>
      <c r="BX117" s="792"/>
      <c r="BY117" s="792"/>
      <c r="BZ117" s="792"/>
      <c r="CA117" s="792"/>
      <c r="CB117" s="792"/>
      <c r="CC117" s="792"/>
      <c r="CD117" s="792"/>
      <c r="CE117" s="792"/>
      <c r="CF117" s="792"/>
      <c r="CG117" s="792"/>
      <c r="CH117" s="792"/>
      <c r="CI117" s="792"/>
      <c r="CJ117" s="792"/>
      <c r="CK117" s="792"/>
      <c r="CL117" s="792"/>
      <c r="CM117" s="792"/>
      <c r="CN117" s="792"/>
      <c r="CO117" s="792"/>
      <c r="CP117" s="792"/>
      <c r="CQ117" s="792"/>
      <c r="CR117" s="792"/>
      <c r="CS117" s="792"/>
      <c r="CT117" s="792"/>
      <c r="CU117" s="792"/>
      <c r="CV117" s="792"/>
      <c r="CW117" s="792"/>
      <c r="CX117" s="792"/>
      <c r="CY117" s="792"/>
      <c r="CZ117" s="792"/>
      <c r="DA117" s="792"/>
      <c r="DB117" s="792"/>
      <c r="DC117" s="792"/>
    </row>
    <row r="118" spans="1:107" s="305" customFormat="1" ht="12.75" thickBot="1" x14ac:dyDescent="0.25">
      <c r="A118" s="792"/>
      <c r="B118" s="853" t="s">
        <v>319</v>
      </c>
      <c r="C118" s="814"/>
      <c r="D118" s="854" t="s">
        <v>272</v>
      </c>
      <c r="E118" s="855">
        <f>+'Calculations - Techn'!E93</f>
        <v>0</v>
      </c>
      <c r="F118" s="860">
        <f>+'Calculations - Techn'!F93</f>
        <v>0</v>
      </c>
      <c r="G118" s="855">
        <f>+'Calculations - Techn'!G93</f>
        <v>11.041975937083198</v>
      </c>
      <c r="H118" s="856">
        <f>+'Calculations - Techn'!H93</f>
        <v>11.041975937083198</v>
      </c>
      <c r="I118" s="792"/>
      <c r="J118" s="792"/>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2"/>
      <c r="AJ118" s="792"/>
      <c r="AK118" s="792"/>
      <c r="AL118" s="792"/>
      <c r="AM118" s="792"/>
      <c r="AN118" s="792"/>
      <c r="AO118" s="792"/>
      <c r="AP118" s="792"/>
      <c r="AQ118" s="792"/>
      <c r="AR118" s="792"/>
      <c r="AS118" s="792"/>
      <c r="AT118" s="792"/>
      <c r="AU118" s="792"/>
      <c r="AV118" s="792"/>
      <c r="AW118" s="792"/>
      <c r="AX118" s="792"/>
      <c r="AY118" s="792"/>
      <c r="AZ118" s="792"/>
      <c r="BA118" s="792"/>
      <c r="BB118" s="792"/>
      <c r="BC118" s="792"/>
      <c r="BD118" s="792"/>
      <c r="BE118" s="792"/>
      <c r="BF118" s="792"/>
      <c r="BG118" s="792"/>
      <c r="BH118" s="792"/>
      <c r="BI118" s="792"/>
      <c r="BJ118" s="792"/>
      <c r="BK118" s="792"/>
      <c r="BL118" s="792"/>
      <c r="BM118" s="792"/>
      <c r="BN118" s="792"/>
      <c r="BO118" s="792"/>
      <c r="BP118" s="792"/>
      <c r="BQ118" s="792"/>
      <c r="BR118" s="792"/>
      <c r="BS118" s="792"/>
      <c r="BT118" s="792"/>
      <c r="BU118" s="792"/>
      <c r="BV118" s="792"/>
      <c r="BW118" s="792"/>
      <c r="BX118" s="792"/>
      <c r="BY118" s="792"/>
      <c r="BZ118" s="792"/>
      <c r="CA118" s="792"/>
      <c r="CB118" s="792"/>
      <c r="CC118" s="792"/>
      <c r="CD118" s="792"/>
      <c r="CE118" s="792"/>
      <c r="CF118" s="792"/>
      <c r="CG118" s="792"/>
      <c r="CH118" s="792"/>
      <c r="CI118" s="792"/>
      <c r="CJ118" s="792"/>
      <c r="CK118" s="792"/>
      <c r="CL118" s="792"/>
      <c r="CM118" s="792"/>
      <c r="CN118" s="792"/>
      <c r="CO118" s="792"/>
      <c r="CP118" s="792"/>
      <c r="CQ118" s="792"/>
      <c r="CR118" s="792"/>
      <c r="CS118" s="792"/>
      <c r="CT118" s="792"/>
      <c r="CU118" s="792"/>
      <c r="CV118" s="792"/>
      <c r="CW118" s="792"/>
      <c r="CX118" s="792"/>
      <c r="CY118" s="792"/>
      <c r="CZ118" s="792"/>
      <c r="DA118" s="792"/>
      <c r="DB118" s="792"/>
      <c r="DC118" s="792"/>
    </row>
    <row r="119" spans="1:107" s="305" customFormat="1" ht="12.75" x14ac:dyDescent="0.2">
      <c r="A119" s="792"/>
      <c r="B119" s="838" t="s">
        <v>312</v>
      </c>
      <c r="C119" s="786"/>
      <c r="D119" s="786" t="s">
        <v>2</v>
      </c>
      <c r="E119" s="857" t="str">
        <f>+'Calculations - Techn'!E94</f>
        <v>Housing</v>
      </c>
      <c r="F119" s="858" t="str">
        <f>+'Calculations - Techn'!F94</f>
        <v>Storage</v>
      </c>
      <c r="G119" s="858" t="str">
        <f>+'Calculations - Techn'!G94</f>
        <v>Field</v>
      </c>
      <c r="H119" s="859" t="str">
        <f>+'Calculations - Techn'!H94</f>
        <v>Total system</v>
      </c>
      <c r="I119" s="792"/>
      <c r="J119" s="792"/>
      <c r="K119" s="792"/>
      <c r="L119" s="792"/>
      <c r="M119" s="792"/>
      <c r="N119" s="792"/>
      <c r="O119" s="792"/>
      <c r="P119" s="792"/>
      <c r="Q119" s="792"/>
      <c r="R119" s="792"/>
      <c r="S119" s="792"/>
      <c r="T119" s="792"/>
      <c r="U119" s="792"/>
      <c r="V119" s="792"/>
      <c r="W119" s="792"/>
      <c r="X119" s="792"/>
      <c r="Y119" s="792"/>
      <c r="Z119" s="792"/>
      <c r="AA119" s="792"/>
      <c r="AB119" s="792"/>
      <c r="AC119" s="792"/>
      <c r="AD119" s="792"/>
      <c r="AE119" s="792"/>
      <c r="AF119" s="792"/>
      <c r="AG119" s="792"/>
      <c r="AH119" s="792"/>
      <c r="AI119" s="792"/>
      <c r="AJ119" s="792"/>
      <c r="AK119" s="792"/>
      <c r="AL119" s="792"/>
      <c r="AM119" s="792"/>
      <c r="AN119" s="792"/>
      <c r="AO119" s="792"/>
      <c r="AP119" s="792"/>
      <c r="AQ119" s="792"/>
      <c r="AR119" s="792"/>
      <c r="AS119" s="792"/>
      <c r="AT119" s="792"/>
      <c r="AU119" s="792"/>
      <c r="AV119" s="792"/>
      <c r="AW119" s="792"/>
      <c r="AX119" s="792"/>
      <c r="AY119" s="792"/>
      <c r="AZ119" s="792"/>
      <c r="BA119" s="792"/>
      <c r="BB119" s="792"/>
      <c r="BC119" s="792"/>
      <c r="BD119" s="792"/>
      <c r="BE119" s="792"/>
      <c r="BF119" s="792"/>
      <c r="BG119" s="792"/>
      <c r="BH119" s="792"/>
      <c r="BI119" s="792"/>
      <c r="BJ119" s="792"/>
      <c r="BK119" s="792"/>
      <c r="BL119" s="792"/>
      <c r="BM119" s="792"/>
      <c r="BN119" s="792"/>
      <c r="BO119" s="792"/>
      <c r="BP119" s="792"/>
      <c r="BQ119" s="792"/>
      <c r="BR119" s="792"/>
      <c r="BS119" s="792"/>
      <c r="BT119" s="792"/>
      <c r="BU119" s="792"/>
      <c r="BV119" s="792"/>
      <c r="BW119" s="792"/>
      <c r="BX119" s="792"/>
      <c r="BY119" s="792"/>
      <c r="BZ119" s="792"/>
      <c r="CA119" s="792"/>
      <c r="CB119" s="792"/>
      <c r="CC119" s="792"/>
      <c r="CD119" s="792"/>
      <c r="CE119" s="792"/>
      <c r="CF119" s="792"/>
      <c r="CG119" s="792"/>
      <c r="CH119" s="792"/>
      <c r="CI119" s="792"/>
      <c r="CJ119" s="792"/>
      <c r="CK119" s="792"/>
      <c r="CL119" s="792"/>
      <c r="CM119" s="792"/>
      <c r="CN119" s="792"/>
      <c r="CO119" s="792"/>
      <c r="CP119" s="792"/>
      <c r="CQ119" s="792"/>
      <c r="CR119" s="792"/>
      <c r="CS119" s="792"/>
      <c r="CT119" s="792"/>
      <c r="CU119" s="792"/>
      <c r="CV119" s="792"/>
      <c r="CW119" s="792"/>
      <c r="CX119" s="792"/>
      <c r="CY119" s="792"/>
      <c r="CZ119" s="792"/>
      <c r="DA119" s="792"/>
      <c r="DB119" s="792"/>
      <c r="DC119" s="792"/>
    </row>
    <row r="120" spans="1:107" s="305" customFormat="1" ht="12" x14ac:dyDescent="0.2">
      <c r="A120" s="792"/>
      <c r="B120" s="842" t="s">
        <v>306</v>
      </c>
      <c r="C120" s="810"/>
      <c r="D120" s="843" t="s">
        <v>31</v>
      </c>
      <c r="E120" s="846">
        <f>+'Calculations - Techn'!E95</f>
        <v>0</v>
      </c>
      <c r="F120" s="846">
        <f>+'Calculations - Techn'!F95</f>
        <v>0</v>
      </c>
      <c r="G120" s="846">
        <f>+'Calculations - Techn'!G95</f>
        <v>0.12127659574468085</v>
      </c>
      <c r="H120" s="847">
        <f>+'Calculations - Techn'!H95</f>
        <v>0.12127659574468085</v>
      </c>
      <c r="I120" s="792"/>
      <c r="J120" s="792"/>
      <c r="K120" s="792"/>
      <c r="L120" s="792"/>
      <c r="M120" s="792"/>
      <c r="N120" s="792"/>
      <c r="O120" s="792"/>
      <c r="P120" s="792"/>
      <c r="Q120" s="792"/>
      <c r="R120" s="792"/>
      <c r="S120" s="792"/>
      <c r="T120" s="792"/>
      <c r="U120" s="792"/>
      <c r="V120" s="792"/>
      <c r="W120" s="792"/>
      <c r="X120" s="792"/>
      <c r="Y120" s="792"/>
      <c r="Z120" s="792"/>
      <c r="AA120" s="792"/>
      <c r="AB120" s="792"/>
      <c r="AC120" s="792"/>
      <c r="AD120" s="792"/>
      <c r="AE120" s="792"/>
      <c r="AF120" s="792"/>
      <c r="AG120" s="792"/>
      <c r="AH120" s="792"/>
      <c r="AI120" s="792"/>
      <c r="AJ120" s="792"/>
      <c r="AK120" s="792"/>
      <c r="AL120" s="792"/>
      <c r="AM120" s="792"/>
      <c r="AN120" s="792"/>
      <c r="AO120" s="792"/>
      <c r="AP120" s="792"/>
      <c r="AQ120" s="792"/>
      <c r="AR120" s="792"/>
      <c r="AS120" s="792"/>
      <c r="AT120" s="792"/>
      <c r="AU120" s="792"/>
      <c r="AV120" s="792"/>
      <c r="AW120" s="792"/>
      <c r="AX120" s="792"/>
      <c r="AY120" s="792"/>
      <c r="AZ120" s="792"/>
      <c r="BA120" s="792"/>
      <c r="BB120" s="792"/>
      <c r="BC120" s="792"/>
      <c r="BD120" s="792"/>
      <c r="BE120" s="792"/>
      <c r="BF120" s="792"/>
      <c r="BG120" s="792"/>
      <c r="BH120" s="792"/>
      <c r="BI120" s="792"/>
      <c r="BJ120" s="792"/>
      <c r="BK120" s="792"/>
      <c r="BL120" s="792"/>
      <c r="BM120" s="792"/>
      <c r="BN120" s="792"/>
      <c r="BO120" s="792"/>
      <c r="BP120" s="792"/>
      <c r="BQ120" s="792"/>
      <c r="BR120" s="792"/>
      <c r="BS120" s="792"/>
      <c r="BT120" s="792"/>
      <c r="BU120" s="792"/>
      <c r="BV120" s="792"/>
      <c r="BW120" s="792"/>
      <c r="BX120" s="792"/>
      <c r="BY120" s="792"/>
      <c r="BZ120" s="792"/>
      <c r="CA120" s="792"/>
      <c r="CB120" s="792"/>
      <c r="CC120" s="792"/>
      <c r="CD120" s="792"/>
      <c r="CE120" s="792"/>
      <c r="CF120" s="792"/>
      <c r="CG120" s="792"/>
      <c r="CH120" s="792"/>
      <c r="CI120" s="792"/>
      <c r="CJ120" s="792"/>
      <c r="CK120" s="792"/>
      <c r="CL120" s="792"/>
      <c r="CM120" s="792"/>
      <c r="CN120" s="792"/>
      <c r="CO120" s="792"/>
      <c r="CP120" s="792"/>
      <c r="CQ120" s="792"/>
      <c r="CR120" s="792"/>
      <c r="CS120" s="792"/>
      <c r="CT120" s="792"/>
      <c r="CU120" s="792"/>
      <c r="CV120" s="792"/>
      <c r="CW120" s="792"/>
      <c r="CX120" s="792"/>
      <c r="CY120" s="792"/>
      <c r="CZ120" s="792"/>
      <c r="DA120" s="792"/>
      <c r="DB120" s="792"/>
      <c r="DC120" s="792"/>
    </row>
    <row r="121" spans="1:107" s="305" customFormat="1" ht="12" x14ac:dyDescent="0.2">
      <c r="A121" s="792"/>
      <c r="B121" s="842" t="s">
        <v>441</v>
      </c>
      <c r="C121" s="810"/>
      <c r="D121" s="843" t="s">
        <v>31</v>
      </c>
      <c r="E121" s="846">
        <f>'Calculations - Ref system'!E85</f>
        <v>0</v>
      </c>
      <c r="F121" s="846">
        <f>'Calculations - Ref system'!F85</f>
        <v>0</v>
      </c>
      <c r="G121" s="846">
        <f>'Calculations - Ref system'!G85</f>
        <v>0.12127659574468085</v>
      </c>
      <c r="H121" s="847">
        <f>'Calculations - Ref system'!H85</f>
        <v>0.12127659574468085</v>
      </c>
      <c r="I121" s="792"/>
      <c r="J121" s="792"/>
      <c r="K121" s="792"/>
      <c r="L121" s="792"/>
      <c r="M121" s="792"/>
      <c r="N121" s="792"/>
      <c r="O121" s="792"/>
      <c r="P121" s="792"/>
      <c r="Q121" s="792"/>
      <c r="R121" s="792"/>
      <c r="S121" s="792"/>
      <c r="T121" s="792"/>
      <c r="U121" s="792"/>
      <c r="V121" s="792"/>
      <c r="W121" s="792"/>
      <c r="X121" s="792"/>
      <c r="Y121" s="792"/>
      <c r="Z121" s="792"/>
      <c r="AA121" s="792"/>
      <c r="AB121" s="792"/>
      <c r="AC121" s="792"/>
      <c r="AD121" s="792"/>
      <c r="AE121" s="792"/>
      <c r="AF121" s="792"/>
      <c r="AG121" s="792"/>
      <c r="AH121" s="792"/>
      <c r="AI121" s="792"/>
      <c r="AJ121" s="792"/>
      <c r="AK121" s="792"/>
      <c r="AL121" s="792"/>
      <c r="AM121" s="792"/>
      <c r="AN121" s="792"/>
      <c r="AO121" s="792"/>
      <c r="AP121" s="792"/>
      <c r="AQ121" s="792"/>
      <c r="AR121" s="792"/>
      <c r="AS121" s="792"/>
      <c r="AT121" s="792"/>
      <c r="AU121" s="792"/>
      <c r="AV121" s="792"/>
      <c r="AW121" s="792"/>
      <c r="AX121" s="792"/>
      <c r="AY121" s="792"/>
      <c r="AZ121" s="792"/>
      <c r="BA121" s="792"/>
      <c r="BB121" s="792"/>
      <c r="BC121" s="792"/>
      <c r="BD121" s="792"/>
      <c r="BE121" s="792"/>
      <c r="BF121" s="792"/>
      <c r="BG121" s="792"/>
      <c r="BH121" s="792"/>
      <c r="BI121" s="792"/>
      <c r="BJ121" s="792"/>
      <c r="BK121" s="792"/>
      <c r="BL121" s="792"/>
      <c r="BM121" s="792"/>
      <c r="BN121" s="792"/>
      <c r="BO121" s="792"/>
      <c r="BP121" s="792"/>
      <c r="BQ121" s="792"/>
      <c r="BR121" s="792"/>
      <c r="BS121" s="792"/>
      <c r="BT121" s="792"/>
      <c r="BU121" s="792"/>
      <c r="BV121" s="792"/>
      <c r="BW121" s="792"/>
      <c r="BX121" s="792"/>
      <c r="BY121" s="792"/>
      <c r="BZ121" s="792"/>
      <c r="CA121" s="792"/>
      <c r="CB121" s="792"/>
      <c r="CC121" s="792"/>
      <c r="CD121" s="792"/>
      <c r="CE121" s="792"/>
      <c r="CF121" s="792"/>
      <c r="CG121" s="792"/>
      <c r="CH121" s="792"/>
      <c r="CI121" s="792"/>
      <c r="CJ121" s="792"/>
      <c r="CK121" s="792"/>
      <c r="CL121" s="792"/>
      <c r="CM121" s="792"/>
      <c r="CN121" s="792"/>
      <c r="CO121" s="792"/>
      <c r="CP121" s="792"/>
      <c r="CQ121" s="792"/>
      <c r="CR121" s="792"/>
      <c r="CS121" s="792"/>
      <c r="CT121" s="792"/>
      <c r="CU121" s="792"/>
      <c r="CV121" s="792"/>
      <c r="CW121" s="792"/>
      <c r="CX121" s="792"/>
      <c r="CY121" s="792"/>
      <c r="CZ121" s="792"/>
      <c r="DA121" s="792"/>
      <c r="DB121" s="792"/>
      <c r="DC121" s="792"/>
    </row>
    <row r="122" spans="1:107" s="305" customFormat="1" ht="12" x14ac:dyDescent="0.2">
      <c r="A122" s="792"/>
      <c r="B122" s="842" t="s">
        <v>319</v>
      </c>
      <c r="C122" s="810"/>
      <c r="D122" s="843" t="s">
        <v>31</v>
      </c>
      <c r="E122" s="846">
        <f>E120-E121</f>
        <v>0</v>
      </c>
      <c r="F122" s="846">
        <f>F120-F121</f>
        <v>0</v>
      </c>
      <c r="G122" s="846">
        <f>G120-G121</f>
        <v>0</v>
      </c>
      <c r="H122" s="847">
        <f>H120-H121</f>
        <v>0</v>
      </c>
      <c r="I122" s="792"/>
      <c r="J122" s="792"/>
      <c r="K122" s="792"/>
      <c r="L122" s="792"/>
      <c r="M122" s="792"/>
      <c r="N122" s="792"/>
      <c r="O122" s="792"/>
      <c r="P122" s="792"/>
      <c r="Q122" s="792"/>
      <c r="R122" s="792"/>
      <c r="S122" s="792"/>
      <c r="T122" s="792"/>
      <c r="U122" s="792"/>
      <c r="V122" s="792"/>
      <c r="W122" s="792"/>
      <c r="X122" s="792"/>
      <c r="Y122" s="792"/>
      <c r="Z122" s="792"/>
      <c r="AA122" s="792"/>
      <c r="AB122" s="792"/>
      <c r="AC122" s="792"/>
      <c r="AD122" s="792"/>
      <c r="AE122" s="792"/>
      <c r="AF122" s="792"/>
      <c r="AG122" s="792"/>
      <c r="AH122" s="792"/>
      <c r="AI122" s="792"/>
      <c r="AJ122" s="792"/>
      <c r="AK122" s="792"/>
      <c r="AL122" s="792"/>
      <c r="AM122" s="792"/>
      <c r="AN122" s="792"/>
      <c r="AO122" s="792"/>
      <c r="AP122" s="792"/>
      <c r="AQ122" s="792"/>
      <c r="AR122" s="792"/>
      <c r="AS122" s="792"/>
      <c r="AT122" s="792"/>
      <c r="AU122" s="792"/>
      <c r="AV122" s="792"/>
      <c r="AW122" s="792"/>
      <c r="AX122" s="792"/>
      <c r="AY122" s="792"/>
      <c r="AZ122" s="792"/>
      <c r="BA122" s="792"/>
      <c r="BB122" s="792"/>
      <c r="BC122" s="792"/>
      <c r="BD122" s="792"/>
      <c r="BE122" s="792"/>
      <c r="BF122" s="792"/>
      <c r="BG122" s="792"/>
      <c r="BH122" s="792"/>
      <c r="BI122" s="792"/>
      <c r="BJ122" s="792"/>
      <c r="BK122" s="792"/>
      <c r="BL122" s="792"/>
      <c r="BM122" s="792"/>
      <c r="BN122" s="792"/>
      <c r="BO122" s="792"/>
      <c r="BP122" s="792"/>
      <c r="BQ122" s="792"/>
      <c r="BR122" s="792"/>
      <c r="BS122" s="792"/>
      <c r="BT122" s="792"/>
      <c r="BU122" s="792"/>
      <c r="BV122" s="792"/>
      <c r="BW122" s="792"/>
      <c r="BX122" s="792"/>
      <c r="BY122" s="792"/>
      <c r="BZ122" s="792"/>
      <c r="CA122" s="792"/>
      <c r="CB122" s="792"/>
      <c r="CC122" s="792"/>
      <c r="CD122" s="792"/>
      <c r="CE122" s="792"/>
      <c r="CF122" s="792"/>
      <c r="CG122" s="792"/>
      <c r="CH122" s="792"/>
      <c r="CI122" s="792"/>
      <c r="CJ122" s="792"/>
      <c r="CK122" s="792"/>
      <c r="CL122" s="792"/>
      <c r="CM122" s="792"/>
      <c r="CN122" s="792"/>
      <c r="CO122" s="792"/>
      <c r="CP122" s="792"/>
      <c r="CQ122" s="792"/>
      <c r="CR122" s="792"/>
      <c r="CS122" s="792"/>
      <c r="CT122" s="792"/>
      <c r="CU122" s="792"/>
      <c r="CV122" s="792"/>
      <c r="CW122" s="792"/>
      <c r="CX122" s="792"/>
      <c r="CY122" s="792"/>
      <c r="CZ122" s="792"/>
      <c r="DA122" s="792"/>
      <c r="DB122" s="792"/>
      <c r="DC122" s="792"/>
    </row>
    <row r="123" spans="1:107" s="305" customFormat="1" ht="12.75" thickBot="1" x14ac:dyDescent="0.25">
      <c r="A123" s="792"/>
      <c r="B123" s="853" t="s">
        <v>319</v>
      </c>
      <c r="C123" s="814"/>
      <c r="D123" s="861" t="s">
        <v>272</v>
      </c>
      <c r="E123" s="862">
        <f>+'Calculations - Techn'!E96</f>
        <v>0</v>
      </c>
      <c r="F123" s="862">
        <f>+'Calculations - Techn'!F96</f>
        <v>0</v>
      </c>
      <c r="G123" s="862">
        <f>+'Calculations - Techn'!G96</f>
        <v>0</v>
      </c>
      <c r="H123" s="863">
        <f>+'Calculations - Techn'!H96</f>
        <v>0</v>
      </c>
      <c r="I123" s="792"/>
      <c r="J123" s="792"/>
      <c r="K123" s="792"/>
      <c r="L123" s="792"/>
      <c r="M123" s="792"/>
      <c r="N123" s="792"/>
      <c r="O123" s="792"/>
      <c r="P123" s="792"/>
      <c r="Q123" s="792"/>
      <c r="R123" s="792"/>
      <c r="S123" s="792"/>
      <c r="T123" s="792"/>
      <c r="U123" s="792"/>
      <c r="V123" s="792"/>
      <c r="W123" s="792"/>
      <c r="X123" s="792"/>
      <c r="Y123" s="792"/>
      <c r="Z123" s="792"/>
      <c r="AA123" s="792"/>
      <c r="AB123" s="792"/>
      <c r="AC123" s="792"/>
      <c r="AD123" s="792"/>
      <c r="AE123" s="792"/>
      <c r="AF123" s="792"/>
      <c r="AG123" s="792"/>
      <c r="AH123" s="792"/>
      <c r="AI123" s="792"/>
      <c r="AJ123" s="792"/>
      <c r="AK123" s="792"/>
      <c r="AL123" s="792"/>
      <c r="AM123" s="792"/>
      <c r="AN123" s="792"/>
      <c r="AO123" s="792"/>
      <c r="AP123" s="792"/>
      <c r="AQ123" s="792"/>
      <c r="AR123" s="792"/>
      <c r="AS123" s="792"/>
      <c r="AT123" s="792"/>
      <c r="AU123" s="792"/>
      <c r="AV123" s="792"/>
      <c r="AW123" s="792"/>
      <c r="AX123" s="792"/>
      <c r="AY123" s="792"/>
      <c r="AZ123" s="792"/>
      <c r="BA123" s="792"/>
      <c r="BB123" s="792"/>
      <c r="BC123" s="792"/>
      <c r="BD123" s="792"/>
      <c r="BE123" s="792"/>
      <c r="BF123" s="792"/>
      <c r="BG123" s="792"/>
      <c r="BH123" s="792"/>
      <c r="BI123" s="792"/>
      <c r="BJ123" s="792"/>
      <c r="BK123" s="792"/>
      <c r="BL123" s="792"/>
      <c r="BM123" s="792"/>
      <c r="BN123" s="792"/>
      <c r="BO123" s="792"/>
      <c r="BP123" s="792"/>
      <c r="BQ123" s="792"/>
      <c r="BR123" s="792"/>
      <c r="BS123" s="792"/>
      <c r="BT123" s="792"/>
      <c r="BU123" s="792"/>
      <c r="BV123" s="792"/>
      <c r="BW123" s="792"/>
      <c r="BX123" s="792"/>
      <c r="BY123" s="792"/>
      <c r="BZ123" s="792"/>
      <c r="CA123" s="792"/>
      <c r="CB123" s="792"/>
      <c r="CC123" s="792"/>
      <c r="CD123" s="792"/>
      <c r="CE123" s="792"/>
      <c r="CF123" s="792"/>
      <c r="CG123" s="792"/>
      <c r="CH123" s="792"/>
      <c r="CI123" s="792"/>
      <c r="CJ123" s="792"/>
      <c r="CK123" s="792"/>
      <c r="CL123" s="792"/>
      <c r="CM123" s="792"/>
      <c r="CN123" s="792"/>
      <c r="CO123" s="792"/>
      <c r="CP123" s="792"/>
      <c r="CQ123" s="792"/>
      <c r="CR123" s="792"/>
      <c r="CS123" s="792"/>
      <c r="CT123" s="792"/>
      <c r="CU123" s="792"/>
      <c r="CV123" s="792"/>
      <c r="CW123" s="792"/>
      <c r="CX123" s="792"/>
      <c r="CY123" s="792"/>
      <c r="CZ123" s="792"/>
      <c r="DA123" s="792"/>
      <c r="DB123" s="792"/>
      <c r="DC123" s="792"/>
    </row>
    <row r="124" spans="1:107" s="305" customFormat="1" ht="12.75" x14ac:dyDescent="0.25">
      <c r="A124" s="792"/>
      <c r="B124" s="864" t="s">
        <v>362</v>
      </c>
      <c r="C124" s="792"/>
      <c r="D124" s="792"/>
      <c r="E124" s="792"/>
      <c r="F124" s="792"/>
      <c r="G124" s="792"/>
      <c r="H124" s="792"/>
      <c r="I124" s="792"/>
      <c r="J124" s="792"/>
      <c r="K124" s="792"/>
      <c r="L124" s="792"/>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2"/>
      <c r="AJ124" s="792"/>
      <c r="AK124" s="792"/>
      <c r="AL124" s="792"/>
      <c r="AM124" s="792"/>
      <c r="AN124" s="792"/>
      <c r="AO124" s="792"/>
      <c r="AP124" s="792"/>
      <c r="AQ124" s="792"/>
      <c r="AR124" s="792"/>
      <c r="AS124" s="792"/>
      <c r="AT124" s="792"/>
      <c r="AU124" s="792"/>
      <c r="AV124" s="792"/>
      <c r="AW124" s="792"/>
      <c r="AX124" s="792"/>
      <c r="AY124" s="792"/>
      <c r="AZ124" s="792"/>
      <c r="BA124" s="792"/>
      <c r="BB124" s="792"/>
      <c r="BC124" s="792"/>
      <c r="BD124" s="792"/>
      <c r="BE124" s="792"/>
      <c r="BF124" s="792"/>
      <c r="BG124" s="792"/>
      <c r="BH124" s="792"/>
      <c r="BI124" s="792"/>
      <c r="BJ124" s="792"/>
      <c r="BK124" s="792"/>
      <c r="BL124" s="792"/>
      <c r="BM124" s="792"/>
      <c r="BN124" s="792"/>
      <c r="BO124" s="792"/>
      <c r="BP124" s="792"/>
      <c r="BQ124" s="792"/>
      <c r="BR124" s="792"/>
      <c r="BS124" s="792"/>
      <c r="BT124" s="792"/>
      <c r="BU124" s="792"/>
      <c r="BV124" s="792"/>
      <c r="BW124" s="792"/>
      <c r="BX124" s="792"/>
      <c r="BY124" s="792"/>
      <c r="BZ124" s="792"/>
      <c r="CA124" s="792"/>
      <c r="CB124" s="792"/>
      <c r="CC124" s="792"/>
      <c r="CD124" s="792"/>
      <c r="CE124" s="792"/>
      <c r="CF124" s="792"/>
      <c r="CG124" s="792"/>
      <c r="CH124" s="792"/>
      <c r="CI124" s="792"/>
      <c r="CJ124" s="792"/>
      <c r="CK124" s="792"/>
      <c r="CL124" s="792"/>
      <c r="CM124" s="792"/>
      <c r="CN124" s="792"/>
      <c r="CO124" s="792"/>
      <c r="CP124" s="792"/>
      <c r="CQ124" s="792"/>
      <c r="CR124" s="792"/>
      <c r="CS124" s="792"/>
      <c r="CT124" s="792"/>
      <c r="CU124" s="792"/>
      <c r="CV124" s="792"/>
      <c r="CW124" s="792"/>
      <c r="CX124" s="792"/>
      <c r="CY124" s="792"/>
      <c r="CZ124" s="792"/>
      <c r="DA124" s="792"/>
      <c r="DB124" s="792"/>
      <c r="DC124" s="792"/>
    </row>
    <row r="125" spans="1:107" s="305" customFormat="1" ht="12" x14ac:dyDescent="0.2">
      <c r="A125" s="792"/>
      <c r="B125" s="865" t="s">
        <v>849</v>
      </c>
      <c r="C125" s="792"/>
      <c r="D125" s="792"/>
      <c r="E125" s="792"/>
      <c r="F125" s="792"/>
      <c r="G125" s="792"/>
      <c r="H125" s="792"/>
      <c r="I125" s="792"/>
      <c r="J125" s="792"/>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2"/>
      <c r="AJ125" s="792"/>
      <c r="AK125" s="792"/>
      <c r="AL125" s="792"/>
      <c r="AM125" s="792"/>
      <c r="AN125" s="792"/>
      <c r="AO125" s="792"/>
      <c r="AP125" s="792"/>
      <c r="AQ125" s="792"/>
      <c r="AR125" s="792"/>
      <c r="AS125" s="792"/>
      <c r="AT125" s="792"/>
      <c r="AU125" s="792"/>
      <c r="AV125" s="792"/>
      <c r="AW125" s="792"/>
      <c r="AX125" s="792"/>
      <c r="AY125" s="792"/>
      <c r="AZ125" s="792"/>
      <c r="BA125" s="792"/>
      <c r="BB125" s="792"/>
      <c r="BC125" s="792"/>
      <c r="BD125" s="792"/>
      <c r="BE125" s="792"/>
      <c r="BF125" s="792"/>
      <c r="BG125" s="792"/>
      <c r="BH125" s="792"/>
      <c r="BI125" s="792"/>
      <c r="BJ125" s="792"/>
      <c r="BK125" s="792"/>
      <c r="BL125" s="792"/>
      <c r="BM125" s="792"/>
      <c r="BN125" s="792"/>
      <c r="BO125" s="792"/>
      <c r="BP125" s="792"/>
      <c r="BQ125" s="792"/>
      <c r="BR125" s="792"/>
      <c r="BS125" s="792"/>
      <c r="BT125" s="792"/>
      <c r="BU125" s="792"/>
      <c r="BV125" s="792"/>
      <c r="BW125" s="792"/>
      <c r="BX125" s="792"/>
      <c r="BY125" s="792"/>
      <c r="BZ125" s="792"/>
      <c r="CA125" s="792"/>
      <c r="CB125" s="792"/>
      <c r="CC125" s="792"/>
      <c r="CD125" s="792"/>
      <c r="CE125" s="792"/>
      <c r="CF125" s="792"/>
      <c r="CG125" s="792"/>
      <c r="CH125" s="792"/>
      <c r="CI125" s="792"/>
      <c r="CJ125" s="792"/>
      <c r="CK125" s="792"/>
      <c r="CL125" s="792"/>
      <c r="CM125" s="792"/>
      <c r="CN125" s="792"/>
      <c r="CO125" s="792"/>
      <c r="CP125" s="792"/>
      <c r="CQ125" s="792"/>
      <c r="CR125" s="792"/>
      <c r="CS125" s="792"/>
      <c r="CT125" s="792"/>
      <c r="CU125" s="792"/>
      <c r="CV125" s="792"/>
      <c r="CW125" s="792"/>
      <c r="CX125" s="792"/>
      <c r="CY125" s="792"/>
      <c r="CZ125" s="792"/>
      <c r="DA125" s="792"/>
      <c r="DB125" s="792"/>
      <c r="DC125" s="792"/>
    </row>
    <row r="126" spans="1:107" s="305" customFormat="1" ht="12" x14ac:dyDescent="0.2">
      <c r="A126" s="792"/>
      <c r="B126" s="865"/>
      <c r="C126" s="792"/>
      <c r="D126" s="792"/>
      <c r="E126" s="792"/>
      <c r="F126" s="792"/>
      <c r="G126" s="792"/>
      <c r="H126" s="792"/>
      <c r="I126" s="792"/>
      <c r="J126" s="792"/>
      <c r="K126" s="792"/>
      <c r="L126" s="792"/>
      <c r="M126" s="792"/>
      <c r="N126" s="792"/>
      <c r="O126" s="792"/>
      <c r="P126" s="792"/>
      <c r="Q126" s="792"/>
      <c r="R126" s="792"/>
      <c r="S126" s="792"/>
      <c r="T126" s="792"/>
      <c r="U126" s="792"/>
      <c r="V126" s="792"/>
      <c r="W126" s="792"/>
      <c r="X126" s="792"/>
      <c r="Y126" s="792"/>
      <c r="Z126" s="792"/>
      <c r="AA126" s="792"/>
      <c r="AB126" s="792"/>
      <c r="AC126" s="792"/>
      <c r="AD126" s="792"/>
      <c r="AE126" s="792"/>
      <c r="AF126" s="792"/>
      <c r="AG126" s="792"/>
      <c r="AH126" s="792"/>
      <c r="AI126" s="792"/>
      <c r="AJ126" s="792"/>
      <c r="AK126" s="792"/>
      <c r="AL126" s="792"/>
      <c r="AM126" s="792"/>
      <c r="AN126" s="792"/>
      <c r="AO126" s="792"/>
      <c r="AP126" s="792"/>
      <c r="AQ126" s="792"/>
      <c r="AR126" s="792"/>
      <c r="AS126" s="792"/>
      <c r="AT126" s="792"/>
      <c r="AU126" s="792"/>
      <c r="AV126" s="792"/>
      <c r="AW126" s="792"/>
      <c r="AX126" s="792"/>
      <c r="AY126" s="792"/>
      <c r="AZ126" s="792"/>
      <c r="BA126" s="792"/>
      <c r="BB126" s="792"/>
      <c r="BC126" s="792"/>
      <c r="BD126" s="792"/>
      <c r="BE126" s="792"/>
      <c r="BF126" s="792"/>
      <c r="BG126" s="792"/>
      <c r="BH126" s="792"/>
      <c r="BI126" s="792"/>
      <c r="BJ126" s="792"/>
      <c r="BK126" s="792"/>
      <c r="BL126" s="792"/>
      <c r="BM126" s="792"/>
      <c r="BN126" s="792"/>
      <c r="BO126" s="792"/>
      <c r="BP126" s="792"/>
      <c r="BQ126" s="792"/>
      <c r="BR126" s="792"/>
      <c r="BS126" s="792"/>
      <c r="BT126" s="792"/>
      <c r="BU126" s="792"/>
      <c r="BV126" s="792"/>
      <c r="BW126" s="792"/>
      <c r="BX126" s="792"/>
      <c r="BY126" s="792"/>
      <c r="BZ126" s="792"/>
      <c r="CA126" s="792"/>
      <c r="CB126" s="792"/>
      <c r="CC126" s="792"/>
      <c r="CD126" s="792"/>
      <c r="CE126" s="792"/>
      <c r="CF126" s="792"/>
      <c r="CG126" s="792"/>
      <c r="CH126" s="792"/>
      <c r="CI126" s="792"/>
      <c r="CJ126" s="792"/>
      <c r="CK126" s="792"/>
      <c r="CL126" s="792"/>
      <c r="CM126" s="792"/>
      <c r="CN126" s="792"/>
      <c r="CO126" s="792"/>
      <c r="CP126" s="792"/>
      <c r="CQ126" s="792"/>
      <c r="CR126" s="792"/>
      <c r="CS126" s="792"/>
      <c r="CT126" s="792"/>
      <c r="CU126" s="792"/>
      <c r="CV126" s="792"/>
      <c r="CW126" s="792"/>
      <c r="CX126" s="792"/>
      <c r="CY126" s="792"/>
      <c r="CZ126" s="792"/>
      <c r="DA126" s="792"/>
      <c r="DB126" s="792"/>
      <c r="DC126" s="792"/>
    </row>
    <row r="127" spans="1:107" s="305" customFormat="1" ht="12" x14ac:dyDescent="0.2">
      <c r="A127" s="792"/>
      <c r="B127" s="865"/>
      <c r="C127" s="792"/>
      <c r="D127" s="792"/>
      <c r="E127" s="792"/>
      <c r="F127" s="792"/>
      <c r="G127" s="792"/>
      <c r="H127" s="792"/>
      <c r="I127" s="792"/>
      <c r="J127" s="792"/>
      <c r="K127" s="792"/>
      <c r="L127" s="792"/>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2"/>
      <c r="AJ127" s="792"/>
      <c r="AK127" s="792"/>
      <c r="AL127" s="792"/>
      <c r="AM127" s="792"/>
      <c r="AN127" s="792"/>
      <c r="AO127" s="792"/>
      <c r="AP127" s="792"/>
      <c r="AQ127" s="792"/>
      <c r="AR127" s="792"/>
      <c r="AS127" s="792"/>
      <c r="AT127" s="792"/>
      <c r="AU127" s="792"/>
      <c r="AV127" s="792"/>
      <c r="AW127" s="792"/>
      <c r="AX127" s="792"/>
      <c r="AY127" s="792"/>
      <c r="AZ127" s="792"/>
      <c r="BA127" s="792"/>
      <c r="BB127" s="792"/>
      <c r="BC127" s="792"/>
      <c r="BD127" s="792"/>
      <c r="BE127" s="792"/>
      <c r="BF127" s="792"/>
      <c r="BG127" s="792"/>
      <c r="BH127" s="792"/>
      <c r="BI127" s="792"/>
      <c r="BJ127" s="792"/>
      <c r="BK127" s="792"/>
      <c r="BL127" s="792"/>
      <c r="BM127" s="792"/>
      <c r="BN127" s="792"/>
      <c r="BO127" s="792"/>
      <c r="BP127" s="792"/>
      <c r="BQ127" s="792"/>
      <c r="BR127" s="792"/>
      <c r="BS127" s="792"/>
      <c r="BT127" s="792"/>
      <c r="BU127" s="792"/>
      <c r="BV127" s="792"/>
      <c r="BW127" s="792"/>
      <c r="BX127" s="792"/>
      <c r="BY127" s="792"/>
      <c r="BZ127" s="792"/>
      <c r="CA127" s="792"/>
      <c r="CB127" s="792"/>
      <c r="CC127" s="792"/>
      <c r="CD127" s="792"/>
      <c r="CE127" s="792"/>
      <c r="CF127" s="792"/>
      <c r="CG127" s="792"/>
      <c r="CH127" s="792"/>
      <c r="CI127" s="792"/>
      <c r="CJ127" s="792"/>
      <c r="CK127" s="792"/>
      <c r="CL127" s="792"/>
      <c r="CM127" s="792"/>
      <c r="CN127" s="792"/>
      <c r="CO127" s="792"/>
      <c r="CP127" s="792"/>
      <c r="CQ127" s="792"/>
      <c r="CR127" s="792"/>
      <c r="CS127" s="792"/>
      <c r="CT127" s="792"/>
      <c r="CU127" s="792"/>
      <c r="CV127" s="792"/>
      <c r="CW127" s="792"/>
      <c r="CX127" s="792"/>
      <c r="CY127" s="792"/>
      <c r="CZ127" s="792"/>
      <c r="DA127" s="792"/>
      <c r="DB127" s="792"/>
      <c r="DC127" s="792"/>
    </row>
    <row r="128" spans="1:107" s="305" customFormat="1" ht="12" x14ac:dyDescent="0.2">
      <c r="A128" s="792"/>
      <c r="B128" s="865"/>
      <c r="C128" s="792"/>
      <c r="D128" s="792"/>
      <c r="E128" s="792"/>
      <c r="F128" s="792"/>
      <c r="G128" s="792"/>
      <c r="H128" s="792"/>
      <c r="I128" s="792"/>
      <c r="J128" s="792"/>
      <c r="K128" s="792"/>
      <c r="L128" s="792"/>
      <c r="M128" s="792"/>
      <c r="N128" s="792"/>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2"/>
      <c r="AJ128" s="792"/>
      <c r="AK128" s="792"/>
      <c r="AL128" s="792"/>
      <c r="AM128" s="792"/>
      <c r="AN128" s="792"/>
      <c r="AO128" s="792"/>
      <c r="AP128" s="792"/>
      <c r="AQ128" s="792"/>
      <c r="AR128" s="792"/>
      <c r="AS128" s="792"/>
      <c r="AT128" s="792"/>
      <c r="AU128" s="792"/>
      <c r="AV128" s="792"/>
      <c r="AW128" s="792"/>
      <c r="AX128" s="792"/>
      <c r="AY128" s="792"/>
      <c r="AZ128" s="792"/>
      <c r="BA128" s="792"/>
      <c r="BB128" s="792"/>
      <c r="BC128" s="792"/>
      <c r="BD128" s="792"/>
      <c r="BE128" s="792"/>
      <c r="BF128" s="792"/>
      <c r="BG128" s="792"/>
      <c r="BH128" s="792"/>
      <c r="BI128" s="792"/>
      <c r="BJ128" s="792"/>
      <c r="BK128" s="792"/>
      <c r="BL128" s="792"/>
      <c r="BM128" s="792"/>
      <c r="BN128" s="792"/>
      <c r="BO128" s="792"/>
      <c r="BP128" s="792"/>
      <c r="BQ128" s="792"/>
      <c r="BR128" s="792"/>
      <c r="BS128" s="792"/>
      <c r="BT128" s="792"/>
      <c r="BU128" s="792"/>
      <c r="BV128" s="792"/>
      <c r="BW128" s="792"/>
      <c r="BX128" s="792"/>
      <c r="BY128" s="792"/>
      <c r="BZ128" s="792"/>
      <c r="CA128" s="792"/>
      <c r="CB128" s="792"/>
      <c r="CC128" s="792"/>
      <c r="CD128" s="792"/>
      <c r="CE128" s="792"/>
      <c r="CF128" s="792"/>
      <c r="CG128" s="792"/>
      <c r="CH128" s="792"/>
      <c r="CI128" s="792"/>
      <c r="CJ128" s="792"/>
      <c r="CK128" s="792"/>
      <c r="CL128" s="792"/>
      <c r="CM128" s="792"/>
      <c r="CN128" s="792"/>
      <c r="CO128" s="792"/>
      <c r="CP128" s="792"/>
      <c r="CQ128" s="792"/>
      <c r="CR128" s="792"/>
      <c r="CS128" s="792"/>
      <c r="CT128" s="792"/>
      <c r="CU128" s="792"/>
      <c r="CV128" s="792"/>
      <c r="CW128" s="792"/>
      <c r="CX128" s="792"/>
      <c r="CY128" s="792"/>
      <c r="CZ128" s="792"/>
      <c r="DA128" s="792"/>
      <c r="DB128" s="792"/>
      <c r="DC128" s="792"/>
    </row>
    <row r="129" spans="1:107" s="305" customFormat="1" ht="12.75" x14ac:dyDescent="0.2">
      <c r="A129" s="792"/>
      <c r="B129" s="810"/>
      <c r="C129" s="971" t="s">
        <v>917</v>
      </c>
      <c r="D129" s="792"/>
      <c r="E129" s="792"/>
      <c r="F129" s="792"/>
      <c r="G129" s="792"/>
      <c r="H129" s="792"/>
      <c r="I129" s="792"/>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2"/>
      <c r="AJ129" s="792"/>
      <c r="AK129" s="792"/>
      <c r="AL129" s="792"/>
      <c r="AM129" s="792"/>
      <c r="AN129" s="792"/>
      <c r="AO129" s="792"/>
      <c r="AP129" s="792"/>
      <c r="AQ129" s="792"/>
      <c r="AR129" s="792"/>
      <c r="AS129" s="792"/>
      <c r="AT129" s="792"/>
      <c r="AU129" s="792"/>
      <c r="AV129" s="792"/>
      <c r="AW129" s="792"/>
      <c r="AX129" s="792"/>
      <c r="AY129" s="792"/>
      <c r="AZ129" s="792"/>
      <c r="BA129" s="792"/>
      <c r="BB129" s="792"/>
      <c r="BC129" s="792"/>
      <c r="BD129" s="792"/>
      <c r="BE129" s="792"/>
      <c r="BF129" s="792"/>
      <c r="BG129" s="792"/>
      <c r="BH129" s="792"/>
      <c r="BI129" s="792"/>
      <c r="BJ129" s="792"/>
      <c r="BK129" s="792"/>
      <c r="BL129" s="792"/>
      <c r="BM129" s="792"/>
      <c r="BN129" s="792"/>
      <c r="BO129" s="792"/>
      <c r="BP129" s="792"/>
      <c r="BQ129" s="792"/>
      <c r="BR129" s="792"/>
      <c r="BS129" s="792"/>
      <c r="BT129" s="792"/>
      <c r="BU129" s="792"/>
      <c r="BV129" s="792"/>
      <c r="BW129" s="792"/>
      <c r="BX129" s="792"/>
      <c r="BY129" s="792"/>
      <c r="BZ129" s="792"/>
      <c r="CA129" s="792"/>
      <c r="CB129" s="792"/>
      <c r="CC129" s="792"/>
      <c r="CD129" s="792"/>
      <c r="CE129" s="792"/>
      <c r="CF129" s="792"/>
      <c r="CG129" s="792"/>
      <c r="CH129" s="792"/>
      <c r="CI129" s="792"/>
      <c r="CJ129" s="792"/>
      <c r="CK129" s="792"/>
      <c r="CL129" s="792"/>
      <c r="CM129" s="792"/>
      <c r="CN129" s="792"/>
      <c r="CO129" s="792"/>
      <c r="CP129" s="792"/>
      <c r="CQ129" s="792"/>
      <c r="CR129" s="792"/>
      <c r="CS129" s="792"/>
      <c r="CT129" s="792"/>
      <c r="CU129" s="792"/>
      <c r="CV129" s="792"/>
      <c r="CW129" s="792"/>
      <c r="CX129" s="792"/>
      <c r="CY129" s="792"/>
      <c r="CZ129" s="792"/>
      <c r="DA129" s="792"/>
      <c r="DB129" s="792"/>
      <c r="DC129" s="792"/>
    </row>
    <row r="130" spans="1:107" s="305" customFormat="1" ht="14.25" x14ac:dyDescent="0.25">
      <c r="A130" s="792"/>
      <c r="B130" s="810"/>
      <c r="C130" s="969">
        <f>$H$96</f>
        <v>-0.49568651838908162</v>
      </c>
      <c r="D130" s="970" t="s">
        <v>916</v>
      </c>
      <c r="E130" s="792"/>
      <c r="F130" s="972">
        <f>$H$117</f>
        <v>0.22083951494434029</v>
      </c>
      <c r="G130" s="973">
        <f>$H$122</f>
        <v>0</v>
      </c>
      <c r="H130" s="792"/>
      <c r="I130" s="792"/>
      <c r="J130" s="792"/>
      <c r="K130" s="792"/>
      <c r="L130" s="792"/>
      <c r="M130" s="792"/>
      <c r="N130" s="792"/>
      <c r="O130" s="792"/>
      <c r="P130" s="792"/>
      <c r="Q130" s="792"/>
      <c r="R130" s="792"/>
      <c r="S130" s="792"/>
      <c r="T130" s="792"/>
      <c r="U130" s="792"/>
      <c r="V130" s="792"/>
      <c r="W130" s="792"/>
      <c r="X130" s="792"/>
      <c r="Y130" s="792"/>
      <c r="Z130" s="792"/>
      <c r="AA130" s="792"/>
      <c r="AB130" s="792"/>
      <c r="AC130" s="792"/>
      <c r="AD130" s="792"/>
      <c r="AE130" s="792"/>
      <c r="AF130" s="792"/>
      <c r="AG130" s="792"/>
      <c r="AH130" s="792"/>
      <c r="AI130" s="792"/>
      <c r="AJ130" s="792"/>
      <c r="AK130" s="792"/>
      <c r="AL130" s="792"/>
      <c r="AM130" s="792"/>
      <c r="AN130" s="792"/>
      <c r="AO130" s="792"/>
      <c r="AP130" s="792"/>
      <c r="AQ130" s="792"/>
      <c r="AR130" s="792"/>
      <c r="AS130" s="792"/>
      <c r="AT130" s="792"/>
      <c r="AU130" s="792"/>
      <c r="AV130" s="792"/>
      <c r="AW130" s="792"/>
      <c r="AX130" s="792"/>
      <c r="AY130" s="792"/>
      <c r="AZ130" s="792"/>
      <c r="BA130" s="792"/>
      <c r="BB130" s="792"/>
      <c r="BC130" s="792"/>
      <c r="BD130" s="792"/>
      <c r="BE130" s="792"/>
      <c r="BF130" s="792"/>
      <c r="BG130" s="792"/>
      <c r="BH130" s="792"/>
      <c r="BI130" s="792"/>
      <c r="BJ130" s="792"/>
      <c r="BK130" s="792"/>
      <c r="BL130" s="792"/>
      <c r="BM130" s="792"/>
      <c r="BN130" s="792"/>
      <c r="BO130" s="792"/>
      <c r="BP130" s="792"/>
      <c r="BQ130" s="792"/>
      <c r="BR130" s="792"/>
      <c r="BS130" s="792"/>
      <c r="BT130" s="792"/>
      <c r="BU130" s="792"/>
      <c r="BV130" s="792"/>
      <c r="BW130" s="792"/>
      <c r="BX130" s="792"/>
      <c r="BY130" s="792"/>
      <c r="BZ130" s="792"/>
      <c r="CA130" s="792"/>
      <c r="CB130" s="792"/>
      <c r="CC130" s="792"/>
      <c r="CD130" s="792"/>
      <c r="CE130" s="792"/>
      <c r="CF130" s="792"/>
      <c r="CG130" s="792"/>
      <c r="CH130" s="792"/>
      <c r="CI130" s="792"/>
      <c r="CJ130" s="792"/>
      <c r="CK130" s="792"/>
      <c r="CL130" s="792"/>
      <c r="CM130" s="792"/>
      <c r="CN130" s="792"/>
      <c r="CO130" s="792"/>
      <c r="CP130" s="792"/>
      <c r="CQ130" s="792"/>
      <c r="CR130" s="792"/>
      <c r="CS130" s="792"/>
      <c r="CT130" s="792"/>
      <c r="CU130" s="792"/>
      <c r="CV130" s="792"/>
      <c r="CW130" s="792"/>
      <c r="CX130" s="792"/>
      <c r="CY130" s="792"/>
      <c r="CZ130" s="792"/>
      <c r="DA130" s="792"/>
      <c r="DB130" s="792"/>
      <c r="DC130" s="792"/>
    </row>
    <row r="131" spans="1:107" s="305" customFormat="1" ht="12.75" x14ac:dyDescent="0.2">
      <c r="A131" s="792"/>
      <c r="B131" s="865"/>
      <c r="C131" s="792"/>
      <c r="D131" s="792"/>
      <c r="E131" s="792"/>
      <c r="F131" s="974" t="s">
        <v>908</v>
      </c>
      <c r="G131" s="974" t="s">
        <v>909</v>
      </c>
      <c r="H131" s="792"/>
      <c r="I131" s="792"/>
      <c r="J131" s="792"/>
      <c r="K131" s="792"/>
      <c r="L131" s="792"/>
      <c r="M131" s="792"/>
      <c r="N131" s="792"/>
      <c r="O131" s="792"/>
      <c r="P131" s="792"/>
      <c r="Q131" s="792"/>
      <c r="R131" s="792"/>
      <c r="S131" s="792"/>
      <c r="T131" s="792"/>
      <c r="U131" s="792"/>
      <c r="V131" s="792"/>
      <c r="W131" s="792"/>
      <c r="X131" s="792"/>
      <c r="Y131" s="792"/>
      <c r="Z131" s="792"/>
      <c r="AA131" s="792"/>
      <c r="AB131" s="792"/>
      <c r="AC131" s="792"/>
      <c r="AD131" s="792"/>
      <c r="AE131" s="792"/>
      <c r="AF131" s="792"/>
      <c r="AG131" s="792"/>
      <c r="AH131" s="792"/>
      <c r="AI131" s="792"/>
      <c r="AJ131" s="792"/>
      <c r="AK131" s="792"/>
      <c r="AL131" s="792"/>
      <c r="AM131" s="792"/>
      <c r="AN131" s="792"/>
      <c r="AO131" s="792"/>
      <c r="AP131" s="792"/>
      <c r="AQ131" s="792"/>
      <c r="AR131" s="792"/>
      <c r="AS131" s="792"/>
      <c r="AT131" s="792"/>
      <c r="AU131" s="792"/>
      <c r="AV131" s="792"/>
      <c r="AW131" s="792"/>
      <c r="AX131" s="792"/>
      <c r="AY131" s="792"/>
      <c r="AZ131" s="792"/>
      <c r="BA131" s="792"/>
      <c r="BB131" s="792"/>
      <c r="BC131" s="792"/>
      <c r="BD131" s="792"/>
      <c r="BE131" s="792"/>
      <c r="BF131" s="792"/>
      <c r="BG131" s="792"/>
      <c r="BH131" s="792"/>
      <c r="BI131" s="792"/>
      <c r="BJ131" s="792"/>
      <c r="BK131" s="792"/>
      <c r="BL131" s="792"/>
      <c r="BM131" s="792"/>
      <c r="BN131" s="792"/>
      <c r="BO131" s="792"/>
      <c r="BP131" s="792"/>
      <c r="BQ131" s="792"/>
      <c r="BR131" s="792"/>
      <c r="BS131" s="792"/>
      <c r="BT131" s="792"/>
      <c r="BU131" s="792"/>
      <c r="BV131" s="792"/>
      <c r="BW131" s="792"/>
      <c r="BX131" s="792"/>
      <c r="BY131" s="792"/>
      <c r="BZ131" s="792"/>
      <c r="CA131" s="792"/>
      <c r="CB131" s="792"/>
      <c r="CC131" s="792"/>
      <c r="CD131" s="792"/>
      <c r="CE131" s="792"/>
      <c r="CF131" s="792"/>
      <c r="CG131" s="792"/>
      <c r="CH131" s="792"/>
      <c r="CI131" s="792"/>
      <c r="CJ131" s="792"/>
      <c r="CK131" s="792"/>
      <c r="CL131" s="792"/>
      <c r="CM131" s="792"/>
      <c r="CN131" s="792"/>
      <c r="CO131" s="792"/>
      <c r="CP131" s="792"/>
      <c r="CQ131" s="792"/>
      <c r="CR131" s="792"/>
      <c r="CS131" s="792"/>
      <c r="CT131" s="792"/>
      <c r="CU131" s="792"/>
      <c r="CV131" s="792"/>
      <c r="CW131" s="792"/>
      <c r="CX131" s="792"/>
      <c r="CY131" s="792"/>
      <c r="CZ131" s="792"/>
      <c r="DA131" s="792"/>
      <c r="DB131" s="792"/>
      <c r="DC131" s="792"/>
    </row>
    <row r="132" spans="1:107" s="305" customFormat="1" ht="12" x14ac:dyDescent="0.2">
      <c r="A132" s="792"/>
      <c r="B132" s="865"/>
      <c r="C132" s="792"/>
      <c r="D132" s="792"/>
      <c r="E132" s="792"/>
      <c r="F132" s="792"/>
      <c r="G132" s="792"/>
      <c r="H132" s="792"/>
      <c r="I132" s="792"/>
      <c r="J132" s="792"/>
      <c r="K132" s="792"/>
      <c r="L132" s="792"/>
      <c r="M132" s="792"/>
      <c r="N132" s="792"/>
      <c r="O132" s="792"/>
      <c r="P132" s="792"/>
      <c r="Q132" s="792"/>
      <c r="R132" s="792"/>
      <c r="S132" s="792"/>
      <c r="T132" s="792"/>
      <c r="U132" s="792"/>
      <c r="V132" s="792"/>
      <c r="W132" s="792"/>
      <c r="X132" s="792"/>
      <c r="Y132" s="792"/>
      <c r="Z132" s="792"/>
      <c r="AA132" s="792"/>
      <c r="AB132" s="792"/>
      <c r="AC132" s="792"/>
      <c r="AD132" s="792"/>
      <c r="AE132" s="792"/>
      <c r="AF132" s="792"/>
      <c r="AG132" s="792"/>
      <c r="AH132" s="792"/>
      <c r="AI132" s="792"/>
      <c r="AJ132" s="792"/>
      <c r="AK132" s="792"/>
      <c r="AL132" s="792"/>
      <c r="AM132" s="792"/>
      <c r="AN132" s="792"/>
      <c r="AO132" s="792"/>
      <c r="AP132" s="792"/>
      <c r="AQ132" s="792"/>
      <c r="AR132" s="792"/>
      <c r="AS132" s="792"/>
      <c r="AT132" s="792"/>
      <c r="AU132" s="792"/>
      <c r="AV132" s="792"/>
      <c r="AW132" s="792"/>
      <c r="AX132" s="792"/>
      <c r="AY132" s="792"/>
      <c r="AZ132" s="792"/>
      <c r="BA132" s="792"/>
      <c r="BB132" s="792"/>
      <c r="BC132" s="792"/>
      <c r="BD132" s="792"/>
      <c r="BE132" s="792"/>
      <c r="BF132" s="792"/>
      <c r="BG132" s="792"/>
      <c r="BH132" s="792"/>
      <c r="BI132" s="792"/>
      <c r="BJ132" s="792"/>
      <c r="BK132" s="792"/>
      <c r="BL132" s="792"/>
      <c r="BM132" s="792"/>
      <c r="BN132" s="792"/>
      <c r="BO132" s="792"/>
      <c r="BP132" s="792"/>
      <c r="BQ132" s="792"/>
      <c r="BR132" s="792"/>
      <c r="BS132" s="792"/>
      <c r="BT132" s="792"/>
      <c r="BU132" s="792"/>
      <c r="BV132" s="792"/>
      <c r="BW132" s="792"/>
      <c r="BX132" s="792"/>
      <c r="BY132" s="792"/>
      <c r="BZ132" s="792"/>
      <c r="CA132" s="792"/>
      <c r="CB132" s="792"/>
      <c r="CC132" s="792"/>
      <c r="CD132" s="792"/>
      <c r="CE132" s="792"/>
      <c r="CF132" s="792"/>
      <c r="CG132" s="792"/>
      <c r="CH132" s="792"/>
      <c r="CI132" s="792"/>
      <c r="CJ132" s="792"/>
      <c r="CK132" s="792"/>
      <c r="CL132" s="792"/>
      <c r="CM132" s="792"/>
      <c r="CN132" s="792"/>
      <c r="CO132" s="792"/>
      <c r="CP132" s="792"/>
      <c r="CQ132" s="792"/>
      <c r="CR132" s="792"/>
      <c r="CS132" s="792"/>
      <c r="CT132" s="792"/>
      <c r="CU132" s="792"/>
      <c r="CV132" s="792"/>
      <c r="CW132" s="792"/>
      <c r="CX132" s="792"/>
      <c r="CY132" s="792"/>
      <c r="CZ132" s="792"/>
      <c r="DA132" s="792"/>
      <c r="DB132" s="792"/>
      <c r="DC132" s="792"/>
    </row>
    <row r="133" spans="1:107" s="305" customFormat="1" ht="12" x14ac:dyDescent="0.2">
      <c r="A133" s="792"/>
      <c r="B133" s="865"/>
      <c r="C133" s="792"/>
      <c r="D133" s="792"/>
      <c r="E133" s="792"/>
      <c r="F133" s="792"/>
      <c r="G133" s="792"/>
      <c r="H133" s="792"/>
      <c r="I133" s="792"/>
      <c r="J133" s="792"/>
      <c r="K133" s="792"/>
      <c r="L133" s="792"/>
      <c r="M133" s="792"/>
      <c r="N133" s="792"/>
      <c r="O133" s="792"/>
      <c r="P133" s="792"/>
      <c r="Q133" s="792"/>
      <c r="R133" s="792"/>
      <c r="S133" s="792"/>
      <c r="T133" s="792"/>
      <c r="U133" s="792"/>
      <c r="V133" s="792"/>
      <c r="W133" s="792"/>
      <c r="X133" s="792"/>
      <c r="Y133" s="792"/>
      <c r="Z133" s="792"/>
      <c r="AA133" s="792"/>
      <c r="AB133" s="792"/>
      <c r="AC133" s="792"/>
      <c r="AD133" s="792"/>
      <c r="AE133" s="792"/>
      <c r="AF133" s="792"/>
      <c r="AG133" s="792"/>
      <c r="AH133" s="792"/>
      <c r="AI133" s="792"/>
      <c r="AJ133" s="792"/>
      <c r="AK133" s="792"/>
      <c r="AL133" s="792"/>
      <c r="AM133" s="792"/>
      <c r="AN133" s="792"/>
      <c r="AO133" s="792"/>
      <c r="AP133" s="792"/>
      <c r="AQ133" s="792"/>
      <c r="AR133" s="792"/>
      <c r="AS133" s="792"/>
      <c r="AT133" s="792"/>
      <c r="AU133" s="792"/>
      <c r="AV133" s="792"/>
      <c r="AW133" s="792"/>
      <c r="AX133" s="792"/>
      <c r="AY133" s="792"/>
      <c r="AZ133" s="792"/>
      <c r="BA133" s="792"/>
      <c r="BB133" s="792"/>
      <c r="BC133" s="792"/>
      <c r="BD133" s="792"/>
      <c r="BE133" s="792"/>
      <c r="BF133" s="792"/>
      <c r="BG133" s="792"/>
      <c r="BH133" s="792"/>
      <c r="BI133" s="792"/>
      <c r="BJ133" s="792"/>
      <c r="BK133" s="792"/>
      <c r="BL133" s="792"/>
      <c r="BM133" s="792"/>
      <c r="BN133" s="792"/>
      <c r="BO133" s="792"/>
      <c r="BP133" s="792"/>
      <c r="BQ133" s="792"/>
      <c r="BR133" s="792"/>
      <c r="BS133" s="792"/>
      <c r="BT133" s="792"/>
      <c r="BU133" s="792"/>
      <c r="BV133" s="792"/>
      <c r="BW133" s="792"/>
      <c r="BX133" s="792"/>
      <c r="BY133" s="792"/>
      <c r="BZ133" s="792"/>
      <c r="CA133" s="792"/>
      <c r="CB133" s="792"/>
      <c r="CC133" s="792"/>
      <c r="CD133" s="792"/>
      <c r="CE133" s="792"/>
      <c r="CF133" s="792"/>
      <c r="CG133" s="792"/>
      <c r="CH133" s="792"/>
      <c r="CI133" s="792"/>
      <c r="CJ133" s="792"/>
      <c r="CK133" s="792"/>
      <c r="CL133" s="792"/>
      <c r="CM133" s="792"/>
      <c r="CN133" s="792"/>
      <c r="CO133" s="792"/>
      <c r="CP133" s="792"/>
      <c r="CQ133" s="792"/>
      <c r="CR133" s="792"/>
      <c r="CS133" s="792"/>
      <c r="CT133" s="792"/>
      <c r="CU133" s="792"/>
      <c r="CV133" s="792"/>
      <c r="CW133" s="792"/>
      <c r="CX133" s="792"/>
      <c r="CY133" s="792"/>
      <c r="CZ133" s="792"/>
      <c r="DA133" s="792"/>
      <c r="DB133" s="792"/>
      <c r="DC133" s="792"/>
    </row>
    <row r="134" spans="1:107" s="305" customFormat="1" ht="12" x14ac:dyDescent="0.2">
      <c r="A134" s="792"/>
      <c r="B134" s="865"/>
      <c r="C134" s="792"/>
      <c r="D134" s="792"/>
      <c r="E134" s="792"/>
      <c r="F134" s="792"/>
      <c r="G134" s="792"/>
      <c r="H134" s="792"/>
      <c r="I134" s="792"/>
      <c r="J134" s="792"/>
      <c r="K134" s="792"/>
      <c r="L134" s="792"/>
      <c r="M134" s="792"/>
      <c r="N134" s="792"/>
      <c r="O134" s="792"/>
      <c r="P134" s="792"/>
      <c r="Q134" s="792"/>
      <c r="R134" s="792"/>
      <c r="S134" s="792"/>
      <c r="T134" s="792"/>
      <c r="U134" s="792"/>
      <c r="V134" s="792"/>
      <c r="W134" s="792"/>
      <c r="X134" s="792"/>
      <c r="Y134" s="792"/>
      <c r="Z134" s="792"/>
      <c r="AA134" s="792"/>
      <c r="AB134" s="792"/>
      <c r="AC134" s="792"/>
      <c r="AD134" s="792"/>
      <c r="AE134" s="792"/>
      <c r="AF134" s="792"/>
      <c r="AG134" s="792"/>
      <c r="AH134" s="792"/>
      <c r="AI134" s="792"/>
      <c r="AJ134" s="792"/>
      <c r="AK134" s="792"/>
      <c r="AL134" s="792"/>
      <c r="AM134" s="792"/>
      <c r="AN134" s="792"/>
      <c r="AO134" s="792"/>
      <c r="AP134" s="792"/>
      <c r="AQ134" s="792"/>
      <c r="AR134" s="792"/>
      <c r="AS134" s="792"/>
      <c r="AT134" s="792"/>
      <c r="AU134" s="792"/>
      <c r="AV134" s="792"/>
      <c r="AW134" s="792"/>
      <c r="AX134" s="792"/>
      <c r="AY134" s="792"/>
      <c r="AZ134" s="792"/>
      <c r="BA134" s="792"/>
      <c r="BB134" s="792"/>
      <c r="BC134" s="792"/>
      <c r="BD134" s="792"/>
      <c r="BE134" s="792"/>
      <c r="BF134" s="792"/>
      <c r="BG134" s="792"/>
      <c r="BH134" s="792"/>
      <c r="BI134" s="792"/>
      <c r="BJ134" s="792"/>
      <c r="BK134" s="792"/>
      <c r="BL134" s="792"/>
      <c r="BM134" s="792"/>
      <c r="BN134" s="792"/>
      <c r="BO134" s="792"/>
      <c r="BP134" s="792"/>
      <c r="BQ134" s="792"/>
      <c r="BR134" s="792"/>
      <c r="BS134" s="792"/>
      <c r="BT134" s="792"/>
      <c r="BU134" s="792"/>
      <c r="BV134" s="792"/>
      <c r="BW134" s="792"/>
      <c r="BX134" s="792"/>
      <c r="BY134" s="792"/>
      <c r="BZ134" s="792"/>
      <c r="CA134" s="792"/>
      <c r="CB134" s="792"/>
      <c r="CC134" s="792"/>
      <c r="CD134" s="792"/>
      <c r="CE134" s="792"/>
      <c r="CF134" s="792"/>
      <c r="CG134" s="792"/>
      <c r="CH134" s="792"/>
      <c r="CI134" s="792"/>
      <c r="CJ134" s="792"/>
      <c r="CK134" s="792"/>
      <c r="CL134" s="792"/>
      <c r="CM134" s="792"/>
      <c r="CN134" s="792"/>
      <c r="CO134" s="792"/>
      <c r="CP134" s="792"/>
      <c r="CQ134" s="792"/>
      <c r="CR134" s="792"/>
      <c r="CS134" s="792"/>
      <c r="CT134" s="792"/>
      <c r="CU134" s="792"/>
      <c r="CV134" s="792"/>
      <c r="CW134" s="792"/>
      <c r="CX134" s="792"/>
      <c r="CY134" s="792"/>
      <c r="CZ134" s="792"/>
      <c r="DA134" s="792"/>
      <c r="DB134" s="792"/>
      <c r="DC134" s="792"/>
    </row>
    <row r="135" spans="1:107" s="305" customFormat="1" ht="12" x14ac:dyDescent="0.2">
      <c r="A135" s="792"/>
      <c r="B135" s="865"/>
      <c r="C135" s="792"/>
      <c r="D135" s="792"/>
      <c r="E135" s="792"/>
      <c r="F135" s="792"/>
      <c r="G135" s="792"/>
      <c r="H135" s="792"/>
      <c r="I135" s="792"/>
      <c r="J135" s="792"/>
      <c r="K135" s="792"/>
      <c r="L135" s="792"/>
      <c r="M135" s="792"/>
      <c r="N135" s="792"/>
      <c r="O135" s="792"/>
      <c r="P135" s="792"/>
      <c r="Q135" s="792"/>
      <c r="R135" s="792"/>
      <c r="S135" s="792"/>
      <c r="T135" s="792"/>
      <c r="U135" s="792"/>
      <c r="V135" s="792"/>
      <c r="W135" s="792"/>
      <c r="X135" s="792"/>
      <c r="Y135" s="792"/>
      <c r="Z135" s="792"/>
      <c r="AA135" s="792"/>
      <c r="AB135" s="792"/>
      <c r="AC135" s="792"/>
      <c r="AD135" s="792"/>
      <c r="AE135" s="792"/>
      <c r="AF135" s="792"/>
      <c r="AG135" s="792"/>
      <c r="AH135" s="792"/>
      <c r="AI135" s="792"/>
      <c r="AJ135" s="792"/>
      <c r="AK135" s="792"/>
      <c r="AL135" s="792"/>
      <c r="AM135" s="792"/>
      <c r="AN135" s="792"/>
      <c r="AO135" s="792"/>
      <c r="AP135" s="792"/>
      <c r="AQ135" s="792"/>
      <c r="AR135" s="792"/>
      <c r="AS135" s="792"/>
      <c r="AT135" s="792"/>
      <c r="AU135" s="792"/>
      <c r="AV135" s="792"/>
      <c r="AW135" s="792"/>
      <c r="AX135" s="792"/>
      <c r="AY135" s="792"/>
      <c r="AZ135" s="792"/>
      <c r="BA135" s="792"/>
      <c r="BB135" s="792"/>
      <c r="BC135" s="792"/>
      <c r="BD135" s="792"/>
      <c r="BE135" s="792"/>
      <c r="BF135" s="792"/>
      <c r="BG135" s="792"/>
      <c r="BH135" s="792"/>
      <c r="BI135" s="792"/>
      <c r="BJ135" s="792"/>
      <c r="BK135" s="792"/>
      <c r="BL135" s="792"/>
      <c r="BM135" s="792"/>
      <c r="BN135" s="792"/>
      <c r="BO135" s="792"/>
      <c r="BP135" s="792"/>
      <c r="BQ135" s="792"/>
      <c r="BR135" s="792"/>
      <c r="BS135" s="792"/>
      <c r="BT135" s="792"/>
      <c r="BU135" s="792"/>
      <c r="BV135" s="792"/>
      <c r="BW135" s="792"/>
      <c r="BX135" s="792"/>
      <c r="BY135" s="792"/>
      <c r="BZ135" s="792"/>
      <c r="CA135" s="792"/>
      <c r="CB135" s="792"/>
      <c r="CC135" s="792"/>
      <c r="CD135" s="792"/>
      <c r="CE135" s="792"/>
      <c r="CF135" s="792"/>
      <c r="CG135" s="792"/>
      <c r="CH135" s="792"/>
      <c r="CI135" s="792"/>
      <c r="CJ135" s="792"/>
      <c r="CK135" s="792"/>
      <c r="CL135" s="792"/>
      <c r="CM135" s="792"/>
      <c r="CN135" s="792"/>
      <c r="CO135" s="792"/>
      <c r="CP135" s="792"/>
      <c r="CQ135" s="792"/>
      <c r="CR135" s="792"/>
      <c r="CS135" s="792"/>
      <c r="CT135" s="792"/>
      <c r="CU135" s="792"/>
      <c r="CV135" s="792"/>
      <c r="CW135" s="792"/>
      <c r="CX135" s="792"/>
      <c r="CY135" s="792"/>
      <c r="CZ135" s="792"/>
      <c r="DA135" s="792"/>
      <c r="DB135" s="792"/>
      <c r="DC135" s="792"/>
    </row>
    <row r="136" spans="1:107" s="305" customFormat="1" ht="12" x14ac:dyDescent="0.2">
      <c r="A136" s="792"/>
      <c r="B136" s="865"/>
      <c r="C136" s="810"/>
      <c r="D136" s="810"/>
      <c r="E136" s="792"/>
      <c r="F136" s="792"/>
      <c r="G136" s="792"/>
      <c r="H136" s="792"/>
      <c r="I136" s="792"/>
      <c r="J136" s="792"/>
      <c r="K136" s="792"/>
      <c r="L136" s="792"/>
      <c r="M136" s="792"/>
      <c r="N136" s="792"/>
      <c r="O136" s="792"/>
      <c r="P136" s="792"/>
      <c r="Q136" s="792"/>
      <c r="R136" s="792"/>
      <c r="S136" s="792"/>
      <c r="T136" s="792"/>
      <c r="U136" s="792"/>
      <c r="V136" s="792"/>
      <c r="W136" s="792"/>
      <c r="X136" s="792"/>
      <c r="Y136" s="792"/>
      <c r="Z136" s="792"/>
      <c r="AA136" s="792"/>
      <c r="AB136" s="792"/>
      <c r="AC136" s="792"/>
      <c r="AD136" s="792"/>
      <c r="AE136" s="792"/>
      <c r="AF136" s="792"/>
      <c r="AG136" s="792"/>
      <c r="AH136" s="792"/>
      <c r="AI136" s="792"/>
      <c r="AJ136" s="792"/>
      <c r="AK136" s="792"/>
      <c r="AL136" s="792"/>
      <c r="AM136" s="792"/>
      <c r="AN136" s="792"/>
      <c r="AO136" s="792"/>
      <c r="AP136" s="792"/>
      <c r="AQ136" s="792"/>
      <c r="AR136" s="792"/>
      <c r="AS136" s="792"/>
      <c r="AT136" s="792"/>
      <c r="AU136" s="792"/>
      <c r="AV136" s="792"/>
      <c r="AW136" s="792"/>
      <c r="AX136" s="792"/>
      <c r="AY136" s="792"/>
      <c r="AZ136" s="792"/>
      <c r="BA136" s="792"/>
      <c r="BB136" s="792"/>
      <c r="BC136" s="792"/>
      <c r="BD136" s="792"/>
      <c r="BE136" s="792"/>
      <c r="BF136" s="792"/>
      <c r="BG136" s="792"/>
      <c r="BH136" s="792"/>
      <c r="BI136" s="792"/>
      <c r="BJ136" s="792"/>
      <c r="BK136" s="792"/>
      <c r="BL136" s="792"/>
      <c r="BM136" s="792"/>
      <c r="BN136" s="792"/>
      <c r="BO136" s="792"/>
      <c r="BP136" s="792"/>
      <c r="BQ136" s="792"/>
      <c r="BR136" s="792"/>
      <c r="BS136" s="792"/>
      <c r="BT136" s="792"/>
      <c r="BU136" s="792"/>
      <c r="BV136" s="792"/>
      <c r="BW136" s="792"/>
      <c r="BX136" s="792"/>
      <c r="BY136" s="792"/>
      <c r="BZ136" s="792"/>
      <c r="CA136" s="792"/>
      <c r="CB136" s="792"/>
      <c r="CC136" s="792"/>
      <c r="CD136" s="792"/>
      <c r="CE136" s="792"/>
      <c r="CF136" s="792"/>
      <c r="CG136" s="792"/>
      <c r="CH136" s="792"/>
      <c r="CI136" s="792"/>
      <c r="CJ136" s="792"/>
      <c r="CK136" s="792"/>
      <c r="CL136" s="792"/>
      <c r="CM136" s="792"/>
      <c r="CN136" s="792"/>
      <c r="CO136" s="792"/>
      <c r="CP136" s="792"/>
      <c r="CQ136" s="792"/>
      <c r="CR136" s="792"/>
      <c r="CS136" s="792"/>
      <c r="CT136" s="792"/>
      <c r="CU136" s="792"/>
      <c r="CV136" s="792"/>
      <c r="CW136" s="792"/>
      <c r="CX136" s="792"/>
      <c r="CY136" s="792"/>
      <c r="CZ136" s="792"/>
      <c r="DA136" s="792"/>
      <c r="DB136" s="792"/>
      <c r="DC136" s="792"/>
    </row>
    <row r="137" spans="1:107" s="305" customFormat="1" ht="12" x14ac:dyDescent="0.2">
      <c r="A137" s="792"/>
      <c r="B137" s="865"/>
      <c r="C137" s="810"/>
      <c r="D137" s="810"/>
      <c r="E137" s="792"/>
      <c r="F137" s="792"/>
      <c r="G137" s="792"/>
      <c r="H137" s="792"/>
      <c r="I137" s="792"/>
      <c r="J137" s="792"/>
      <c r="K137" s="792"/>
      <c r="L137" s="792"/>
      <c r="M137" s="792"/>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2"/>
      <c r="AJ137" s="792"/>
      <c r="AK137" s="792"/>
      <c r="AL137" s="792"/>
      <c r="AM137" s="792"/>
      <c r="AN137" s="792"/>
      <c r="AO137" s="792"/>
      <c r="AP137" s="792"/>
      <c r="AQ137" s="792"/>
      <c r="AR137" s="792"/>
      <c r="AS137" s="792"/>
      <c r="AT137" s="792"/>
      <c r="AU137" s="792"/>
      <c r="AV137" s="792"/>
      <c r="AW137" s="792"/>
      <c r="AX137" s="792"/>
      <c r="AY137" s="792"/>
      <c r="AZ137" s="792"/>
      <c r="BA137" s="792"/>
      <c r="BB137" s="792"/>
      <c r="BC137" s="792"/>
      <c r="BD137" s="792"/>
      <c r="BE137" s="792"/>
      <c r="BF137" s="792"/>
      <c r="BG137" s="792"/>
      <c r="BH137" s="792"/>
      <c r="BI137" s="792"/>
      <c r="BJ137" s="792"/>
      <c r="BK137" s="792"/>
      <c r="BL137" s="792"/>
      <c r="BM137" s="792"/>
      <c r="BN137" s="792"/>
      <c r="BO137" s="792"/>
      <c r="BP137" s="792"/>
      <c r="BQ137" s="792"/>
      <c r="BR137" s="792"/>
      <c r="BS137" s="792"/>
      <c r="BT137" s="792"/>
      <c r="BU137" s="792"/>
      <c r="BV137" s="792"/>
      <c r="BW137" s="792"/>
      <c r="BX137" s="792"/>
      <c r="BY137" s="792"/>
      <c r="BZ137" s="792"/>
      <c r="CA137" s="792"/>
      <c r="CB137" s="792"/>
      <c r="CC137" s="792"/>
      <c r="CD137" s="792"/>
      <c r="CE137" s="792"/>
      <c r="CF137" s="792"/>
      <c r="CG137" s="792"/>
      <c r="CH137" s="792"/>
      <c r="CI137" s="792"/>
      <c r="CJ137" s="792"/>
      <c r="CK137" s="792"/>
      <c r="CL137" s="792"/>
      <c r="CM137" s="792"/>
      <c r="CN137" s="792"/>
      <c r="CO137" s="792"/>
      <c r="CP137" s="792"/>
      <c r="CQ137" s="792"/>
      <c r="CR137" s="792"/>
      <c r="CS137" s="792"/>
      <c r="CT137" s="792"/>
      <c r="CU137" s="792"/>
      <c r="CV137" s="792"/>
      <c r="CW137" s="792"/>
      <c r="CX137" s="792"/>
      <c r="CY137" s="792"/>
      <c r="CZ137" s="792"/>
      <c r="DA137" s="792"/>
      <c r="DB137" s="792"/>
      <c r="DC137" s="792"/>
    </row>
    <row r="138" spans="1:107" s="305" customFormat="1" ht="12" x14ac:dyDescent="0.2">
      <c r="A138" s="792"/>
      <c r="B138" s="865"/>
      <c r="C138" s="810"/>
      <c r="D138" s="810"/>
      <c r="E138" s="792"/>
      <c r="F138" s="792"/>
      <c r="G138" s="792"/>
      <c r="H138" s="792"/>
      <c r="I138" s="792"/>
      <c r="J138" s="792"/>
      <c r="K138" s="792"/>
      <c r="L138" s="792"/>
      <c r="M138" s="792"/>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2"/>
      <c r="AJ138" s="792"/>
      <c r="AK138" s="792"/>
      <c r="AL138" s="792"/>
      <c r="AM138" s="792"/>
      <c r="AN138" s="792"/>
      <c r="AO138" s="792"/>
      <c r="AP138" s="792"/>
      <c r="AQ138" s="792"/>
      <c r="AR138" s="792"/>
      <c r="AS138" s="792"/>
      <c r="AT138" s="792"/>
      <c r="AU138" s="792"/>
      <c r="AV138" s="792"/>
      <c r="AW138" s="792"/>
      <c r="AX138" s="792"/>
      <c r="AY138" s="792"/>
      <c r="AZ138" s="792"/>
      <c r="BA138" s="792"/>
      <c r="BB138" s="792"/>
      <c r="BC138" s="792"/>
      <c r="BD138" s="792"/>
      <c r="BE138" s="792"/>
      <c r="BF138" s="792"/>
      <c r="BG138" s="792"/>
      <c r="BH138" s="792"/>
      <c r="BI138" s="792"/>
      <c r="BJ138" s="792"/>
      <c r="BK138" s="792"/>
      <c r="BL138" s="792"/>
      <c r="BM138" s="792"/>
      <c r="BN138" s="792"/>
      <c r="BO138" s="792"/>
      <c r="BP138" s="792"/>
      <c r="BQ138" s="792"/>
      <c r="BR138" s="792"/>
      <c r="BS138" s="792"/>
      <c r="BT138" s="792"/>
      <c r="BU138" s="792"/>
      <c r="BV138" s="792"/>
      <c r="BW138" s="792"/>
      <c r="BX138" s="792"/>
      <c r="BY138" s="792"/>
      <c r="BZ138" s="792"/>
      <c r="CA138" s="792"/>
      <c r="CB138" s="792"/>
      <c r="CC138" s="792"/>
      <c r="CD138" s="792"/>
      <c r="CE138" s="792"/>
      <c r="CF138" s="792"/>
      <c r="CG138" s="792"/>
      <c r="CH138" s="792"/>
      <c r="CI138" s="792"/>
      <c r="CJ138" s="792"/>
      <c r="CK138" s="792"/>
      <c r="CL138" s="792"/>
      <c r="CM138" s="792"/>
      <c r="CN138" s="792"/>
      <c r="CO138" s="792"/>
      <c r="CP138" s="792"/>
      <c r="CQ138" s="792"/>
      <c r="CR138" s="792"/>
      <c r="CS138" s="792"/>
      <c r="CT138" s="792"/>
      <c r="CU138" s="792"/>
      <c r="CV138" s="792"/>
      <c r="CW138" s="792"/>
      <c r="CX138" s="792"/>
      <c r="CY138" s="792"/>
      <c r="CZ138" s="792"/>
      <c r="DA138" s="792"/>
      <c r="DB138" s="792"/>
      <c r="DC138" s="792"/>
    </row>
    <row r="139" spans="1:107" s="305" customFormat="1" ht="12" x14ac:dyDescent="0.2">
      <c r="A139" s="792"/>
      <c r="B139" s="865"/>
      <c r="C139" s="810"/>
      <c r="D139" s="810"/>
      <c r="E139" s="792"/>
      <c r="F139" s="792"/>
      <c r="G139" s="792"/>
      <c r="H139" s="792"/>
      <c r="I139" s="792"/>
      <c r="J139" s="792"/>
      <c r="K139" s="792"/>
      <c r="L139" s="792"/>
      <c r="M139" s="792"/>
      <c r="N139" s="792"/>
      <c r="O139" s="792"/>
      <c r="P139" s="792"/>
      <c r="Q139" s="792"/>
      <c r="R139" s="792"/>
      <c r="S139" s="792"/>
      <c r="T139" s="792"/>
      <c r="U139" s="792"/>
      <c r="V139" s="792"/>
      <c r="W139" s="792"/>
      <c r="X139" s="792"/>
      <c r="Y139" s="792"/>
      <c r="Z139" s="792"/>
      <c r="AA139" s="792"/>
      <c r="AB139" s="792"/>
      <c r="AC139" s="792"/>
      <c r="AD139" s="792"/>
      <c r="AE139" s="792"/>
      <c r="AF139" s="792"/>
      <c r="AG139" s="792"/>
      <c r="AH139" s="792"/>
      <c r="AI139" s="792"/>
      <c r="AJ139" s="792"/>
      <c r="AK139" s="792"/>
      <c r="AL139" s="792"/>
      <c r="AM139" s="792"/>
      <c r="AN139" s="792"/>
      <c r="AO139" s="792"/>
      <c r="AP139" s="792"/>
      <c r="AQ139" s="792"/>
      <c r="AR139" s="792"/>
      <c r="AS139" s="792"/>
      <c r="AT139" s="792"/>
      <c r="AU139" s="792"/>
      <c r="AV139" s="792"/>
      <c r="AW139" s="792"/>
      <c r="AX139" s="792"/>
      <c r="AY139" s="792"/>
      <c r="AZ139" s="792"/>
      <c r="BA139" s="792"/>
      <c r="BB139" s="792"/>
      <c r="BC139" s="792"/>
      <c r="BD139" s="792"/>
      <c r="BE139" s="792"/>
      <c r="BF139" s="792"/>
      <c r="BG139" s="792"/>
      <c r="BH139" s="792"/>
      <c r="BI139" s="792"/>
      <c r="BJ139" s="792"/>
      <c r="BK139" s="792"/>
      <c r="BL139" s="792"/>
      <c r="BM139" s="792"/>
      <c r="BN139" s="792"/>
      <c r="BO139" s="792"/>
      <c r="BP139" s="792"/>
      <c r="BQ139" s="792"/>
      <c r="BR139" s="792"/>
      <c r="BS139" s="792"/>
      <c r="BT139" s="792"/>
      <c r="BU139" s="792"/>
      <c r="BV139" s="792"/>
      <c r="BW139" s="792"/>
      <c r="BX139" s="792"/>
      <c r="BY139" s="792"/>
      <c r="BZ139" s="792"/>
      <c r="CA139" s="792"/>
      <c r="CB139" s="792"/>
      <c r="CC139" s="792"/>
      <c r="CD139" s="792"/>
      <c r="CE139" s="792"/>
      <c r="CF139" s="792"/>
      <c r="CG139" s="792"/>
      <c r="CH139" s="792"/>
      <c r="CI139" s="792"/>
      <c r="CJ139" s="792"/>
      <c r="CK139" s="792"/>
      <c r="CL139" s="792"/>
      <c r="CM139" s="792"/>
      <c r="CN139" s="792"/>
      <c r="CO139" s="792"/>
      <c r="CP139" s="792"/>
      <c r="CQ139" s="792"/>
      <c r="CR139" s="792"/>
      <c r="CS139" s="792"/>
      <c r="CT139" s="792"/>
      <c r="CU139" s="792"/>
      <c r="CV139" s="792"/>
      <c r="CW139" s="792"/>
      <c r="CX139" s="792"/>
      <c r="CY139" s="792"/>
      <c r="CZ139" s="792"/>
      <c r="DA139" s="792"/>
      <c r="DB139" s="792"/>
      <c r="DC139" s="792"/>
    </row>
    <row r="140" spans="1:107" s="305" customFormat="1" ht="12" x14ac:dyDescent="0.2">
      <c r="A140" s="792"/>
      <c r="B140" s="810"/>
      <c r="C140" s="810"/>
      <c r="D140" s="810"/>
      <c r="E140" s="792"/>
      <c r="F140" s="792"/>
      <c r="G140" s="792"/>
      <c r="H140" s="792"/>
      <c r="I140" s="792"/>
      <c r="J140" s="792"/>
      <c r="K140" s="792"/>
      <c r="L140" s="792"/>
      <c r="M140" s="792"/>
      <c r="N140" s="792"/>
      <c r="O140" s="792"/>
      <c r="P140" s="792"/>
      <c r="Q140" s="792"/>
      <c r="R140" s="792"/>
      <c r="S140" s="792"/>
      <c r="T140" s="792"/>
      <c r="U140" s="792"/>
      <c r="V140" s="792"/>
      <c r="W140" s="792"/>
      <c r="X140" s="792"/>
      <c r="Y140" s="792"/>
      <c r="Z140" s="792"/>
      <c r="AA140" s="792"/>
      <c r="AB140" s="792"/>
      <c r="AC140" s="792"/>
      <c r="AD140" s="792"/>
      <c r="AE140" s="792"/>
      <c r="AF140" s="792"/>
      <c r="AG140" s="792"/>
      <c r="AH140" s="792"/>
      <c r="AI140" s="792"/>
      <c r="AJ140" s="792"/>
      <c r="AK140" s="792"/>
      <c r="AL140" s="792"/>
      <c r="AM140" s="792"/>
      <c r="AN140" s="792"/>
      <c r="AO140" s="792"/>
      <c r="AP140" s="792"/>
      <c r="AQ140" s="792"/>
      <c r="AR140" s="792"/>
      <c r="AS140" s="792"/>
      <c r="AT140" s="792"/>
      <c r="AU140" s="792"/>
      <c r="AV140" s="792"/>
      <c r="AW140" s="792"/>
      <c r="AX140" s="792"/>
      <c r="AY140" s="792"/>
      <c r="AZ140" s="792"/>
      <c r="BA140" s="792"/>
      <c r="BB140" s="792"/>
      <c r="BC140" s="792"/>
      <c r="BD140" s="792"/>
      <c r="BE140" s="792"/>
      <c r="BF140" s="792"/>
      <c r="BG140" s="792"/>
      <c r="BH140" s="792"/>
      <c r="BI140" s="792"/>
      <c r="BJ140" s="792"/>
      <c r="BK140" s="792"/>
      <c r="BL140" s="792"/>
      <c r="BM140" s="792"/>
      <c r="BN140" s="792"/>
      <c r="BO140" s="792"/>
      <c r="BP140" s="792"/>
      <c r="BQ140" s="792"/>
      <c r="BR140" s="792"/>
      <c r="BS140" s="792"/>
      <c r="BT140" s="792"/>
      <c r="BU140" s="792"/>
      <c r="BV140" s="792"/>
      <c r="BW140" s="792"/>
      <c r="BX140" s="792"/>
      <c r="BY140" s="792"/>
      <c r="BZ140" s="792"/>
      <c r="CA140" s="792"/>
      <c r="CB140" s="792"/>
      <c r="CC140" s="792"/>
      <c r="CD140" s="792"/>
      <c r="CE140" s="792"/>
      <c r="CF140" s="792"/>
      <c r="CG140" s="792"/>
      <c r="CH140" s="792"/>
      <c r="CI140" s="792"/>
      <c r="CJ140" s="792"/>
      <c r="CK140" s="792"/>
      <c r="CL140" s="792"/>
      <c r="CM140" s="792"/>
      <c r="CN140" s="792"/>
      <c r="CO140" s="792"/>
      <c r="CP140" s="792"/>
      <c r="CQ140" s="792"/>
      <c r="CR140" s="792"/>
      <c r="CS140" s="792"/>
      <c r="CT140" s="792"/>
      <c r="CU140" s="792"/>
      <c r="CV140" s="792"/>
      <c r="CW140" s="792"/>
      <c r="CX140" s="792"/>
      <c r="CY140" s="792"/>
      <c r="CZ140" s="792"/>
      <c r="DA140" s="792"/>
      <c r="DB140" s="792"/>
      <c r="DC140" s="792"/>
    </row>
    <row r="141" spans="1:107" s="305" customFormat="1" ht="12" x14ac:dyDescent="0.2">
      <c r="A141" s="792"/>
      <c r="B141" s="865"/>
      <c r="C141" s="810"/>
      <c r="D141" s="810"/>
      <c r="E141" s="792"/>
      <c r="F141" s="792"/>
      <c r="G141" s="792"/>
      <c r="H141" s="792"/>
      <c r="I141" s="792"/>
      <c r="J141" s="792"/>
      <c r="K141" s="792"/>
      <c r="L141" s="792"/>
      <c r="M141" s="792"/>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2"/>
      <c r="AJ141" s="792"/>
      <c r="AK141" s="792"/>
      <c r="AL141" s="792"/>
      <c r="AM141" s="792"/>
      <c r="AN141" s="792"/>
      <c r="AO141" s="792"/>
      <c r="AP141" s="792"/>
      <c r="AQ141" s="792"/>
      <c r="AR141" s="792"/>
      <c r="AS141" s="792"/>
      <c r="AT141" s="792"/>
      <c r="AU141" s="792"/>
      <c r="AV141" s="792"/>
      <c r="AW141" s="792"/>
      <c r="AX141" s="792"/>
      <c r="AY141" s="792"/>
      <c r="AZ141" s="792"/>
      <c r="BA141" s="792"/>
      <c r="BB141" s="792"/>
      <c r="BC141" s="792"/>
      <c r="BD141" s="792"/>
      <c r="BE141" s="792"/>
      <c r="BF141" s="792"/>
      <c r="BG141" s="792"/>
      <c r="BH141" s="792"/>
      <c r="BI141" s="792"/>
      <c r="BJ141" s="792"/>
      <c r="BK141" s="792"/>
      <c r="BL141" s="792"/>
      <c r="BM141" s="792"/>
      <c r="BN141" s="792"/>
      <c r="BO141" s="792"/>
      <c r="BP141" s="792"/>
      <c r="BQ141" s="792"/>
      <c r="BR141" s="792"/>
      <c r="BS141" s="792"/>
      <c r="BT141" s="792"/>
      <c r="BU141" s="792"/>
      <c r="BV141" s="792"/>
      <c r="BW141" s="792"/>
      <c r="BX141" s="792"/>
      <c r="BY141" s="792"/>
      <c r="BZ141" s="792"/>
      <c r="CA141" s="792"/>
      <c r="CB141" s="792"/>
      <c r="CC141" s="792"/>
      <c r="CD141" s="792"/>
      <c r="CE141" s="792"/>
      <c r="CF141" s="792"/>
      <c r="CG141" s="792"/>
      <c r="CH141" s="792"/>
      <c r="CI141" s="792"/>
      <c r="CJ141" s="792"/>
      <c r="CK141" s="792"/>
      <c r="CL141" s="792"/>
      <c r="CM141" s="792"/>
      <c r="CN141" s="792"/>
      <c r="CO141" s="792"/>
      <c r="CP141" s="792"/>
      <c r="CQ141" s="792"/>
      <c r="CR141" s="792"/>
      <c r="CS141" s="792"/>
      <c r="CT141" s="792"/>
      <c r="CU141" s="792"/>
      <c r="CV141" s="792"/>
      <c r="CW141" s="792"/>
      <c r="CX141" s="792"/>
      <c r="CY141" s="792"/>
      <c r="CZ141" s="792"/>
      <c r="DA141" s="792"/>
      <c r="DB141" s="792"/>
      <c r="DC141" s="792"/>
    </row>
    <row r="142" spans="1:107" s="305" customFormat="1" ht="12" x14ac:dyDescent="0.2">
      <c r="A142" s="792"/>
      <c r="B142" s="865"/>
      <c r="C142" s="810"/>
      <c r="D142" s="810"/>
      <c r="E142" s="792"/>
      <c r="F142" s="792"/>
      <c r="G142" s="792"/>
      <c r="H142" s="792"/>
      <c r="I142" s="792"/>
      <c r="J142" s="792"/>
      <c r="K142" s="792"/>
      <c r="L142" s="792"/>
      <c r="M142" s="792"/>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2"/>
      <c r="AJ142" s="792"/>
      <c r="AK142" s="792"/>
      <c r="AL142" s="792"/>
      <c r="AM142" s="792"/>
      <c r="AN142" s="792"/>
      <c r="AO142" s="792"/>
      <c r="AP142" s="792"/>
      <c r="AQ142" s="792"/>
      <c r="AR142" s="792"/>
      <c r="AS142" s="792"/>
      <c r="AT142" s="792"/>
      <c r="AU142" s="792"/>
      <c r="AV142" s="792"/>
      <c r="AW142" s="792"/>
      <c r="AX142" s="792"/>
      <c r="AY142" s="792"/>
      <c r="AZ142" s="792"/>
      <c r="BA142" s="792"/>
      <c r="BB142" s="792"/>
      <c r="BC142" s="792"/>
      <c r="BD142" s="792"/>
      <c r="BE142" s="792"/>
      <c r="BF142" s="792"/>
      <c r="BG142" s="792"/>
      <c r="BH142" s="792"/>
      <c r="BI142" s="792"/>
      <c r="BJ142" s="792"/>
      <c r="BK142" s="792"/>
      <c r="BL142" s="792"/>
      <c r="BM142" s="792"/>
      <c r="BN142" s="792"/>
      <c r="BO142" s="792"/>
      <c r="BP142" s="792"/>
      <c r="BQ142" s="792"/>
      <c r="BR142" s="792"/>
      <c r="BS142" s="792"/>
      <c r="BT142" s="792"/>
      <c r="BU142" s="792"/>
      <c r="BV142" s="792"/>
      <c r="BW142" s="792"/>
      <c r="BX142" s="792"/>
      <c r="BY142" s="792"/>
      <c r="BZ142" s="792"/>
      <c r="CA142" s="792"/>
      <c r="CB142" s="792"/>
      <c r="CC142" s="792"/>
      <c r="CD142" s="792"/>
      <c r="CE142" s="792"/>
      <c r="CF142" s="792"/>
      <c r="CG142" s="792"/>
      <c r="CH142" s="792"/>
      <c r="CI142" s="792"/>
      <c r="CJ142" s="792"/>
      <c r="CK142" s="792"/>
      <c r="CL142" s="792"/>
      <c r="CM142" s="792"/>
      <c r="CN142" s="792"/>
      <c r="CO142" s="792"/>
      <c r="CP142" s="792"/>
      <c r="CQ142" s="792"/>
      <c r="CR142" s="792"/>
      <c r="CS142" s="792"/>
      <c r="CT142" s="792"/>
      <c r="CU142" s="792"/>
      <c r="CV142" s="792"/>
      <c r="CW142" s="792"/>
      <c r="CX142" s="792"/>
      <c r="CY142" s="792"/>
      <c r="CZ142" s="792"/>
      <c r="DA142" s="792"/>
      <c r="DB142" s="792"/>
      <c r="DC142" s="792"/>
    </row>
    <row r="143" spans="1:107" s="305" customFormat="1" ht="12" x14ac:dyDescent="0.2">
      <c r="A143" s="792"/>
      <c r="B143" s="865"/>
      <c r="C143" s="792"/>
      <c r="D143" s="792"/>
      <c r="E143" s="792"/>
      <c r="F143" s="792"/>
      <c r="G143" s="792"/>
      <c r="H143" s="792"/>
      <c r="I143" s="792"/>
      <c r="J143" s="792"/>
      <c r="K143" s="792"/>
      <c r="L143" s="792"/>
      <c r="M143" s="792"/>
      <c r="N143" s="792"/>
      <c r="O143" s="792"/>
      <c r="P143" s="792"/>
      <c r="Q143" s="792"/>
      <c r="R143" s="792"/>
      <c r="S143" s="792"/>
      <c r="T143" s="792"/>
      <c r="U143" s="792"/>
      <c r="V143" s="792"/>
      <c r="W143" s="792"/>
      <c r="X143" s="792"/>
      <c r="Y143" s="792"/>
      <c r="Z143" s="792"/>
      <c r="AA143" s="792"/>
      <c r="AB143" s="792"/>
      <c r="AC143" s="792"/>
      <c r="AD143" s="792"/>
      <c r="AE143" s="792"/>
      <c r="AF143" s="792"/>
      <c r="AG143" s="792"/>
      <c r="AH143" s="792"/>
      <c r="AI143" s="792"/>
      <c r="AJ143" s="792"/>
      <c r="AK143" s="792"/>
      <c r="AL143" s="792"/>
      <c r="AM143" s="792"/>
      <c r="AN143" s="792"/>
      <c r="AO143" s="792"/>
      <c r="AP143" s="792"/>
      <c r="AQ143" s="792"/>
      <c r="AR143" s="792"/>
      <c r="AS143" s="792"/>
      <c r="AT143" s="792"/>
      <c r="AU143" s="792"/>
      <c r="AV143" s="792"/>
      <c r="AW143" s="792"/>
      <c r="AX143" s="792"/>
      <c r="AY143" s="792"/>
      <c r="AZ143" s="792"/>
      <c r="BA143" s="792"/>
      <c r="BB143" s="792"/>
      <c r="BC143" s="792"/>
      <c r="BD143" s="792"/>
      <c r="BE143" s="792"/>
      <c r="BF143" s="792"/>
      <c r="BG143" s="792"/>
      <c r="BH143" s="792"/>
      <c r="BI143" s="792"/>
      <c r="BJ143" s="792"/>
      <c r="BK143" s="792"/>
      <c r="BL143" s="792"/>
      <c r="BM143" s="792"/>
      <c r="BN143" s="792"/>
      <c r="BO143" s="792"/>
      <c r="BP143" s="792"/>
      <c r="BQ143" s="792"/>
      <c r="BR143" s="792"/>
      <c r="BS143" s="792"/>
      <c r="BT143" s="792"/>
      <c r="BU143" s="792"/>
      <c r="BV143" s="792"/>
      <c r="BW143" s="792"/>
      <c r="BX143" s="792"/>
      <c r="BY143" s="792"/>
      <c r="BZ143" s="792"/>
      <c r="CA143" s="792"/>
      <c r="CB143" s="792"/>
      <c r="CC143" s="792"/>
      <c r="CD143" s="792"/>
      <c r="CE143" s="792"/>
      <c r="CF143" s="792"/>
      <c r="CG143" s="792"/>
      <c r="CH143" s="792"/>
      <c r="CI143" s="792"/>
      <c r="CJ143" s="792"/>
      <c r="CK143" s="792"/>
      <c r="CL143" s="792"/>
      <c r="CM143" s="792"/>
      <c r="CN143" s="792"/>
      <c r="CO143" s="792"/>
      <c r="CP143" s="792"/>
      <c r="CQ143" s="792"/>
      <c r="CR143" s="792"/>
      <c r="CS143" s="792"/>
      <c r="CT143" s="792"/>
      <c r="CU143" s="792"/>
      <c r="CV143" s="792"/>
      <c r="CW143" s="792"/>
      <c r="CX143" s="792"/>
      <c r="CY143" s="792"/>
      <c r="CZ143" s="792"/>
      <c r="DA143" s="792"/>
      <c r="DB143" s="792"/>
      <c r="DC143" s="792"/>
    </row>
    <row r="144" spans="1:107" s="305" customFormat="1" ht="12" x14ac:dyDescent="0.2">
      <c r="A144" s="792"/>
      <c r="B144" s="865"/>
      <c r="C144" s="792"/>
      <c r="D144" s="792"/>
      <c r="E144" s="792"/>
      <c r="F144" s="792"/>
      <c r="G144" s="792"/>
      <c r="H144" s="792"/>
      <c r="I144" s="792"/>
      <c r="J144" s="792"/>
      <c r="K144" s="792"/>
      <c r="L144" s="792"/>
      <c r="M144" s="792"/>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2"/>
      <c r="AJ144" s="792"/>
      <c r="AK144" s="792"/>
      <c r="AL144" s="792"/>
      <c r="AM144" s="792"/>
      <c r="AN144" s="792"/>
      <c r="AO144" s="792"/>
      <c r="AP144" s="792"/>
      <c r="AQ144" s="792"/>
      <c r="AR144" s="792"/>
      <c r="AS144" s="792"/>
      <c r="AT144" s="792"/>
      <c r="AU144" s="792"/>
      <c r="AV144" s="792"/>
      <c r="AW144" s="792"/>
      <c r="AX144" s="792"/>
      <c r="AY144" s="792"/>
      <c r="AZ144" s="792"/>
      <c r="BA144" s="792"/>
      <c r="BB144" s="792"/>
      <c r="BC144" s="792"/>
      <c r="BD144" s="792"/>
      <c r="BE144" s="792"/>
      <c r="BF144" s="792"/>
      <c r="BG144" s="792"/>
      <c r="BH144" s="792"/>
      <c r="BI144" s="792"/>
      <c r="BJ144" s="792"/>
      <c r="BK144" s="792"/>
      <c r="BL144" s="792"/>
      <c r="BM144" s="792"/>
      <c r="BN144" s="792"/>
      <c r="BO144" s="792"/>
      <c r="BP144" s="792"/>
      <c r="BQ144" s="792"/>
      <c r="BR144" s="792"/>
      <c r="BS144" s="792"/>
      <c r="BT144" s="792"/>
      <c r="BU144" s="792"/>
      <c r="BV144" s="792"/>
      <c r="BW144" s="792"/>
      <c r="BX144" s="792"/>
      <c r="BY144" s="792"/>
      <c r="BZ144" s="792"/>
      <c r="CA144" s="792"/>
      <c r="CB144" s="792"/>
      <c r="CC144" s="792"/>
      <c r="CD144" s="792"/>
      <c r="CE144" s="792"/>
      <c r="CF144" s="792"/>
      <c r="CG144" s="792"/>
      <c r="CH144" s="792"/>
      <c r="CI144" s="792"/>
      <c r="CJ144" s="792"/>
      <c r="CK144" s="792"/>
      <c r="CL144" s="792"/>
      <c r="CM144" s="792"/>
      <c r="CN144" s="792"/>
      <c r="CO144" s="792"/>
      <c r="CP144" s="792"/>
      <c r="CQ144" s="792"/>
      <c r="CR144" s="792"/>
      <c r="CS144" s="792"/>
      <c r="CT144" s="792"/>
      <c r="CU144" s="792"/>
      <c r="CV144" s="792"/>
      <c r="CW144" s="792"/>
      <c r="CX144" s="792"/>
      <c r="CY144" s="792"/>
      <c r="CZ144" s="792"/>
      <c r="DA144" s="792"/>
      <c r="DB144" s="792"/>
      <c r="DC144" s="792"/>
    </row>
    <row r="145" spans="1:107" s="305" customFormat="1" ht="12" x14ac:dyDescent="0.2">
      <c r="A145" s="792"/>
      <c r="B145" s="865"/>
      <c r="C145" s="792"/>
      <c r="D145" s="792"/>
      <c r="E145" s="792"/>
      <c r="F145" s="792"/>
      <c r="G145" s="792"/>
      <c r="H145" s="792"/>
      <c r="I145" s="792"/>
      <c r="J145" s="792"/>
      <c r="K145" s="792"/>
      <c r="L145" s="792"/>
      <c r="M145" s="792"/>
      <c r="N145" s="792"/>
      <c r="O145" s="792"/>
      <c r="P145" s="792"/>
      <c r="Q145" s="792"/>
      <c r="R145" s="792"/>
      <c r="S145" s="792"/>
      <c r="T145" s="792"/>
      <c r="U145" s="792"/>
      <c r="V145" s="792"/>
      <c r="W145" s="792"/>
      <c r="X145" s="792"/>
      <c r="Y145" s="792"/>
      <c r="Z145" s="792"/>
      <c r="AA145" s="792"/>
      <c r="AB145" s="792"/>
      <c r="AC145" s="792"/>
      <c r="AD145" s="792"/>
      <c r="AE145" s="792"/>
      <c r="AF145" s="792"/>
      <c r="AG145" s="792"/>
      <c r="AH145" s="792"/>
      <c r="AI145" s="792"/>
      <c r="AJ145" s="792"/>
      <c r="AK145" s="792"/>
      <c r="AL145" s="792"/>
      <c r="AM145" s="792"/>
      <c r="AN145" s="792"/>
      <c r="AO145" s="792"/>
      <c r="AP145" s="792"/>
      <c r="AQ145" s="792"/>
      <c r="AR145" s="792"/>
      <c r="AS145" s="792"/>
      <c r="AT145" s="792"/>
      <c r="AU145" s="792"/>
      <c r="AV145" s="792"/>
      <c r="AW145" s="792"/>
      <c r="AX145" s="792"/>
      <c r="AY145" s="792"/>
      <c r="AZ145" s="792"/>
      <c r="BA145" s="792"/>
      <c r="BB145" s="792"/>
      <c r="BC145" s="792"/>
      <c r="BD145" s="792"/>
      <c r="BE145" s="792"/>
      <c r="BF145" s="792"/>
      <c r="BG145" s="792"/>
      <c r="BH145" s="792"/>
      <c r="BI145" s="792"/>
      <c r="BJ145" s="792"/>
      <c r="BK145" s="792"/>
      <c r="BL145" s="792"/>
      <c r="BM145" s="792"/>
      <c r="BN145" s="792"/>
      <c r="BO145" s="792"/>
      <c r="BP145" s="792"/>
      <c r="BQ145" s="792"/>
      <c r="BR145" s="792"/>
      <c r="BS145" s="792"/>
      <c r="BT145" s="792"/>
      <c r="BU145" s="792"/>
      <c r="BV145" s="792"/>
      <c r="BW145" s="792"/>
      <c r="BX145" s="792"/>
      <c r="BY145" s="792"/>
      <c r="BZ145" s="792"/>
      <c r="CA145" s="792"/>
      <c r="CB145" s="792"/>
      <c r="CC145" s="792"/>
      <c r="CD145" s="792"/>
      <c r="CE145" s="792"/>
      <c r="CF145" s="792"/>
      <c r="CG145" s="792"/>
      <c r="CH145" s="792"/>
      <c r="CI145" s="792"/>
      <c r="CJ145" s="792"/>
      <c r="CK145" s="792"/>
      <c r="CL145" s="792"/>
      <c r="CM145" s="792"/>
      <c r="CN145" s="792"/>
      <c r="CO145" s="792"/>
      <c r="CP145" s="792"/>
      <c r="CQ145" s="792"/>
      <c r="CR145" s="792"/>
      <c r="CS145" s="792"/>
      <c r="CT145" s="792"/>
      <c r="CU145" s="792"/>
      <c r="CV145" s="792"/>
      <c r="CW145" s="792"/>
      <c r="CX145" s="792"/>
      <c r="CY145" s="792"/>
      <c r="CZ145" s="792"/>
      <c r="DA145" s="792"/>
      <c r="DB145" s="792"/>
      <c r="DC145" s="792"/>
    </row>
    <row r="146" spans="1:107" s="305" customFormat="1" ht="12.75" x14ac:dyDescent="0.2">
      <c r="A146" s="792"/>
      <c r="B146" s="865"/>
      <c r="C146" s="792"/>
      <c r="D146" s="792"/>
      <c r="E146" s="792"/>
      <c r="F146" s="792"/>
      <c r="G146" s="971" t="s">
        <v>917</v>
      </c>
      <c r="H146" s="792"/>
      <c r="I146" s="792"/>
      <c r="J146" s="792"/>
      <c r="K146" s="792"/>
      <c r="L146" s="792"/>
      <c r="M146" s="792"/>
      <c r="N146" s="792"/>
      <c r="O146" s="792"/>
      <c r="P146" s="792"/>
      <c r="Q146" s="792"/>
      <c r="R146" s="792"/>
      <c r="S146" s="792"/>
      <c r="T146" s="792"/>
      <c r="U146" s="792"/>
      <c r="V146" s="792"/>
      <c r="W146" s="792"/>
      <c r="X146" s="792"/>
      <c r="Y146" s="792"/>
      <c r="Z146" s="792"/>
      <c r="AA146" s="792"/>
      <c r="AB146" s="792"/>
      <c r="AC146" s="792"/>
      <c r="AD146" s="792"/>
      <c r="AE146" s="792"/>
      <c r="AF146" s="792"/>
      <c r="AG146" s="792"/>
      <c r="AH146" s="792"/>
      <c r="AI146" s="792"/>
      <c r="AJ146" s="792"/>
      <c r="AK146" s="792"/>
      <c r="AL146" s="792"/>
      <c r="AM146" s="792"/>
      <c r="AN146" s="792"/>
      <c r="AO146" s="792"/>
      <c r="AP146" s="792"/>
      <c r="AQ146" s="792"/>
      <c r="AR146" s="792"/>
      <c r="AS146" s="792"/>
      <c r="AT146" s="792"/>
      <c r="AU146" s="792"/>
      <c r="AV146" s="792"/>
      <c r="AW146" s="792"/>
      <c r="AX146" s="792"/>
      <c r="AY146" s="792"/>
      <c r="AZ146" s="792"/>
      <c r="BA146" s="792"/>
      <c r="BB146" s="792"/>
      <c r="BC146" s="792"/>
      <c r="BD146" s="792"/>
      <c r="BE146" s="792"/>
      <c r="BF146" s="792"/>
      <c r="BG146" s="792"/>
      <c r="BH146" s="792"/>
      <c r="BI146" s="792"/>
      <c r="BJ146" s="792"/>
      <c r="BK146" s="792"/>
      <c r="BL146" s="792"/>
      <c r="BM146" s="792"/>
      <c r="BN146" s="792"/>
      <c r="BO146" s="792"/>
      <c r="BP146" s="792"/>
      <c r="BQ146" s="792"/>
      <c r="BR146" s="792"/>
      <c r="BS146" s="792"/>
      <c r="BT146" s="792"/>
      <c r="BU146" s="792"/>
      <c r="BV146" s="792"/>
      <c r="BW146" s="792"/>
      <c r="BX146" s="792"/>
      <c r="BY146" s="792"/>
      <c r="BZ146" s="792"/>
      <c r="CA146" s="792"/>
      <c r="CB146" s="792"/>
      <c r="CC146" s="792"/>
      <c r="CD146" s="792"/>
      <c r="CE146" s="792"/>
      <c r="CF146" s="792"/>
      <c r="CG146" s="792"/>
      <c r="CH146" s="792"/>
      <c r="CI146" s="792"/>
      <c r="CJ146" s="792"/>
      <c r="CK146" s="792"/>
      <c r="CL146" s="792"/>
      <c r="CM146" s="792"/>
      <c r="CN146" s="792"/>
      <c r="CO146" s="792"/>
      <c r="CP146" s="792"/>
      <c r="CQ146" s="792"/>
      <c r="CR146" s="792"/>
      <c r="CS146" s="792"/>
      <c r="CT146" s="792"/>
      <c r="CU146" s="792"/>
      <c r="CV146" s="792"/>
      <c r="CW146" s="792"/>
      <c r="CX146" s="792"/>
      <c r="CY146" s="792"/>
      <c r="CZ146" s="792"/>
      <c r="DA146" s="792"/>
      <c r="DB146" s="792"/>
      <c r="DC146" s="792"/>
    </row>
    <row r="147" spans="1:107" s="305" customFormat="1" ht="14.25" x14ac:dyDescent="0.25">
      <c r="A147" s="792"/>
      <c r="B147" s="865"/>
      <c r="C147" s="792"/>
      <c r="D147" s="792"/>
      <c r="E147" s="792"/>
      <c r="F147" s="792"/>
      <c r="G147" s="975">
        <f>+'Calculations - Techn'!P89-'Calculations - Ref system'!P81</f>
        <v>35.155466851895142</v>
      </c>
      <c r="H147" s="970" t="s">
        <v>918</v>
      </c>
      <c r="I147" s="792"/>
      <c r="J147" s="792"/>
      <c r="K147" s="792"/>
      <c r="L147" s="792"/>
      <c r="M147" s="792"/>
      <c r="N147" s="792"/>
      <c r="O147" s="792"/>
      <c r="P147" s="792"/>
      <c r="Q147" s="792"/>
      <c r="R147" s="792"/>
      <c r="S147" s="792"/>
      <c r="T147" s="792"/>
      <c r="U147" s="792"/>
      <c r="V147" s="792"/>
      <c r="W147" s="792"/>
      <c r="X147" s="792"/>
      <c r="Y147" s="792"/>
      <c r="Z147" s="792"/>
      <c r="AA147" s="792"/>
      <c r="AB147" s="792"/>
      <c r="AC147" s="792"/>
      <c r="AD147" s="792"/>
      <c r="AE147" s="792"/>
      <c r="AF147" s="792"/>
      <c r="AG147" s="792"/>
      <c r="AH147" s="792"/>
      <c r="AI147" s="792"/>
      <c r="AJ147" s="792"/>
      <c r="AK147" s="792"/>
      <c r="AL147" s="792"/>
      <c r="AM147" s="792"/>
      <c r="AN147" s="792"/>
      <c r="AO147" s="792"/>
      <c r="AP147" s="792"/>
      <c r="AQ147" s="792"/>
      <c r="AR147" s="792"/>
      <c r="AS147" s="792"/>
      <c r="AT147" s="792"/>
      <c r="AU147" s="792"/>
      <c r="AV147" s="792"/>
      <c r="AW147" s="792"/>
      <c r="AX147" s="792"/>
      <c r="AY147" s="792"/>
      <c r="AZ147" s="792"/>
      <c r="BA147" s="792"/>
      <c r="BB147" s="792"/>
      <c r="BC147" s="792"/>
      <c r="BD147" s="792"/>
      <c r="BE147" s="792"/>
      <c r="BF147" s="792"/>
      <c r="BG147" s="792"/>
      <c r="BH147" s="792"/>
      <c r="BI147" s="792"/>
      <c r="BJ147" s="792"/>
      <c r="BK147" s="792"/>
      <c r="BL147" s="792"/>
      <c r="BM147" s="792"/>
      <c r="BN147" s="792"/>
      <c r="BO147" s="792"/>
      <c r="BP147" s="792"/>
      <c r="BQ147" s="792"/>
      <c r="BR147" s="792"/>
      <c r="BS147" s="792"/>
      <c r="BT147" s="792"/>
      <c r="BU147" s="792"/>
      <c r="BV147" s="792"/>
      <c r="BW147" s="792"/>
      <c r="BX147" s="792"/>
      <c r="BY147" s="792"/>
      <c r="BZ147" s="792"/>
      <c r="CA147" s="792"/>
      <c r="CB147" s="792"/>
      <c r="CC147" s="792"/>
      <c r="CD147" s="792"/>
      <c r="CE147" s="792"/>
      <c r="CF147" s="792"/>
      <c r="CG147" s="792"/>
      <c r="CH147" s="792"/>
      <c r="CI147" s="792"/>
      <c r="CJ147" s="792"/>
      <c r="CK147" s="792"/>
      <c r="CL147" s="792"/>
      <c r="CM147" s="792"/>
      <c r="CN147" s="792"/>
      <c r="CO147" s="792"/>
      <c r="CP147" s="792"/>
      <c r="CQ147" s="792"/>
      <c r="CR147" s="792"/>
      <c r="CS147" s="792"/>
      <c r="CT147" s="792"/>
      <c r="CU147" s="792"/>
      <c r="CV147" s="792"/>
      <c r="CW147" s="792"/>
      <c r="CX147" s="792"/>
      <c r="CY147" s="792"/>
      <c r="CZ147" s="792"/>
      <c r="DA147" s="792"/>
      <c r="DB147" s="792"/>
      <c r="DC147" s="792"/>
    </row>
    <row r="148" spans="1:107" s="305" customFormat="1" ht="12" x14ac:dyDescent="0.2">
      <c r="A148" s="792"/>
      <c r="B148" s="865"/>
      <c r="C148" s="792"/>
      <c r="D148" s="792"/>
      <c r="E148" s="792"/>
      <c r="F148" s="792"/>
      <c r="G148" s="792"/>
      <c r="H148" s="792"/>
      <c r="I148" s="792"/>
      <c r="J148" s="792"/>
      <c r="K148" s="792"/>
      <c r="L148" s="792"/>
      <c r="M148" s="792"/>
      <c r="N148" s="792"/>
      <c r="O148" s="792"/>
      <c r="P148" s="792"/>
      <c r="Q148" s="792"/>
      <c r="R148" s="792"/>
      <c r="S148" s="792"/>
      <c r="T148" s="792"/>
      <c r="U148" s="792"/>
      <c r="V148" s="792"/>
      <c r="W148" s="792"/>
      <c r="X148" s="792"/>
      <c r="Y148" s="792"/>
      <c r="Z148" s="792"/>
      <c r="AA148" s="792"/>
      <c r="AB148" s="792"/>
      <c r="AC148" s="792"/>
      <c r="AD148" s="792"/>
      <c r="AE148" s="792"/>
      <c r="AF148" s="792"/>
      <c r="AG148" s="792"/>
      <c r="AH148" s="792"/>
      <c r="AI148" s="792"/>
      <c r="AJ148" s="792"/>
      <c r="AK148" s="792"/>
      <c r="AL148" s="792"/>
      <c r="AM148" s="792"/>
      <c r="AN148" s="792"/>
      <c r="AO148" s="792"/>
      <c r="AP148" s="792"/>
      <c r="AQ148" s="792"/>
      <c r="AR148" s="792"/>
      <c r="AS148" s="792"/>
      <c r="AT148" s="792"/>
      <c r="AU148" s="792"/>
      <c r="AV148" s="792"/>
      <c r="AW148" s="792"/>
      <c r="AX148" s="792"/>
      <c r="AY148" s="792"/>
      <c r="AZ148" s="792"/>
      <c r="BA148" s="792"/>
      <c r="BB148" s="792"/>
      <c r="BC148" s="792"/>
      <c r="BD148" s="792"/>
      <c r="BE148" s="792"/>
      <c r="BF148" s="792"/>
      <c r="BG148" s="792"/>
      <c r="BH148" s="792"/>
      <c r="BI148" s="792"/>
      <c r="BJ148" s="792"/>
      <c r="BK148" s="792"/>
      <c r="BL148" s="792"/>
      <c r="BM148" s="792"/>
      <c r="BN148" s="792"/>
      <c r="BO148" s="792"/>
      <c r="BP148" s="792"/>
      <c r="BQ148" s="792"/>
      <c r="BR148" s="792"/>
      <c r="BS148" s="792"/>
      <c r="BT148" s="792"/>
      <c r="BU148" s="792"/>
      <c r="BV148" s="792"/>
      <c r="BW148" s="792"/>
      <c r="BX148" s="792"/>
      <c r="BY148" s="792"/>
      <c r="BZ148" s="792"/>
      <c r="CA148" s="792"/>
      <c r="CB148" s="792"/>
      <c r="CC148" s="792"/>
      <c r="CD148" s="792"/>
      <c r="CE148" s="792"/>
      <c r="CF148" s="792"/>
      <c r="CG148" s="792"/>
      <c r="CH148" s="792"/>
      <c r="CI148" s="792"/>
      <c r="CJ148" s="792"/>
      <c r="CK148" s="792"/>
      <c r="CL148" s="792"/>
      <c r="CM148" s="792"/>
      <c r="CN148" s="792"/>
      <c r="CO148" s="792"/>
      <c r="CP148" s="792"/>
      <c r="CQ148" s="792"/>
      <c r="CR148" s="792"/>
      <c r="CS148" s="792"/>
      <c r="CT148" s="792"/>
      <c r="CU148" s="792"/>
      <c r="CV148" s="792"/>
      <c r="CW148" s="792"/>
      <c r="CX148" s="792"/>
      <c r="CY148" s="792"/>
      <c r="CZ148" s="792"/>
      <c r="DA148" s="792"/>
      <c r="DB148" s="792"/>
      <c r="DC148" s="792"/>
    </row>
    <row r="149" spans="1:107" s="305" customFormat="1" ht="12" x14ac:dyDescent="0.2">
      <c r="A149" s="792"/>
      <c r="B149" s="865"/>
      <c r="C149" s="792"/>
      <c r="D149" s="792"/>
      <c r="E149" s="792"/>
      <c r="F149" s="792"/>
      <c r="G149" s="792"/>
      <c r="H149" s="792"/>
      <c r="I149" s="792"/>
      <c r="J149" s="792"/>
      <c r="K149" s="792"/>
      <c r="L149" s="792"/>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2"/>
      <c r="AJ149" s="792"/>
      <c r="AK149" s="792"/>
      <c r="AL149" s="792"/>
      <c r="AM149" s="792"/>
      <c r="AN149" s="792"/>
      <c r="AO149" s="792"/>
      <c r="AP149" s="792"/>
      <c r="AQ149" s="792"/>
      <c r="AR149" s="792"/>
      <c r="AS149" s="792"/>
      <c r="AT149" s="792"/>
      <c r="AU149" s="792"/>
      <c r="AV149" s="792"/>
      <c r="AW149" s="792"/>
      <c r="AX149" s="792"/>
      <c r="AY149" s="792"/>
      <c r="AZ149" s="792"/>
      <c r="BA149" s="792"/>
      <c r="BB149" s="792"/>
      <c r="BC149" s="792"/>
      <c r="BD149" s="792"/>
      <c r="BE149" s="792"/>
      <c r="BF149" s="792"/>
      <c r="BG149" s="792"/>
      <c r="BH149" s="792"/>
      <c r="BI149" s="792"/>
      <c r="BJ149" s="792"/>
      <c r="BK149" s="792"/>
      <c r="BL149" s="792"/>
      <c r="BM149" s="792"/>
      <c r="BN149" s="792"/>
      <c r="BO149" s="792"/>
      <c r="BP149" s="792"/>
      <c r="BQ149" s="792"/>
      <c r="BR149" s="792"/>
      <c r="BS149" s="792"/>
      <c r="BT149" s="792"/>
      <c r="BU149" s="792"/>
      <c r="BV149" s="792"/>
      <c r="BW149" s="792"/>
      <c r="BX149" s="792"/>
      <c r="BY149" s="792"/>
      <c r="BZ149" s="792"/>
      <c r="CA149" s="792"/>
      <c r="CB149" s="792"/>
      <c r="CC149" s="792"/>
      <c r="CD149" s="792"/>
      <c r="CE149" s="792"/>
      <c r="CF149" s="792"/>
      <c r="CG149" s="792"/>
      <c r="CH149" s="792"/>
      <c r="CI149" s="792"/>
      <c r="CJ149" s="792"/>
      <c r="CK149" s="792"/>
      <c r="CL149" s="792"/>
      <c r="CM149" s="792"/>
      <c r="CN149" s="792"/>
      <c r="CO149" s="792"/>
      <c r="CP149" s="792"/>
      <c r="CQ149" s="792"/>
      <c r="CR149" s="792"/>
      <c r="CS149" s="792"/>
      <c r="CT149" s="792"/>
      <c r="CU149" s="792"/>
      <c r="CV149" s="792"/>
      <c r="CW149" s="792"/>
      <c r="CX149" s="792"/>
      <c r="CY149" s="792"/>
      <c r="CZ149" s="792"/>
      <c r="DA149" s="792"/>
      <c r="DB149" s="792"/>
      <c r="DC149" s="792"/>
    </row>
    <row r="150" spans="1:107" s="305" customFormat="1" ht="12" x14ac:dyDescent="0.2">
      <c r="A150" s="792"/>
      <c r="B150" s="865"/>
      <c r="C150" s="792"/>
      <c r="D150" s="792"/>
      <c r="E150" s="792"/>
      <c r="F150" s="792"/>
      <c r="G150" s="792"/>
      <c r="H150" s="792"/>
      <c r="I150" s="792"/>
      <c r="J150" s="792"/>
      <c r="K150" s="792"/>
      <c r="L150" s="792"/>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2"/>
      <c r="AJ150" s="792"/>
      <c r="AK150" s="792"/>
      <c r="AL150" s="792"/>
      <c r="AM150" s="792"/>
      <c r="AN150" s="792"/>
      <c r="AO150" s="792"/>
      <c r="AP150" s="792"/>
      <c r="AQ150" s="792"/>
      <c r="AR150" s="792"/>
      <c r="AS150" s="792"/>
      <c r="AT150" s="792"/>
      <c r="AU150" s="792"/>
      <c r="AV150" s="792"/>
      <c r="AW150" s="792"/>
      <c r="AX150" s="792"/>
      <c r="AY150" s="792"/>
      <c r="AZ150" s="792"/>
      <c r="BA150" s="792"/>
      <c r="BB150" s="792"/>
      <c r="BC150" s="792"/>
      <c r="BD150" s="792"/>
      <c r="BE150" s="792"/>
      <c r="BF150" s="792"/>
      <c r="BG150" s="792"/>
      <c r="BH150" s="792"/>
      <c r="BI150" s="792"/>
      <c r="BJ150" s="792"/>
      <c r="BK150" s="792"/>
      <c r="BL150" s="792"/>
      <c r="BM150" s="792"/>
      <c r="BN150" s="792"/>
      <c r="BO150" s="792"/>
      <c r="BP150" s="792"/>
      <c r="BQ150" s="792"/>
      <c r="BR150" s="792"/>
      <c r="BS150" s="792"/>
      <c r="BT150" s="792"/>
      <c r="BU150" s="792"/>
      <c r="BV150" s="792"/>
      <c r="BW150" s="792"/>
      <c r="BX150" s="792"/>
      <c r="BY150" s="792"/>
      <c r="BZ150" s="792"/>
      <c r="CA150" s="792"/>
      <c r="CB150" s="792"/>
      <c r="CC150" s="792"/>
      <c r="CD150" s="792"/>
      <c r="CE150" s="792"/>
      <c r="CF150" s="792"/>
      <c r="CG150" s="792"/>
      <c r="CH150" s="792"/>
      <c r="CI150" s="792"/>
      <c r="CJ150" s="792"/>
      <c r="CK150" s="792"/>
      <c r="CL150" s="792"/>
      <c r="CM150" s="792"/>
      <c r="CN150" s="792"/>
      <c r="CO150" s="792"/>
      <c r="CP150" s="792"/>
      <c r="CQ150" s="792"/>
      <c r="CR150" s="792"/>
      <c r="CS150" s="792"/>
      <c r="CT150" s="792"/>
      <c r="CU150" s="792"/>
      <c r="CV150" s="792"/>
      <c r="CW150" s="792"/>
      <c r="CX150" s="792"/>
      <c r="CY150" s="792"/>
      <c r="CZ150" s="792"/>
      <c r="DA150" s="792"/>
      <c r="DB150" s="792"/>
      <c r="DC150" s="792"/>
    </row>
    <row r="151" spans="1:107" s="305" customFormat="1" x14ac:dyDescent="0.25">
      <c r="A151" s="792"/>
      <c r="B151" s="865"/>
      <c r="C151" s="792"/>
      <c r="D151" s="792"/>
      <c r="E151" s="792"/>
      <c r="F151" s="792"/>
      <c r="G151" s="792"/>
      <c r="H151" s="502"/>
      <c r="I151" s="792"/>
      <c r="J151" s="792"/>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2"/>
      <c r="AJ151" s="792"/>
      <c r="AK151" s="792"/>
      <c r="AL151" s="792"/>
      <c r="AM151" s="792"/>
      <c r="AN151" s="792"/>
      <c r="AO151" s="792"/>
      <c r="AP151" s="792"/>
      <c r="AQ151" s="792"/>
      <c r="AR151" s="792"/>
      <c r="AS151" s="792"/>
      <c r="AT151" s="792"/>
      <c r="AU151" s="792"/>
      <c r="AV151" s="792"/>
      <c r="AW151" s="792"/>
      <c r="AX151" s="792"/>
      <c r="AY151" s="792"/>
      <c r="AZ151" s="792"/>
      <c r="BA151" s="792"/>
      <c r="BB151" s="792"/>
      <c r="BC151" s="792"/>
      <c r="BD151" s="792"/>
      <c r="BE151" s="792"/>
      <c r="BF151" s="792"/>
      <c r="BG151" s="792"/>
      <c r="BH151" s="792"/>
      <c r="BI151" s="792"/>
      <c r="BJ151" s="792"/>
      <c r="BK151" s="792"/>
      <c r="BL151" s="792"/>
      <c r="BM151" s="792"/>
      <c r="BN151" s="792"/>
      <c r="BO151" s="792"/>
      <c r="BP151" s="792"/>
      <c r="BQ151" s="792"/>
      <c r="BR151" s="792"/>
      <c r="BS151" s="792"/>
      <c r="BT151" s="792"/>
      <c r="BU151" s="792"/>
      <c r="BV151" s="792"/>
      <c r="BW151" s="792"/>
      <c r="BX151" s="792"/>
      <c r="BY151" s="792"/>
      <c r="BZ151" s="792"/>
      <c r="CA151" s="792"/>
      <c r="CB151" s="792"/>
      <c r="CC151" s="792"/>
      <c r="CD151" s="792"/>
      <c r="CE151" s="792"/>
      <c r="CF151" s="792"/>
      <c r="CG151" s="792"/>
      <c r="CH151" s="792"/>
      <c r="CI151" s="792"/>
      <c r="CJ151" s="792"/>
      <c r="CK151" s="792"/>
      <c r="CL151" s="792"/>
      <c r="CM151" s="792"/>
      <c r="CN151" s="792"/>
      <c r="CO151" s="792"/>
      <c r="CP151" s="792"/>
      <c r="CQ151" s="792"/>
      <c r="CR151" s="792"/>
      <c r="CS151" s="792"/>
      <c r="CT151" s="792"/>
      <c r="CU151" s="792"/>
      <c r="CV151" s="792"/>
      <c r="CW151" s="792"/>
      <c r="CX151" s="792"/>
      <c r="CY151" s="792"/>
      <c r="CZ151" s="792"/>
      <c r="DA151" s="792"/>
      <c r="DB151" s="792"/>
      <c r="DC151" s="792"/>
    </row>
    <row r="152" spans="1:107" s="305" customFormat="1" ht="12" x14ac:dyDescent="0.2">
      <c r="A152" s="792"/>
      <c r="B152" s="865"/>
      <c r="C152" s="792"/>
      <c r="D152" s="792"/>
      <c r="E152" s="792"/>
      <c r="F152" s="792"/>
      <c r="G152" s="792"/>
      <c r="H152" s="792"/>
      <c r="I152" s="792"/>
      <c r="J152" s="792"/>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2"/>
      <c r="AJ152" s="792"/>
      <c r="AK152" s="792"/>
      <c r="AL152" s="792"/>
      <c r="AM152" s="792"/>
      <c r="AN152" s="792"/>
      <c r="AO152" s="792"/>
      <c r="AP152" s="792"/>
      <c r="AQ152" s="792"/>
      <c r="AR152" s="792"/>
      <c r="AS152" s="792"/>
      <c r="AT152" s="792"/>
      <c r="AU152" s="792"/>
      <c r="AV152" s="792"/>
      <c r="AW152" s="792"/>
      <c r="AX152" s="792"/>
      <c r="AY152" s="792"/>
      <c r="AZ152" s="792"/>
      <c r="BA152" s="792"/>
      <c r="BB152" s="792"/>
      <c r="BC152" s="792"/>
      <c r="BD152" s="792"/>
      <c r="BE152" s="792"/>
      <c r="BF152" s="792"/>
      <c r="BG152" s="792"/>
      <c r="BH152" s="792"/>
      <c r="BI152" s="792"/>
      <c r="BJ152" s="792"/>
      <c r="BK152" s="792"/>
      <c r="BL152" s="792"/>
      <c r="BM152" s="792"/>
      <c r="BN152" s="792"/>
      <c r="BO152" s="792"/>
      <c r="BP152" s="792"/>
      <c r="BQ152" s="792"/>
      <c r="BR152" s="792"/>
      <c r="BS152" s="792"/>
      <c r="BT152" s="792"/>
      <c r="BU152" s="792"/>
      <c r="BV152" s="792"/>
      <c r="BW152" s="792"/>
      <c r="BX152" s="792"/>
      <c r="BY152" s="792"/>
      <c r="BZ152" s="792"/>
      <c r="CA152" s="792"/>
      <c r="CB152" s="792"/>
      <c r="CC152" s="792"/>
      <c r="CD152" s="792"/>
      <c r="CE152" s="792"/>
      <c r="CF152" s="792"/>
      <c r="CG152" s="792"/>
      <c r="CH152" s="792"/>
      <c r="CI152" s="792"/>
      <c r="CJ152" s="792"/>
      <c r="CK152" s="792"/>
      <c r="CL152" s="792"/>
      <c r="CM152" s="792"/>
      <c r="CN152" s="792"/>
      <c r="CO152" s="792"/>
      <c r="CP152" s="792"/>
      <c r="CQ152" s="792"/>
      <c r="CR152" s="792"/>
      <c r="CS152" s="792"/>
      <c r="CT152" s="792"/>
      <c r="CU152" s="792"/>
      <c r="CV152" s="792"/>
      <c r="CW152" s="792"/>
      <c r="CX152" s="792"/>
      <c r="CY152" s="792"/>
      <c r="CZ152" s="792"/>
      <c r="DA152" s="792"/>
      <c r="DB152" s="792"/>
      <c r="DC152" s="792"/>
    </row>
    <row r="153" spans="1:107" s="305" customFormat="1" ht="12" x14ac:dyDescent="0.2">
      <c r="A153" s="792"/>
      <c r="B153" s="865"/>
      <c r="C153" s="792"/>
      <c r="D153" s="792"/>
      <c r="E153" s="792"/>
      <c r="F153" s="792"/>
      <c r="G153" s="792"/>
      <c r="H153" s="792"/>
      <c r="I153" s="792"/>
      <c r="J153" s="792"/>
      <c r="K153" s="792"/>
      <c r="L153" s="792"/>
      <c r="M153" s="792"/>
      <c r="N153" s="792"/>
      <c r="O153" s="792"/>
      <c r="P153" s="792"/>
      <c r="Q153" s="792"/>
      <c r="R153" s="792"/>
      <c r="S153" s="792"/>
      <c r="T153" s="792"/>
      <c r="U153" s="792"/>
      <c r="V153" s="792"/>
      <c r="W153" s="792"/>
      <c r="X153" s="792"/>
      <c r="Y153" s="792"/>
      <c r="Z153" s="792"/>
      <c r="AA153" s="792"/>
      <c r="AB153" s="792"/>
      <c r="AC153" s="792"/>
      <c r="AD153" s="792"/>
      <c r="AE153" s="792"/>
      <c r="AF153" s="792"/>
      <c r="AG153" s="792"/>
      <c r="AH153" s="792"/>
      <c r="AI153" s="792"/>
      <c r="AJ153" s="792"/>
      <c r="AK153" s="792"/>
      <c r="AL153" s="792"/>
      <c r="AM153" s="792"/>
      <c r="AN153" s="792"/>
      <c r="AO153" s="792"/>
      <c r="AP153" s="792"/>
      <c r="AQ153" s="792"/>
      <c r="AR153" s="792"/>
      <c r="AS153" s="792"/>
      <c r="AT153" s="792"/>
      <c r="AU153" s="792"/>
      <c r="AV153" s="792"/>
      <c r="AW153" s="792"/>
      <c r="AX153" s="792"/>
      <c r="AY153" s="792"/>
      <c r="AZ153" s="792"/>
      <c r="BA153" s="792"/>
      <c r="BB153" s="792"/>
      <c r="BC153" s="792"/>
      <c r="BD153" s="792"/>
      <c r="BE153" s="792"/>
      <c r="BF153" s="792"/>
      <c r="BG153" s="792"/>
      <c r="BH153" s="792"/>
      <c r="BI153" s="792"/>
      <c r="BJ153" s="792"/>
      <c r="BK153" s="792"/>
      <c r="BL153" s="792"/>
      <c r="BM153" s="792"/>
      <c r="BN153" s="792"/>
      <c r="BO153" s="792"/>
      <c r="BP153" s="792"/>
      <c r="BQ153" s="792"/>
      <c r="BR153" s="792"/>
      <c r="BS153" s="792"/>
      <c r="BT153" s="792"/>
      <c r="BU153" s="792"/>
      <c r="BV153" s="792"/>
      <c r="BW153" s="792"/>
      <c r="BX153" s="792"/>
      <c r="BY153" s="792"/>
      <c r="BZ153" s="792"/>
      <c r="CA153" s="792"/>
      <c r="CB153" s="792"/>
      <c r="CC153" s="792"/>
      <c r="CD153" s="792"/>
      <c r="CE153" s="792"/>
      <c r="CF153" s="792"/>
      <c r="CG153" s="792"/>
      <c r="CH153" s="792"/>
      <c r="CI153" s="792"/>
      <c r="CJ153" s="792"/>
      <c r="CK153" s="792"/>
      <c r="CL153" s="792"/>
      <c r="CM153" s="792"/>
      <c r="CN153" s="792"/>
      <c r="CO153" s="792"/>
      <c r="CP153" s="792"/>
      <c r="CQ153" s="792"/>
      <c r="CR153" s="792"/>
      <c r="CS153" s="792"/>
      <c r="CT153" s="792"/>
      <c r="CU153" s="792"/>
      <c r="CV153" s="792"/>
      <c r="CW153" s="792"/>
      <c r="CX153" s="792"/>
      <c r="CY153" s="792"/>
      <c r="CZ153" s="792"/>
      <c r="DA153" s="792"/>
      <c r="DB153" s="792"/>
      <c r="DC153" s="792"/>
    </row>
    <row r="154" spans="1:107" s="305" customFormat="1" ht="12" x14ac:dyDescent="0.2">
      <c r="A154" s="792"/>
      <c r="B154" s="865"/>
      <c r="C154" s="792"/>
      <c r="D154" s="792"/>
      <c r="E154" s="792"/>
      <c r="F154" s="792"/>
      <c r="G154" s="792"/>
      <c r="H154" s="792"/>
      <c r="I154" s="792"/>
      <c r="J154" s="792"/>
      <c r="K154" s="792"/>
      <c r="L154" s="792"/>
      <c r="M154" s="792"/>
      <c r="N154" s="792"/>
      <c r="O154" s="792"/>
      <c r="P154" s="792"/>
      <c r="Q154" s="792"/>
      <c r="R154" s="792"/>
      <c r="S154" s="792"/>
      <c r="T154" s="792"/>
      <c r="U154" s="792"/>
      <c r="V154" s="792"/>
      <c r="W154" s="792"/>
      <c r="X154" s="792"/>
      <c r="Y154" s="792"/>
      <c r="Z154" s="792"/>
      <c r="AA154" s="792"/>
      <c r="AB154" s="792"/>
      <c r="AC154" s="792"/>
      <c r="AD154" s="792"/>
      <c r="AE154" s="792"/>
      <c r="AF154" s="792"/>
      <c r="AG154" s="792"/>
      <c r="AH154" s="792"/>
      <c r="AI154" s="792"/>
      <c r="AJ154" s="792"/>
      <c r="AK154" s="792"/>
      <c r="AL154" s="792"/>
      <c r="AM154" s="792"/>
      <c r="AN154" s="792"/>
      <c r="AO154" s="792"/>
      <c r="AP154" s="792"/>
      <c r="AQ154" s="792"/>
      <c r="AR154" s="792"/>
      <c r="AS154" s="792"/>
      <c r="AT154" s="792"/>
      <c r="AU154" s="792"/>
      <c r="AV154" s="792"/>
      <c r="AW154" s="792"/>
      <c r="AX154" s="792"/>
      <c r="AY154" s="792"/>
      <c r="AZ154" s="792"/>
      <c r="BA154" s="792"/>
      <c r="BB154" s="792"/>
      <c r="BC154" s="792"/>
      <c r="BD154" s="792"/>
      <c r="BE154" s="792"/>
      <c r="BF154" s="792"/>
      <c r="BG154" s="792"/>
      <c r="BH154" s="792"/>
      <c r="BI154" s="792"/>
      <c r="BJ154" s="792"/>
      <c r="BK154" s="792"/>
      <c r="BL154" s="792"/>
      <c r="BM154" s="792"/>
      <c r="BN154" s="792"/>
      <c r="BO154" s="792"/>
      <c r="BP154" s="792"/>
      <c r="BQ154" s="792"/>
      <c r="BR154" s="792"/>
      <c r="BS154" s="792"/>
      <c r="BT154" s="792"/>
      <c r="BU154" s="792"/>
      <c r="BV154" s="792"/>
      <c r="BW154" s="792"/>
      <c r="BX154" s="792"/>
      <c r="BY154" s="792"/>
      <c r="BZ154" s="792"/>
      <c r="CA154" s="792"/>
      <c r="CB154" s="792"/>
      <c r="CC154" s="792"/>
      <c r="CD154" s="792"/>
      <c r="CE154" s="792"/>
      <c r="CF154" s="792"/>
      <c r="CG154" s="792"/>
      <c r="CH154" s="792"/>
      <c r="CI154" s="792"/>
      <c r="CJ154" s="792"/>
      <c r="CK154" s="792"/>
      <c r="CL154" s="792"/>
      <c r="CM154" s="792"/>
      <c r="CN154" s="792"/>
      <c r="CO154" s="792"/>
      <c r="CP154" s="792"/>
      <c r="CQ154" s="792"/>
      <c r="CR154" s="792"/>
      <c r="CS154" s="792"/>
      <c r="CT154" s="792"/>
      <c r="CU154" s="792"/>
      <c r="CV154" s="792"/>
      <c r="CW154" s="792"/>
      <c r="CX154" s="792"/>
      <c r="CY154" s="792"/>
      <c r="CZ154" s="792"/>
      <c r="DA154" s="792"/>
      <c r="DB154" s="792"/>
      <c r="DC154" s="792"/>
    </row>
    <row r="155" spans="1:107" s="305" customFormat="1" ht="12" x14ac:dyDescent="0.2">
      <c r="A155" s="792"/>
      <c r="B155" s="865"/>
      <c r="C155" s="792"/>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2"/>
      <c r="AD155" s="792"/>
      <c r="AE155" s="792"/>
      <c r="AF155" s="792"/>
      <c r="AG155" s="792"/>
      <c r="AH155" s="792"/>
      <c r="AI155" s="792"/>
      <c r="AJ155" s="792"/>
      <c r="AK155" s="792"/>
      <c r="AL155" s="792"/>
      <c r="AM155" s="792"/>
      <c r="AN155" s="792"/>
      <c r="AO155" s="792"/>
      <c r="AP155" s="792"/>
      <c r="AQ155" s="792"/>
      <c r="AR155" s="792"/>
      <c r="AS155" s="792"/>
      <c r="AT155" s="792"/>
      <c r="AU155" s="792"/>
      <c r="AV155" s="792"/>
      <c r="AW155" s="792"/>
      <c r="AX155" s="792"/>
      <c r="AY155" s="792"/>
      <c r="AZ155" s="792"/>
      <c r="BA155" s="792"/>
      <c r="BB155" s="792"/>
      <c r="BC155" s="792"/>
      <c r="BD155" s="792"/>
      <c r="BE155" s="792"/>
      <c r="BF155" s="792"/>
      <c r="BG155" s="792"/>
      <c r="BH155" s="792"/>
      <c r="BI155" s="792"/>
      <c r="BJ155" s="792"/>
      <c r="BK155" s="792"/>
      <c r="BL155" s="792"/>
      <c r="BM155" s="792"/>
      <c r="BN155" s="792"/>
      <c r="BO155" s="792"/>
      <c r="BP155" s="792"/>
      <c r="BQ155" s="792"/>
      <c r="BR155" s="792"/>
      <c r="BS155" s="792"/>
      <c r="BT155" s="792"/>
      <c r="BU155" s="792"/>
      <c r="BV155" s="792"/>
      <c r="BW155" s="792"/>
      <c r="BX155" s="792"/>
      <c r="BY155" s="792"/>
      <c r="BZ155" s="792"/>
      <c r="CA155" s="792"/>
      <c r="CB155" s="792"/>
      <c r="CC155" s="792"/>
      <c r="CD155" s="792"/>
      <c r="CE155" s="792"/>
      <c r="CF155" s="792"/>
      <c r="CG155" s="792"/>
      <c r="CH155" s="792"/>
      <c r="CI155" s="792"/>
      <c r="CJ155" s="792"/>
      <c r="CK155" s="792"/>
      <c r="CL155" s="792"/>
      <c r="CM155" s="792"/>
      <c r="CN155" s="792"/>
      <c r="CO155" s="792"/>
      <c r="CP155" s="792"/>
      <c r="CQ155" s="792"/>
      <c r="CR155" s="792"/>
      <c r="CS155" s="792"/>
      <c r="CT155" s="792"/>
      <c r="CU155" s="792"/>
      <c r="CV155" s="792"/>
      <c r="CW155" s="792"/>
      <c r="CX155" s="792"/>
      <c r="CY155" s="792"/>
      <c r="CZ155" s="792"/>
      <c r="DA155" s="792"/>
      <c r="DB155" s="792"/>
      <c r="DC155" s="792"/>
    </row>
    <row r="156" spans="1:107" s="305" customFormat="1" ht="12" x14ac:dyDescent="0.2">
      <c r="A156" s="792"/>
      <c r="B156" s="865"/>
      <c r="C156" s="792"/>
      <c r="D156" s="792"/>
      <c r="E156" s="792"/>
      <c r="F156" s="792"/>
      <c r="G156" s="792"/>
      <c r="H156" s="792"/>
      <c r="I156" s="792"/>
      <c r="J156" s="792"/>
      <c r="K156" s="792"/>
      <c r="L156" s="792"/>
      <c r="M156" s="792"/>
      <c r="N156" s="792"/>
      <c r="O156" s="792"/>
      <c r="P156" s="792"/>
      <c r="Q156" s="792"/>
      <c r="R156" s="792"/>
      <c r="S156" s="792"/>
      <c r="T156" s="792"/>
      <c r="U156" s="792"/>
      <c r="V156" s="792"/>
      <c r="W156" s="792"/>
      <c r="X156" s="792"/>
      <c r="Y156" s="792"/>
      <c r="Z156" s="792"/>
      <c r="AA156" s="792"/>
      <c r="AB156" s="792"/>
      <c r="AC156" s="792"/>
      <c r="AD156" s="792"/>
      <c r="AE156" s="792"/>
      <c r="AF156" s="792"/>
      <c r="AG156" s="792"/>
      <c r="AH156" s="792"/>
      <c r="AI156" s="792"/>
      <c r="AJ156" s="792"/>
      <c r="AK156" s="792"/>
      <c r="AL156" s="792"/>
      <c r="AM156" s="792"/>
      <c r="AN156" s="792"/>
      <c r="AO156" s="792"/>
      <c r="AP156" s="792"/>
      <c r="AQ156" s="792"/>
      <c r="AR156" s="792"/>
      <c r="AS156" s="792"/>
      <c r="AT156" s="792"/>
      <c r="AU156" s="792"/>
      <c r="AV156" s="792"/>
      <c r="AW156" s="792"/>
      <c r="AX156" s="792"/>
      <c r="AY156" s="792"/>
      <c r="AZ156" s="792"/>
      <c r="BA156" s="792"/>
      <c r="BB156" s="792"/>
      <c r="BC156" s="792"/>
      <c r="BD156" s="792"/>
      <c r="BE156" s="792"/>
      <c r="BF156" s="792"/>
      <c r="BG156" s="792"/>
      <c r="BH156" s="792"/>
      <c r="BI156" s="792"/>
      <c r="BJ156" s="792"/>
      <c r="BK156" s="792"/>
      <c r="BL156" s="792"/>
      <c r="BM156" s="792"/>
      <c r="BN156" s="792"/>
      <c r="BO156" s="792"/>
      <c r="BP156" s="792"/>
      <c r="BQ156" s="792"/>
      <c r="BR156" s="792"/>
      <c r="BS156" s="792"/>
      <c r="BT156" s="792"/>
      <c r="BU156" s="792"/>
      <c r="BV156" s="792"/>
      <c r="BW156" s="792"/>
      <c r="BX156" s="792"/>
      <c r="BY156" s="792"/>
      <c r="BZ156" s="792"/>
      <c r="CA156" s="792"/>
      <c r="CB156" s="792"/>
      <c r="CC156" s="792"/>
      <c r="CD156" s="792"/>
      <c r="CE156" s="792"/>
      <c r="CF156" s="792"/>
      <c r="CG156" s="792"/>
      <c r="CH156" s="792"/>
      <c r="CI156" s="792"/>
      <c r="CJ156" s="792"/>
      <c r="CK156" s="792"/>
      <c r="CL156" s="792"/>
      <c r="CM156" s="792"/>
      <c r="CN156" s="792"/>
      <c r="CO156" s="792"/>
      <c r="CP156" s="792"/>
      <c r="CQ156" s="792"/>
      <c r="CR156" s="792"/>
      <c r="CS156" s="792"/>
      <c r="CT156" s="792"/>
      <c r="CU156" s="792"/>
      <c r="CV156" s="792"/>
      <c r="CW156" s="792"/>
      <c r="CX156" s="792"/>
      <c r="CY156" s="792"/>
      <c r="CZ156" s="792"/>
      <c r="DA156" s="792"/>
      <c r="DB156" s="792"/>
      <c r="DC156" s="792"/>
    </row>
    <row r="157" spans="1:107" s="305" customFormat="1" ht="12" x14ac:dyDescent="0.2">
      <c r="A157" s="792"/>
      <c r="B157" s="865"/>
      <c r="C157" s="792"/>
      <c r="D157" s="792"/>
      <c r="E157" s="792"/>
      <c r="F157" s="792"/>
      <c r="G157" s="792"/>
      <c r="H157" s="792"/>
      <c r="I157" s="792"/>
      <c r="J157" s="792"/>
      <c r="K157" s="792"/>
      <c r="L157" s="792"/>
      <c r="M157" s="792"/>
      <c r="N157" s="792"/>
      <c r="O157" s="792"/>
      <c r="P157" s="792"/>
      <c r="Q157" s="792"/>
      <c r="R157" s="792"/>
      <c r="S157" s="792"/>
      <c r="T157" s="792"/>
      <c r="U157" s="792"/>
      <c r="V157" s="792"/>
      <c r="W157" s="792"/>
      <c r="X157" s="792"/>
      <c r="Y157" s="792"/>
      <c r="Z157" s="792"/>
      <c r="AA157" s="792"/>
      <c r="AB157" s="792"/>
      <c r="AC157" s="792"/>
      <c r="AD157" s="792"/>
      <c r="AE157" s="792"/>
      <c r="AF157" s="792"/>
      <c r="AG157" s="792"/>
      <c r="AH157" s="792"/>
      <c r="AI157" s="792"/>
      <c r="AJ157" s="792"/>
      <c r="AK157" s="792"/>
      <c r="AL157" s="792"/>
      <c r="AM157" s="792"/>
      <c r="AN157" s="792"/>
      <c r="AO157" s="792"/>
      <c r="AP157" s="792"/>
      <c r="AQ157" s="792"/>
      <c r="AR157" s="792"/>
      <c r="AS157" s="792"/>
      <c r="AT157" s="792"/>
      <c r="AU157" s="792"/>
      <c r="AV157" s="792"/>
      <c r="AW157" s="792"/>
      <c r="AX157" s="792"/>
      <c r="AY157" s="792"/>
      <c r="AZ157" s="792"/>
      <c r="BA157" s="792"/>
      <c r="BB157" s="792"/>
      <c r="BC157" s="792"/>
      <c r="BD157" s="792"/>
      <c r="BE157" s="792"/>
      <c r="BF157" s="792"/>
      <c r="BG157" s="792"/>
      <c r="BH157" s="792"/>
      <c r="BI157" s="792"/>
      <c r="BJ157" s="792"/>
      <c r="BK157" s="792"/>
      <c r="BL157" s="792"/>
      <c r="BM157" s="792"/>
      <c r="BN157" s="792"/>
      <c r="BO157" s="792"/>
      <c r="BP157" s="792"/>
      <c r="BQ157" s="792"/>
      <c r="BR157" s="792"/>
      <c r="BS157" s="792"/>
      <c r="BT157" s="792"/>
      <c r="BU157" s="792"/>
      <c r="BV157" s="792"/>
      <c r="BW157" s="792"/>
      <c r="BX157" s="792"/>
      <c r="BY157" s="792"/>
      <c r="BZ157" s="792"/>
      <c r="CA157" s="792"/>
      <c r="CB157" s="792"/>
      <c r="CC157" s="792"/>
      <c r="CD157" s="792"/>
      <c r="CE157" s="792"/>
      <c r="CF157" s="792"/>
      <c r="CG157" s="792"/>
      <c r="CH157" s="792"/>
      <c r="CI157" s="792"/>
      <c r="CJ157" s="792"/>
      <c r="CK157" s="792"/>
      <c r="CL157" s="792"/>
      <c r="CM157" s="792"/>
      <c r="CN157" s="792"/>
      <c r="CO157" s="792"/>
      <c r="CP157" s="792"/>
      <c r="CQ157" s="792"/>
      <c r="CR157" s="792"/>
      <c r="CS157" s="792"/>
      <c r="CT157" s="792"/>
      <c r="CU157" s="792"/>
      <c r="CV157" s="792"/>
      <c r="CW157" s="792"/>
      <c r="CX157" s="792"/>
      <c r="CY157" s="792"/>
      <c r="CZ157" s="792"/>
      <c r="DA157" s="792"/>
      <c r="DB157" s="792"/>
      <c r="DC157" s="792"/>
    </row>
    <row r="158" spans="1:107" s="305" customFormat="1" ht="12" x14ac:dyDescent="0.2">
      <c r="A158" s="792"/>
      <c r="B158" s="865"/>
      <c r="C158" s="792"/>
      <c r="D158" s="792"/>
      <c r="E158" s="792"/>
      <c r="F158" s="792"/>
      <c r="G158" s="792"/>
      <c r="H158" s="792"/>
      <c r="I158" s="792"/>
      <c r="J158" s="792"/>
      <c r="K158" s="792"/>
      <c r="L158" s="792"/>
      <c r="M158" s="792"/>
      <c r="N158" s="792"/>
      <c r="O158" s="792"/>
      <c r="P158" s="792"/>
      <c r="Q158" s="792"/>
      <c r="R158" s="792"/>
      <c r="S158" s="792"/>
      <c r="T158" s="792"/>
      <c r="U158" s="792"/>
      <c r="V158" s="792"/>
      <c r="W158" s="792"/>
      <c r="X158" s="792"/>
      <c r="Y158" s="792"/>
      <c r="Z158" s="792"/>
      <c r="AA158" s="792"/>
      <c r="AB158" s="792"/>
      <c r="AC158" s="792"/>
      <c r="AD158" s="792"/>
      <c r="AE158" s="792"/>
      <c r="AF158" s="792"/>
      <c r="AG158" s="792"/>
      <c r="AH158" s="792"/>
      <c r="AI158" s="792"/>
      <c r="AJ158" s="792"/>
      <c r="AK158" s="792"/>
      <c r="AL158" s="792"/>
      <c r="AM158" s="792"/>
      <c r="AN158" s="792"/>
      <c r="AO158" s="792"/>
      <c r="AP158" s="792"/>
      <c r="AQ158" s="792"/>
      <c r="AR158" s="792"/>
      <c r="AS158" s="792"/>
      <c r="AT158" s="792"/>
      <c r="AU158" s="792"/>
      <c r="AV158" s="792"/>
      <c r="AW158" s="792"/>
      <c r="AX158" s="792"/>
      <c r="AY158" s="792"/>
      <c r="AZ158" s="792"/>
      <c r="BA158" s="792"/>
      <c r="BB158" s="792"/>
      <c r="BC158" s="792"/>
      <c r="BD158" s="792"/>
      <c r="BE158" s="792"/>
      <c r="BF158" s="792"/>
      <c r="BG158" s="792"/>
      <c r="BH158" s="792"/>
      <c r="BI158" s="792"/>
      <c r="BJ158" s="792"/>
      <c r="BK158" s="792"/>
      <c r="BL158" s="792"/>
      <c r="BM158" s="792"/>
      <c r="BN158" s="792"/>
      <c r="BO158" s="792"/>
      <c r="BP158" s="792"/>
      <c r="BQ158" s="792"/>
      <c r="BR158" s="792"/>
      <c r="BS158" s="792"/>
      <c r="BT158" s="792"/>
      <c r="BU158" s="792"/>
      <c r="BV158" s="792"/>
      <c r="BW158" s="792"/>
      <c r="BX158" s="792"/>
      <c r="BY158" s="792"/>
      <c r="BZ158" s="792"/>
      <c r="CA158" s="792"/>
      <c r="CB158" s="792"/>
      <c r="CC158" s="792"/>
      <c r="CD158" s="792"/>
      <c r="CE158" s="792"/>
      <c r="CF158" s="792"/>
      <c r="CG158" s="792"/>
      <c r="CH158" s="792"/>
      <c r="CI158" s="792"/>
      <c r="CJ158" s="792"/>
      <c r="CK158" s="792"/>
      <c r="CL158" s="792"/>
      <c r="CM158" s="792"/>
      <c r="CN158" s="792"/>
      <c r="CO158" s="792"/>
      <c r="CP158" s="792"/>
      <c r="CQ158" s="792"/>
      <c r="CR158" s="792"/>
      <c r="CS158" s="792"/>
      <c r="CT158" s="792"/>
      <c r="CU158" s="792"/>
      <c r="CV158" s="792"/>
      <c r="CW158" s="792"/>
      <c r="CX158" s="792"/>
      <c r="CY158" s="792"/>
      <c r="CZ158" s="792"/>
      <c r="DA158" s="792"/>
      <c r="DB158" s="792"/>
      <c r="DC158" s="792"/>
    </row>
    <row r="159" spans="1:107" s="305" customFormat="1" ht="12" x14ac:dyDescent="0.2">
      <c r="A159" s="792"/>
      <c r="B159" s="865"/>
      <c r="C159" s="792"/>
      <c r="D159" s="792"/>
      <c r="E159" s="792"/>
      <c r="F159" s="792"/>
      <c r="G159" s="792"/>
      <c r="H159" s="792"/>
      <c r="I159" s="792"/>
      <c r="J159" s="792"/>
      <c r="K159" s="792"/>
      <c r="L159" s="792"/>
      <c r="M159" s="792"/>
      <c r="N159" s="792"/>
      <c r="O159" s="792"/>
      <c r="P159" s="792"/>
      <c r="Q159" s="792"/>
      <c r="R159" s="792"/>
      <c r="S159" s="792"/>
      <c r="T159" s="792"/>
      <c r="U159" s="792"/>
      <c r="V159" s="792"/>
      <c r="W159" s="792"/>
      <c r="X159" s="792"/>
      <c r="Y159" s="792"/>
      <c r="Z159" s="792"/>
      <c r="AA159" s="792"/>
      <c r="AB159" s="792"/>
      <c r="AC159" s="792"/>
      <c r="AD159" s="792"/>
      <c r="AE159" s="792"/>
      <c r="AF159" s="792"/>
      <c r="AG159" s="792"/>
      <c r="AH159" s="792"/>
      <c r="AI159" s="792"/>
      <c r="AJ159" s="792"/>
      <c r="AK159" s="792"/>
      <c r="AL159" s="792"/>
      <c r="AM159" s="792"/>
      <c r="AN159" s="792"/>
      <c r="AO159" s="792"/>
      <c r="AP159" s="792"/>
      <c r="AQ159" s="792"/>
      <c r="AR159" s="792"/>
      <c r="AS159" s="792"/>
      <c r="AT159" s="792"/>
      <c r="AU159" s="792"/>
      <c r="AV159" s="792"/>
      <c r="AW159" s="792"/>
      <c r="AX159" s="792"/>
      <c r="AY159" s="792"/>
      <c r="AZ159" s="792"/>
      <c r="BA159" s="792"/>
      <c r="BB159" s="792"/>
      <c r="BC159" s="792"/>
      <c r="BD159" s="792"/>
      <c r="BE159" s="792"/>
      <c r="BF159" s="792"/>
      <c r="BG159" s="792"/>
      <c r="BH159" s="792"/>
      <c r="BI159" s="792"/>
      <c r="BJ159" s="792"/>
      <c r="BK159" s="792"/>
      <c r="BL159" s="792"/>
      <c r="BM159" s="792"/>
      <c r="BN159" s="792"/>
      <c r="BO159" s="792"/>
      <c r="BP159" s="792"/>
      <c r="BQ159" s="792"/>
      <c r="BR159" s="792"/>
      <c r="BS159" s="792"/>
      <c r="BT159" s="792"/>
      <c r="BU159" s="792"/>
      <c r="BV159" s="792"/>
      <c r="BW159" s="792"/>
      <c r="BX159" s="792"/>
      <c r="BY159" s="792"/>
      <c r="BZ159" s="792"/>
      <c r="CA159" s="792"/>
      <c r="CB159" s="792"/>
      <c r="CC159" s="792"/>
      <c r="CD159" s="792"/>
      <c r="CE159" s="792"/>
      <c r="CF159" s="792"/>
      <c r="CG159" s="792"/>
      <c r="CH159" s="792"/>
      <c r="CI159" s="792"/>
      <c r="CJ159" s="792"/>
      <c r="CK159" s="792"/>
      <c r="CL159" s="792"/>
      <c r="CM159" s="792"/>
      <c r="CN159" s="792"/>
      <c r="CO159" s="792"/>
      <c r="CP159" s="792"/>
      <c r="CQ159" s="792"/>
      <c r="CR159" s="792"/>
      <c r="CS159" s="792"/>
      <c r="CT159" s="792"/>
      <c r="CU159" s="792"/>
      <c r="CV159" s="792"/>
      <c r="CW159" s="792"/>
      <c r="CX159" s="792"/>
      <c r="CY159" s="792"/>
      <c r="CZ159" s="792"/>
      <c r="DA159" s="792"/>
      <c r="DB159" s="792"/>
      <c r="DC159" s="792"/>
    </row>
    <row r="160" spans="1:107" s="305" customFormat="1" ht="12" x14ac:dyDescent="0.2">
      <c r="A160" s="792"/>
      <c r="B160" s="865"/>
      <c r="C160" s="792"/>
      <c r="D160" s="792"/>
      <c r="E160" s="792"/>
      <c r="F160" s="792"/>
      <c r="G160" s="792"/>
      <c r="H160" s="792"/>
      <c r="I160" s="792"/>
      <c r="J160" s="792"/>
      <c r="K160" s="792"/>
      <c r="L160" s="792"/>
      <c r="M160" s="792"/>
      <c r="N160" s="792"/>
      <c r="O160" s="792"/>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792"/>
      <c r="AP160" s="792"/>
      <c r="AQ160" s="792"/>
      <c r="AR160" s="792"/>
      <c r="AS160" s="792"/>
      <c r="AT160" s="792"/>
      <c r="AU160" s="792"/>
      <c r="AV160" s="792"/>
      <c r="AW160" s="792"/>
      <c r="AX160" s="792"/>
      <c r="AY160" s="792"/>
      <c r="AZ160" s="792"/>
      <c r="BA160" s="792"/>
      <c r="BB160" s="792"/>
      <c r="BC160" s="792"/>
      <c r="BD160" s="792"/>
      <c r="BE160" s="792"/>
      <c r="BF160" s="792"/>
      <c r="BG160" s="792"/>
      <c r="BH160" s="792"/>
      <c r="BI160" s="792"/>
      <c r="BJ160" s="792"/>
      <c r="BK160" s="792"/>
      <c r="BL160" s="792"/>
      <c r="BM160" s="792"/>
      <c r="BN160" s="792"/>
      <c r="BO160" s="792"/>
      <c r="BP160" s="792"/>
      <c r="BQ160" s="792"/>
      <c r="BR160" s="792"/>
      <c r="BS160" s="792"/>
      <c r="BT160" s="792"/>
      <c r="BU160" s="792"/>
      <c r="BV160" s="792"/>
      <c r="BW160" s="792"/>
      <c r="BX160" s="792"/>
      <c r="BY160" s="792"/>
      <c r="BZ160" s="792"/>
      <c r="CA160" s="792"/>
      <c r="CB160" s="792"/>
      <c r="CC160" s="792"/>
      <c r="CD160" s="792"/>
      <c r="CE160" s="792"/>
      <c r="CF160" s="792"/>
      <c r="CG160" s="792"/>
      <c r="CH160" s="792"/>
      <c r="CI160" s="792"/>
      <c r="CJ160" s="792"/>
      <c r="CK160" s="792"/>
      <c r="CL160" s="792"/>
      <c r="CM160" s="792"/>
      <c r="CN160" s="792"/>
      <c r="CO160" s="792"/>
      <c r="CP160" s="792"/>
      <c r="CQ160" s="792"/>
      <c r="CR160" s="792"/>
      <c r="CS160" s="792"/>
      <c r="CT160" s="792"/>
      <c r="CU160" s="792"/>
      <c r="CV160" s="792"/>
      <c r="CW160" s="792"/>
      <c r="CX160" s="792"/>
      <c r="CY160" s="792"/>
      <c r="CZ160" s="792"/>
      <c r="DA160" s="792"/>
      <c r="DB160" s="792"/>
      <c r="DC160" s="792"/>
    </row>
    <row r="161" spans="1:107" s="305" customFormat="1" ht="12" x14ac:dyDescent="0.2">
      <c r="A161" s="792"/>
      <c r="B161" s="865"/>
      <c r="C161" s="792"/>
      <c r="D161" s="792"/>
      <c r="E161" s="792"/>
      <c r="F161" s="792"/>
      <c r="G161" s="792"/>
      <c r="H161" s="792"/>
      <c r="I161" s="792"/>
      <c r="J161" s="792"/>
      <c r="K161" s="792"/>
      <c r="L161" s="792"/>
      <c r="M161" s="792"/>
      <c r="N161" s="792"/>
      <c r="O161" s="792"/>
      <c r="P161" s="792"/>
      <c r="Q161" s="792"/>
      <c r="R161" s="792"/>
      <c r="S161" s="792"/>
      <c r="T161" s="792"/>
      <c r="U161" s="792"/>
      <c r="V161" s="792"/>
      <c r="W161" s="792"/>
      <c r="X161" s="792"/>
      <c r="Y161" s="792"/>
      <c r="Z161" s="792"/>
      <c r="AA161" s="792"/>
      <c r="AB161" s="792"/>
      <c r="AC161" s="792"/>
      <c r="AD161" s="792"/>
      <c r="AE161" s="792"/>
      <c r="AF161" s="792"/>
      <c r="AG161" s="792"/>
      <c r="AH161" s="792"/>
      <c r="AI161" s="792"/>
      <c r="AJ161" s="792"/>
      <c r="AK161" s="792"/>
      <c r="AL161" s="792"/>
      <c r="AM161" s="792"/>
      <c r="AN161" s="792"/>
      <c r="AO161" s="792"/>
      <c r="AP161" s="792"/>
      <c r="AQ161" s="792"/>
      <c r="AR161" s="792"/>
      <c r="AS161" s="792"/>
      <c r="AT161" s="792"/>
      <c r="AU161" s="792"/>
      <c r="AV161" s="792"/>
      <c r="AW161" s="792"/>
      <c r="AX161" s="792"/>
      <c r="AY161" s="792"/>
      <c r="AZ161" s="792"/>
      <c r="BA161" s="792"/>
      <c r="BB161" s="792"/>
      <c r="BC161" s="792"/>
      <c r="BD161" s="792"/>
      <c r="BE161" s="792"/>
      <c r="BF161" s="792"/>
      <c r="BG161" s="792"/>
      <c r="BH161" s="792"/>
      <c r="BI161" s="792"/>
      <c r="BJ161" s="792"/>
      <c r="BK161" s="792"/>
      <c r="BL161" s="792"/>
      <c r="BM161" s="792"/>
      <c r="BN161" s="792"/>
      <c r="BO161" s="792"/>
      <c r="BP161" s="792"/>
      <c r="BQ161" s="792"/>
      <c r="BR161" s="792"/>
      <c r="BS161" s="792"/>
      <c r="BT161" s="792"/>
      <c r="BU161" s="792"/>
      <c r="BV161" s="792"/>
      <c r="BW161" s="792"/>
      <c r="BX161" s="792"/>
      <c r="BY161" s="792"/>
      <c r="BZ161" s="792"/>
      <c r="CA161" s="792"/>
      <c r="CB161" s="792"/>
      <c r="CC161" s="792"/>
      <c r="CD161" s="792"/>
      <c r="CE161" s="792"/>
      <c r="CF161" s="792"/>
      <c r="CG161" s="792"/>
      <c r="CH161" s="792"/>
      <c r="CI161" s="792"/>
      <c r="CJ161" s="792"/>
      <c r="CK161" s="792"/>
      <c r="CL161" s="792"/>
      <c r="CM161" s="792"/>
      <c r="CN161" s="792"/>
      <c r="CO161" s="792"/>
      <c r="CP161" s="792"/>
      <c r="CQ161" s="792"/>
      <c r="CR161" s="792"/>
      <c r="CS161" s="792"/>
      <c r="CT161" s="792"/>
      <c r="CU161" s="792"/>
      <c r="CV161" s="792"/>
      <c r="CW161" s="792"/>
      <c r="CX161" s="792"/>
      <c r="CY161" s="792"/>
      <c r="CZ161" s="792"/>
      <c r="DA161" s="792"/>
      <c r="DB161" s="792"/>
      <c r="DC161" s="792"/>
    </row>
    <row r="162" spans="1:107" s="305" customFormat="1" ht="12" x14ac:dyDescent="0.2">
      <c r="A162" s="792"/>
      <c r="B162" s="865"/>
      <c r="C162" s="792"/>
      <c r="D162" s="792"/>
      <c r="E162" s="792"/>
      <c r="F162" s="792"/>
      <c r="G162" s="792"/>
      <c r="H162" s="792"/>
      <c r="I162" s="792"/>
      <c r="J162" s="792"/>
      <c r="K162" s="792"/>
      <c r="L162" s="792"/>
      <c r="M162" s="792"/>
      <c r="N162" s="792"/>
      <c r="O162" s="792"/>
      <c r="P162" s="792"/>
      <c r="Q162" s="792"/>
      <c r="R162" s="792"/>
      <c r="S162" s="792"/>
      <c r="T162" s="792"/>
      <c r="U162" s="792"/>
      <c r="V162" s="792"/>
      <c r="W162" s="792"/>
      <c r="X162" s="792"/>
      <c r="Y162" s="792"/>
      <c r="Z162" s="792"/>
      <c r="AA162" s="792"/>
      <c r="AB162" s="792"/>
      <c r="AC162" s="792"/>
      <c r="AD162" s="792"/>
      <c r="AE162" s="792"/>
      <c r="AF162" s="792"/>
      <c r="AG162" s="792"/>
      <c r="AH162" s="792"/>
      <c r="AI162" s="792"/>
      <c r="AJ162" s="792"/>
      <c r="AK162" s="792"/>
      <c r="AL162" s="792"/>
      <c r="AM162" s="792"/>
      <c r="AN162" s="792"/>
      <c r="AO162" s="792"/>
      <c r="AP162" s="792"/>
      <c r="AQ162" s="792"/>
      <c r="AR162" s="792"/>
      <c r="AS162" s="792"/>
      <c r="AT162" s="792"/>
      <c r="AU162" s="792"/>
      <c r="AV162" s="792"/>
      <c r="AW162" s="792"/>
      <c r="AX162" s="792"/>
      <c r="AY162" s="792"/>
      <c r="AZ162" s="792"/>
      <c r="BA162" s="792"/>
      <c r="BB162" s="792"/>
      <c r="BC162" s="792"/>
      <c r="BD162" s="792"/>
      <c r="BE162" s="792"/>
      <c r="BF162" s="792"/>
      <c r="BG162" s="792"/>
      <c r="BH162" s="792"/>
      <c r="BI162" s="792"/>
      <c r="BJ162" s="792"/>
      <c r="BK162" s="792"/>
      <c r="BL162" s="792"/>
      <c r="BM162" s="792"/>
      <c r="BN162" s="792"/>
      <c r="BO162" s="792"/>
      <c r="BP162" s="792"/>
      <c r="BQ162" s="792"/>
      <c r="BR162" s="792"/>
      <c r="BS162" s="792"/>
      <c r="BT162" s="792"/>
      <c r="BU162" s="792"/>
      <c r="BV162" s="792"/>
      <c r="BW162" s="792"/>
      <c r="BX162" s="792"/>
      <c r="BY162" s="792"/>
      <c r="BZ162" s="792"/>
      <c r="CA162" s="792"/>
      <c r="CB162" s="792"/>
      <c r="CC162" s="792"/>
      <c r="CD162" s="792"/>
      <c r="CE162" s="792"/>
      <c r="CF162" s="792"/>
      <c r="CG162" s="792"/>
      <c r="CH162" s="792"/>
      <c r="CI162" s="792"/>
      <c r="CJ162" s="792"/>
      <c r="CK162" s="792"/>
      <c r="CL162" s="792"/>
      <c r="CM162" s="792"/>
      <c r="CN162" s="792"/>
      <c r="CO162" s="792"/>
      <c r="CP162" s="792"/>
      <c r="CQ162" s="792"/>
      <c r="CR162" s="792"/>
      <c r="CS162" s="792"/>
      <c r="CT162" s="792"/>
      <c r="CU162" s="792"/>
      <c r="CV162" s="792"/>
      <c r="CW162" s="792"/>
      <c r="CX162" s="792"/>
      <c r="CY162" s="792"/>
      <c r="CZ162" s="792"/>
      <c r="DA162" s="792"/>
      <c r="DB162" s="792"/>
      <c r="DC162" s="792"/>
    </row>
    <row r="163" spans="1:107" s="305" customFormat="1" ht="12" x14ac:dyDescent="0.2">
      <c r="A163" s="792"/>
      <c r="B163" s="792"/>
      <c r="C163" s="792"/>
      <c r="D163" s="792"/>
      <c r="E163" s="792"/>
      <c r="F163" s="792"/>
      <c r="G163" s="792"/>
      <c r="H163" s="792"/>
      <c r="I163" s="792"/>
      <c r="J163" s="792"/>
      <c r="K163" s="792"/>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2"/>
      <c r="AP163" s="792"/>
      <c r="AQ163" s="792"/>
      <c r="AR163" s="792"/>
      <c r="AS163" s="792"/>
      <c r="AT163" s="792"/>
      <c r="AU163" s="792"/>
      <c r="AV163" s="792"/>
      <c r="AW163" s="792"/>
      <c r="AX163" s="792"/>
      <c r="AY163" s="792"/>
      <c r="AZ163" s="792"/>
      <c r="BA163" s="792"/>
      <c r="BB163" s="792"/>
      <c r="BC163" s="792"/>
      <c r="BD163" s="792"/>
      <c r="BE163" s="792"/>
      <c r="BF163" s="792"/>
      <c r="BG163" s="792"/>
      <c r="BH163" s="792"/>
      <c r="BI163" s="792"/>
      <c r="BJ163" s="792"/>
      <c r="BK163" s="792"/>
      <c r="BL163" s="792"/>
      <c r="BM163" s="792"/>
      <c r="BN163" s="792"/>
      <c r="BO163" s="792"/>
      <c r="BP163" s="792"/>
      <c r="BQ163" s="792"/>
      <c r="BR163" s="792"/>
      <c r="BS163" s="792"/>
      <c r="BT163" s="792"/>
      <c r="BU163" s="792"/>
      <c r="BV163" s="792"/>
      <c r="BW163" s="792"/>
      <c r="BX163" s="792"/>
      <c r="BY163" s="792"/>
      <c r="BZ163" s="792"/>
      <c r="CA163" s="792"/>
      <c r="CB163" s="792"/>
      <c r="CC163" s="792"/>
      <c r="CD163" s="792"/>
      <c r="CE163" s="792"/>
      <c r="CF163" s="792"/>
      <c r="CG163" s="792"/>
      <c r="CH163" s="792"/>
      <c r="CI163" s="792"/>
      <c r="CJ163" s="792"/>
      <c r="CK163" s="792"/>
      <c r="CL163" s="792"/>
      <c r="CM163" s="792"/>
      <c r="CN163" s="792"/>
      <c r="CO163" s="792"/>
      <c r="CP163" s="792"/>
      <c r="CQ163" s="792"/>
      <c r="CR163" s="792"/>
      <c r="CS163" s="792"/>
      <c r="CT163" s="792"/>
      <c r="CU163" s="792"/>
      <c r="CV163" s="792"/>
      <c r="CW163" s="792"/>
      <c r="CX163" s="792"/>
      <c r="CY163" s="792"/>
      <c r="CZ163" s="792"/>
      <c r="DA163" s="792"/>
      <c r="DB163" s="792"/>
      <c r="DC163" s="792"/>
    </row>
    <row r="164" spans="1:107" s="305" customFormat="1" ht="12" x14ac:dyDescent="0.2">
      <c r="A164" s="792"/>
      <c r="B164" s="865"/>
      <c r="C164" s="792"/>
      <c r="D164" s="792"/>
      <c r="E164" s="792"/>
      <c r="F164" s="792"/>
      <c r="G164" s="792"/>
      <c r="H164" s="792"/>
      <c r="I164" s="792"/>
      <c r="J164" s="792"/>
      <c r="K164" s="792"/>
      <c r="L164" s="792"/>
      <c r="M164" s="792"/>
      <c r="N164" s="792"/>
      <c r="O164" s="792"/>
      <c r="P164" s="792"/>
      <c r="Q164" s="792"/>
      <c r="R164" s="792"/>
      <c r="S164" s="792"/>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2"/>
      <c r="AP164" s="792"/>
      <c r="AQ164" s="792"/>
      <c r="AR164" s="792"/>
      <c r="AS164" s="792"/>
      <c r="AT164" s="792"/>
      <c r="AU164" s="792"/>
      <c r="AV164" s="792"/>
      <c r="AW164" s="792"/>
      <c r="AX164" s="792"/>
      <c r="AY164" s="792"/>
      <c r="AZ164" s="792"/>
      <c r="BA164" s="792"/>
      <c r="BB164" s="792"/>
      <c r="BC164" s="792"/>
      <c r="BD164" s="792"/>
      <c r="BE164" s="792"/>
      <c r="BF164" s="792"/>
      <c r="BG164" s="792"/>
      <c r="BH164" s="792"/>
      <c r="BI164" s="792"/>
      <c r="BJ164" s="792"/>
      <c r="BK164" s="792"/>
      <c r="BL164" s="792"/>
      <c r="BM164" s="792"/>
      <c r="BN164" s="792"/>
      <c r="BO164" s="792"/>
      <c r="BP164" s="792"/>
      <c r="BQ164" s="792"/>
      <c r="BR164" s="792"/>
      <c r="BS164" s="792"/>
      <c r="BT164" s="792"/>
      <c r="BU164" s="792"/>
      <c r="BV164" s="792"/>
      <c r="BW164" s="792"/>
      <c r="BX164" s="792"/>
      <c r="BY164" s="792"/>
      <c r="BZ164" s="792"/>
      <c r="CA164" s="792"/>
      <c r="CB164" s="792"/>
      <c r="CC164" s="792"/>
      <c r="CD164" s="792"/>
      <c r="CE164" s="792"/>
      <c r="CF164" s="792"/>
      <c r="CG164" s="792"/>
      <c r="CH164" s="792"/>
      <c r="CI164" s="792"/>
      <c r="CJ164" s="792"/>
      <c r="CK164" s="792"/>
      <c r="CL164" s="792"/>
      <c r="CM164" s="792"/>
      <c r="CN164" s="792"/>
      <c r="CO164" s="792"/>
      <c r="CP164" s="792"/>
      <c r="CQ164" s="792"/>
      <c r="CR164" s="792"/>
      <c r="CS164" s="792"/>
      <c r="CT164" s="792"/>
      <c r="CU164" s="792"/>
      <c r="CV164" s="792"/>
      <c r="CW164" s="792"/>
      <c r="CX164" s="792"/>
      <c r="CY164" s="792"/>
      <c r="CZ164" s="792"/>
      <c r="DA164" s="792"/>
      <c r="DB164" s="792"/>
      <c r="DC164" s="792"/>
    </row>
    <row r="165" spans="1:107" s="305" customFormat="1" ht="12" x14ac:dyDescent="0.2">
      <c r="A165" s="792"/>
      <c r="B165" s="865"/>
      <c r="C165" s="792"/>
      <c r="D165" s="792"/>
      <c r="E165" s="792"/>
      <c r="F165" s="792"/>
      <c r="G165" s="792"/>
      <c r="H165" s="792"/>
      <c r="I165" s="792"/>
      <c r="J165" s="792"/>
      <c r="K165" s="792"/>
      <c r="L165" s="792"/>
      <c r="M165" s="792"/>
      <c r="N165" s="792"/>
      <c r="O165" s="792"/>
      <c r="P165" s="792"/>
      <c r="Q165" s="792"/>
      <c r="R165" s="792"/>
      <c r="S165" s="792"/>
      <c r="T165" s="792"/>
      <c r="U165" s="792"/>
      <c r="V165" s="792"/>
      <c r="W165" s="792"/>
      <c r="X165" s="792"/>
      <c r="Y165" s="792"/>
      <c r="Z165" s="792"/>
      <c r="AA165" s="792"/>
      <c r="AB165" s="792"/>
      <c r="AC165" s="792"/>
      <c r="AD165" s="792"/>
      <c r="AE165" s="792"/>
      <c r="AF165" s="792"/>
      <c r="AG165" s="792"/>
      <c r="AH165" s="792"/>
      <c r="AI165" s="792"/>
      <c r="AJ165" s="792"/>
      <c r="AK165" s="792"/>
      <c r="AL165" s="792"/>
      <c r="AM165" s="792"/>
      <c r="AN165" s="792"/>
      <c r="AO165" s="792"/>
      <c r="AP165" s="792"/>
      <c r="AQ165" s="792"/>
      <c r="AR165" s="792"/>
      <c r="AS165" s="792"/>
      <c r="AT165" s="792"/>
      <c r="AU165" s="792"/>
      <c r="AV165" s="792"/>
      <c r="AW165" s="792"/>
      <c r="AX165" s="792"/>
      <c r="AY165" s="792"/>
      <c r="AZ165" s="792"/>
      <c r="BA165" s="792"/>
      <c r="BB165" s="792"/>
      <c r="BC165" s="792"/>
      <c r="BD165" s="792"/>
      <c r="BE165" s="792"/>
      <c r="BF165" s="792"/>
      <c r="BG165" s="792"/>
      <c r="BH165" s="792"/>
      <c r="BI165" s="792"/>
      <c r="BJ165" s="792"/>
      <c r="BK165" s="792"/>
      <c r="BL165" s="792"/>
      <c r="BM165" s="792"/>
      <c r="BN165" s="792"/>
      <c r="BO165" s="792"/>
      <c r="BP165" s="792"/>
      <c r="BQ165" s="792"/>
      <c r="BR165" s="792"/>
      <c r="BS165" s="792"/>
      <c r="BT165" s="792"/>
      <c r="BU165" s="792"/>
      <c r="BV165" s="792"/>
      <c r="BW165" s="792"/>
      <c r="BX165" s="792"/>
      <c r="BY165" s="792"/>
      <c r="BZ165" s="792"/>
      <c r="CA165" s="792"/>
      <c r="CB165" s="792"/>
      <c r="CC165" s="792"/>
      <c r="CD165" s="792"/>
      <c r="CE165" s="792"/>
      <c r="CF165" s="792"/>
      <c r="CG165" s="792"/>
      <c r="CH165" s="792"/>
      <c r="CI165" s="792"/>
      <c r="CJ165" s="792"/>
      <c r="CK165" s="792"/>
      <c r="CL165" s="792"/>
      <c r="CM165" s="792"/>
      <c r="CN165" s="792"/>
      <c r="CO165" s="792"/>
      <c r="CP165" s="792"/>
      <c r="CQ165" s="792"/>
      <c r="CR165" s="792"/>
      <c r="CS165" s="792"/>
      <c r="CT165" s="792"/>
      <c r="CU165" s="792"/>
      <c r="CV165" s="792"/>
      <c r="CW165" s="792"/>
      <c r="CX165" s="792"/>
      <c r="CY165" s="792"/>
      <c r="CZ165" s="792"/>
      <c r="DA165" s="792"/>
      <c r="DB165" s="792"/>
      <c r="DC165" s="792"/>
    </row>
    <row r="166" spans="1:107" s="305" customFormat="1" ht="12" x14ac:dyDescent="0.2">
      <c r="A166" s="792"/>
      <c r="B166" s="865"/>
      <c r="C166" s="792"/>
      <c r="D166" s="792"/>
      <c r="E166" s="792"/>
      <c r="F166" s="792"/>
      <c r="G166" s="792"/>
      <c r="H166" s="792"/>
      <c r="I166" s="792"/>
      <c r="J166" s="792"/>
      <c r="K166" s="792"/>
      <c r="L166" s="792"/>
      <c r="M166" s="792"/>
      <c r="N166" s="792"/>
      <c r="O166" s="792"/>
      <c r="P166" s="792"/>
      <c r="Q166" s="792"/>
      <c r="R166" s="792"/>
      <c r="S166" s="792"/>
      <c r="T166" s="792"/>
      <c r="U166" s="792"/>
      <c r="V166" s="792"/>
      <c r="W166" s="792"/>
      <c r="X166" s="792"/>
      <c r="Y166" s="792"/>
      <c r="Z166" s="792"/>
      <c r="AA166" s="792"/>
      <c r="AB166" s="792"/>
      <c r="AC166" s="792"/>
      <c r="AD166" s="792"/>
      <c r="AE166" s="792"/>
      <c r="AF166" s="792"/>
      <c r="AG166" s="792"/>
      <c r="AH166" s="792"/>
      <c r="AI166" s="792"/>
      <c r="AJ166" s="792"/>
      <c r="AK166" s="792"/>
      <c r="AL166" s="792"/>
      <c r="AM166" s="792"/>
      <c r="AN166" s="792"/>
      <c r="AO166" s="792"/>
      <c r="AP166" s="792"/>
      <c r="AQ166" s="792"/>
      <c r="AR166" s="792"/>
      <c r="AS166" s="792"/>
      <c r="AT166" s="792"/>
      <c r="AU166" s="792"/>
      <c r="AV166" s="792"/>
      <c r="AW166" s="792"/>
      <c r="AX166" s="792"/>
      <c r="AY166" s="792"/>
      <c r="AZ166" s="792"/>
      <c r="BA166" s="792"/>
      <c r="BB166" s="792"/>
      <c r="BC166" s="792"/>
      <c r="BD166" s="792"/>
      <c r="BE166" s="792"/>
      <c r="BF166" s="792"/>
      <c r="BG166" s="792"/>
      <c r="BH166" s="792"/>
      <c r="BI166" s="792"/>
      <c r="BJ166" s="792"/>
      <c r="BK166" s="792"/>
      <c r="BL166" s="792"/>
      <c r="BM166" s="792"/>
      <c r="BN166" s="792"/>
      <c r="BO166" s="792"/>
      <c r="BP166" s="792"/>
      <c r="BQ166" s="792"/>
      <c r="BR166" s="792"/>
      <c r="BS166" s="792"/>
      <c r="BT166" s="792"/>
      <c r="BU166" s="792"/>
      <c r="BV166" s="792"/>
      <c r="BW166" s="792"/>
      <c r="BX166" s="792"/>
      <c r="BY166" s="792"/>
      <c r="BZ166" s="792"/>
      <c r="CA166" s="792"/>
      <c r="CB166" s="792"/>
      <c r="CC166" s="792"/>
      <c r="CD166" s="792"/>
      <c r="CE166" s="792"/>
      <c r="CF166" s="792"/>
      <c r="CG166" s="792"/>
      <c r="CH166" s="792"/>
      <c r="CI166" s="792"/>
      <c r="CJ166" s="792"/>
      <c r="CK166" s="792"/>
      <c r="CL166" s="792"/>
      <c r="CM166" s="792"/>
      <c r="CN166" s="792"/>
      <c r="CO166" s="792"/>
      <c r="CP166" s="792"/>
      <c r="CQ166" s="792"/>
      <c r="CR166" s="792"/>
      <c r="CS166" s="792"/>
      <c r="CT166" s="792"/>
      <c r="CU166" s="792"/>
      <c r="CV166" s="792"/>
      <c r="CW166" s="792"/>
      <c r="CX166" s="792"/>
      <c r="CY166" s="792"/>
      <c r="CZ166" s="792"/>
      <c r="DA166" s="792"/>
      <c r="DB166" s="792"/>
      <c r="DC166" s="792"/>
    </row>
    <row r="167" spans="1:107" s="305" customFormat="1" ht="12" x14ac:dyDescent="0.2">
      <c r="A167" s="792"/>
      <c r="B167" s="865"/>
      <c r="C167" s="792"/>
      <c r="D167" s="792"/>
      <c r="E167" s="792"/>
      <c r="F167" s="792"/>
      <c r="G167" s="792"/>
      <c r="H167" s="792"/>
      <c r="I167" s="792"/>
      <c r="J167" s="792"/>
      <c r="K167" s="792"/>
      <c r="L167" s="792"/>
      <c r="M167" s="792"/>
      <c r="N167" s="792"/>
      <c r="O167" s="792"/>
      <c r="P167" s="792"/>
      <c r="Q167" s="792"/>
      <c r="R167" s="792"/>
      <c r="S167" s="792"/>
      <c r="T167" s="792"/>
      <c r="U167" s="792"/>
      <c r="V167" s="792"/>
      <c r="W167" s="792"/>
      <c r="X167" s="792"/>
      <c r="Y167" s="792"/>
      <c r="Z167" s="792"/>
      <c r="AA167" s="792"/>
      <c r="AB167" s="792"/>
      <c r="AC167" s="792"/>
      <c r="AD167" s="792"/>
      <c r="AE167" s="792"/>
      <c r="AF167" s="792"/>
      <c r="AG167" s="792"/>
      <c r="AH167" s="792"/>
      <c r="AI167" s="792"/>
      <c r="AJ167" s="792"/>
      <c r="AK167" s="792"/>
      <c r="AL167" s="792"/>
      <c r="AM167" s="792"/>
      <c r="AN167" s="792"/>
      <c r="AO167" s="792"/>
      <c r="AP167" s="792"/>
      <c r="AQ167" s="792"/>
      <c r="AR167" s="792"/>
      <c r="AS167" s="792"/>
      <c r="AT167" s="792"/>
      <c r="AU167" s="792"/>
      <c r="AV167" s="792"/>
      <c r="AW167" s="792"/>
      <c r="AX167" s="792"/>
      <c r="AY167" s="792"/>
      <c r="AZ167" s="792"/>
      <c r="BA167" s="792"/>
      <c r="BB167" s="792"/>
      <c r="BC167" s="792"/>
      <c r="BD167" s="792"/>
      <c r="BE167" s="792"/>
      <c r="BF167" s="792"/>
      <c r="BG167" s="792"/>
      <c r="BH167" s="792"/>
      <c r="BI167" s="792"/>
      <c r="BJ167" s="792"/>
      <c r="BK167" s="792"/>
      <c r="BL167" s="792"/>
      <c r="BM167" s="792"/>
      <c r="BN167" s="792"/>
      <c r="BO167" s="792"/>
      <c r="BP167" s="792"/>
      <c r="BQ167" s="792"/>
      <c r="BR167" s="792"/>
      <c r="BS167" s="792"/>
      <c r="BT167" s="792"/>
      <c r="BU167" s="792"/>
      <c r="BV167" s="792"/>
      <c r="BW167" s="792"/>
      <c r="BX167" s="792"/>
      <c r="BY167" s="792"/>
      <c r="BZ167" s="792"/>
      <c r="CA167" s="792"/>
      <c r="CB167" s="792"/>
      <c r="CC167" s="792"/>
      <c r="CD167" s="792"/>
      <c r="CE167" s="792"/>
      <c r="CF167" s="792"/>
      <c r="CG167" s="792"/>
      <c r="CH167" s="792"/>
      <c r="CI167" s="792"/>
      <c r="CJ167" s="792"/>
      <c r="CK167" s="792"/>
      <c r="CL167" s="792"/>
      <c r="CM167" s="792"/>
      <c r="CN167" s="792"/>
      <c r="CO167" s="792"/>
      <c r="CP167" s="792"/>
      <c r="CQ167" s="792"/>
      <c r="CR167" s="792"/>
      <c r="CS167" s="792"/>
      <c r="CT167" s="792"/>
      <c r="CU167" s="792"/>
      <c r="CV167" s="792"/>
      <c r="CW167" s="792"/>
      <c r="CX167" s="792"/>
      <c r="CY167" s="792"/>
      <c r="CZ167" s="792"/>
      <c r="DA167" s="792"/>
      <c r="DB167" s="792"/>
      <c r="DC167" s="792"/>
    </row>
    <row r="168" spans="1:107" s="305" customFormat="1" ht="12" x14ac:dyDescent="0.2">
      <c r="A168" s="792"/>
      <c r="B168" s="865"/>
      <c r="C168" s="792"/>
      <c r="D168" s="792"/>
      <c r="E168" s="792"/>
      <c r="F168" s="792"/>
      <c r="G168" s="792"/>
      <c r="H168" s="792"/>
      <c r="I168" s="792"/>
      <c r="J168" s="792"/>
      <c r="K168" s="792"/>
      <c r="L168" s="792"/>
      <c r="M168" s="792"/>
      <c r="N168" s="792"/>
      <c r="O168" s="792"/>
      <c r="P168" s="792"/>
      <c r="Q168" s="792"/>
      <c r="R168" s="792"/>
      <c r="S168" s="792"/>
      <c r="T168" s="792"/>
      <c r="U168" s="792"/>
      <c r="V168" s="792"/>
      <c r="W168" s="792"/>
      <c r="X168" s="792"/>
      <c r="Y168" s="792"/>
      <c r="Z168" s="792"/>
      <c r="AA168" s="792"/>
      <c r="AB168" s="792"/>
      <c r="AC168" s="792"/>
      <c r="AD168" s="792"/>
      <c r="AE168" s="792"/>
      <c r="AF168" s="792"/>
      <c r="AG168" s="792"/>
      <c r="AH168" s="792"/>
      <c r="AI168" s="792"/>
      <c r="AJ168" s="792"/>
      <c r="AK168" s="792"/>
      <c r="AL168" s="792"/>
      <c r="AM168" s="792"/>
      <c r="AN168" s="792"/>
      <c r="AO168" s="792"/>
      <c r="AP168" s="792"/>
      <c r="AQ168" s="792"/>
      <c r="AR168" s="792"/>
      <c r="AS168" s="792"/>
      <c r="AT168" s="792"/>
      <c r="AU168" s="792"/>
      <c r="AV168" s="792"/>
      <c r="AW168" s="792"/>
      <c r="AX168" s="792"/>
      <c r="AY168" s="792"/>
      <c r="AZ168" s="792"/>
      <c r="BA168" s="792"/>
      <c r="BB168" s="792"/>
      <c r="BC168" s="792"/>
      <c r="BD168" s="792"/>
      <c r="BE168" s="792"/>
      <c r="BF168" s="792"/>
      <c r="BG168" s="792"/>
      <c r="BH168" s="792"/>
      <c r="BI168" s="792"/>
      <c r="BJ168" s="792"/>
      <c r="BK168" s="792"/>
      <c r="BL168" s="792"/>
      <c r="BM168" s="792"/>
      <c r="BN168" s="792"/>
      <c r="BO168" s="792"/>
      <c r="BP168" s="792"/>
      <c r="BQ168" s="792"/>
      <c r="BR168" s="792"/>
      <c r="BS168" s="792"/>
      <c r="BT168" s="792"/>
      <c r="BU168" s="792"/>
      <c r="BV168" s="792"/>
      <c r="BW168" s="792"/>
      <c r="BX168" s="792"/>
      <c r="BY168" s="792"/>
      <c r="BZ168" s="792"/>
      <c r="CA168" s="792"/>
      <c r="CB168" s="792"/>
      <c r="CC168" s="792"/>
      <c r="CD168" s="792"/>
      <c r="CE168" s="792"/>
      <c r="CF168" s="792"/>
      <c r="CG168" s="792"/>
      <c r="CH168" s="792"/>
      <c r="CI168" s="792"/>
      <c r="CJ168" s="792"/>
      <c r="CK168" s="792"/>
      <c r="CL168" s="792"/>
      <c r="CM168" s="792"/>
      <c r="CN168" s="792"/>
      <c r="CO168" s="792"/>
      <c r="CP168" s="792"/>
      <c r="CQ168" s="792"/>
      <c r="CR168" s="792"/>
      <c r="CS168" s="792"/>
      <c r="CT168" s="792"/>
      <c r="CU168" s="792"/>
      <c r="CV168" s="792"/>
      <c r="CW168" s="792"/>
      <c r="CX168" s="792"/>
      <c r="CY168" s="792"/>
      <c r="CZ168" s="792"/>
      <c r="DA168" s="792"/>
      <c r="DB168" s="792"/>
      <c r="DC168" s="792"/>
    </row>
    <row r="169" spans="1:107" s="305" customFormat="1" ht="12" x14ac:dyDescent="0.2">
      <c r="A169" s="792"/>
      <c r="B169" s="865"/>
      <c r="C169" s="792"/>
      <c r="D169" s="792"/>
      <c r="E169" s="792"/>
      <c r="F169" s="792"/>
      <c r="G169" s="792"/>
      <c r="H169" s="792"/>
      <c r="I169" s="792"/>
      <c r="J169" s="792"/>
      <c r="K169" s="792"/>
      <c r="L169" s="792"/>
      <c r="M169" s="792"/>
      <c r="N169" s="792"/>
      <c r="O169" s="792"/>
      <c r="P169" s="792"/>
      <c r="Q169" s="792"/>
      <c r="R169" s="792"/>
      <c r="S169" s="792"/>
      <c r="T169" s="792"/>
      <c r="U169" s="792"/>
      <c r="V169" s="792"/>
      <c r="W169" s="792"/>
      <c r="X169" s="792"/>
      <c r="Y169" s="792"/>
      <c r="Z169" s="792"/>
      <c r="AA169" s="792"/>
      <c r="AB169" s="792"/>
      <c r="AC169" s="792"/>
      <c r="AD169" s="792"/>
      <c r="AE169" s="792"/>
      <c r="AF169" s="792"/>
      <c r="AG169" s="792"/>
      <c r="AH169" s="792"/>
      <c r="AI169" s="792"/>
      <c r="AJ169" s="792"/>
      <c r="AK169" s="792"/>
      <c r="AL169" s="792"/>
      <c r="AM169" s="792"/>
      <c r="AN169" s="792"/>
      <c r="AO169" s="792"/>
      <c r="AP169" s="792"/>
      <c r="AQ169" s="792"/>
      <c r="AR169" s="792"/>
      <c r="AS169" s="792"/>
      <c r="AT169" s="792"/>
      <c r="AU169" s="792"/>
      <c r="AV169" s="792"/>
      <c r="AW169" s="792"/>
      <c r="AX169" s="792"/>
      <c r="AY169" s="792"/>
      <c r="AZ169" s="792"/>
      <c r="BA169" s="792"/>
      <c r="BB169" s="792"/>
      <c r="BC169" s="792"/>
      <c r="BD169" s="792"/>
      <c r="BE169" s="792"/>
      <c r="BF169" s="792"/>
      <c r="BG169" s="792"/>
      <c r="BH169" s="792"/>
      <c r="BI169" s="792"/>
      <c r="BJ169" s="792"/>
      <c r="BK169" s="792"/>
      <c r="BL169" s="792"/>
      <c r="BM169" s="792"/>
      <c r="BN169" s="792"/>
      <c r="BO169" s="792"/>
      <c r="BP169" s="792"/>
      <c r="BQ169" s="792"/>
      <c r="BR169" s="792"/>
      <c r="BS169" s="792"/>
      <c r="BT169" s="792"/>
      <c r="BU169" s="792"/>
      <c r="BV169" s="792"/>
      <c r="BW169" s="792"/>
      <c r="BX169" s="792"/>
      <c r="BY169" s="792"/>
      <c r="BZ169" s="792"/>
      <c r="CA169" s="792"/>
      <c r="CB169" s="792"/>
      <c r="CC169" s="792"/>
      <c r="CD169" s="792"/>
      <c r="CE169" s="792"/>
      <c r="CF169" s="792"/>
      <c r="CG169" s="792"/>
      <c r="CH169" s="792"/>
      <c r="CI169" s="792"/>
      <c r="CJ169" s="792"/>
      <c r="CK169" s="792"/>
      <c r="CL169" s="792"/>
      <c r="CM169" s="792"/>
      <c r="CN169" s="792"/>
      <c r="CO169" s="792"/>
      <c r="CP169" s="792"/>
      <c r="CQ169" s="792"/>
      <c r="CR169" s="792"/>
      <c r="CS169" s="792"/>
      <c r="CT169" s="792"/>
      <c r="CU169" s="792"/>
      <c r="CV169" s="792"/>
      <c r="CW169" s="792"/>
      <c r="CX169" s="792"/>
      <c r="CY169" s="792"/>
      <c r="CZ169" s="792"/>
      <c r="DA169" s="792"/>
      <c r="DB169" s="792"/>
      <c r="DC169" s="792"/>
    </row>
    <row r="170" spans="1:107" s="305" customFormat="1" ht="12" x14ac:dyDescent="0.2">
      <c r="A170" s="792"/>
      <c r="B170" s="865"/>
      <c r="C170" s="792"/>
      <c r="D170" s="792"/>
      <c r="E170" s="792"/>
      <c r="F170" s="792"/>
      <c r="G170" s="792"/>
      <c r="H170" s="792"/>
      <c r="I170" s="792"/>
      <c r="J170" s="792"/>
      <c r="K170" s="792"/>
      <c r="L170" s="792"/>
      <c r="M170" s="792"/>
      <c r="N170" s="792"/>
      <c r="O170" s="792"/>
      <c r="P170" s="792"/>
      <c r="Q170" s="792"/>
      <c r="R170" s="792"/>
      <c r="S170" s="792"/>
      <c r="T170" s="792"/>
      <c r="U170" s="792"/>
      <c r="V170" s="792"/>
      <c r="W170" s="792"/>
      <c r="X170" s="792"/>
      <c r="Y170" s="792"/>
      <c r="Z170" s="792"/>
      <c r="AA170" s="792"/>
      <c r="AB170" s="792"/>
      <c r="AC170" s="792"/>
      <c r="AD170" s="792"/>
      <c r="AE170" s="792"/>
      <c r="AF170" s="792"/>
      <c r="AG170" s="792"/>
      <c r="AH170" s="792"/>
      <c r="AI170" s="792"/>
      <c r="AJ170" s="792"/>
      <c r="AK170" s="792"/>
      <c r="AL170" s="792"/>
      <c r="AM170" s="792"/>
      <c r="AN170" s="792"/>
      <c r="AO170" s="792"/>
      <c r="AP170" s="792"/>
      <c r="AQ170" s="792"/>
      <c r="AR170" s="792"/>
      <c r="AS170" s="792"/>
      <c r="AT170" s="792"/>
      <c r="AU170" s="792"/>
      <c r="AV170" s="792"/>
      <c r="AW170" s="792"/>
      <c r="AX170" s="792"/>
      <c r="AY170" s="792"/>
      <c r="AZ170" s="792"/>
      <c r="BA170" s="792"/>
      <c r="BB170" s="792"/>
      <c r="BC170" s="792"/>
      <c r="BD170" s="792"/>
      <c r="BE170" s="792"/>
      <c r="BF170" s="792"/>
      <c r="BG170" s="792"/>
      <c r="BH170" s="792"/>
      <c r="BI170" s="792"/>
      <c r="BJ170" s="792"/>
      <c r="BK170" s="792"/>
      <c r="BL170" s="792"/>
      <c r="BM170" s="792"/>
      <c r="BN170" s="792"/>
      <c r="BO170" s="792"/>
      <c r="BP170" s="792"/>
      <c r="BQ170" s="792"/>
      <c r="BR170" s="792"/>
      <c r="BS170" s="792"/>
      <c r="BT170" s="792"/>
      <c r="BU170" s="792"/>
      <c r="BV170" s="792"/>
      <c r="BW170" s="792"/>
      <c r="BX170" s="792"/>
      <c r="BY170" s="792"/>
      <c r="BZ170" s="792"/>
      <c r="CA170" s="792"/>
      <c r="CB170" s="792"/>
      <c r="CC170" s="792"/>
      <c r="CD170" s="792"/>
      <c r="CE170" s="792"/>
      <c r="CF170" s="792"/>
      <c r="CG170" s="792"/>
      <c r="CH170" s="792"/>
      <c r="CI170" s="792"/>
      <c r="CJ170" s="792"/>
      <c r="CK170" s="792"/>
      <c r="CL170" s="792"/>
      <c r="CM170" s="792"/>
      <c r="CN170" s="792"/>
      <c r="CO170" s="792"/>
      <c r="CP170" s="792"/>
      <c r="CQ170" s="792"/>
      <c r="CR170" s="792"/>
      <c r="CS170" s="792"/>
      <c r="CT170" s="792"/>
      <c r="CU170" s="792"/>
      <c r="CV170" s="792"/>
      <c r="CW170" s="792"/>
      <c r="CX170" s="792"/>
      <c r="CY170" s="792"/>
      <c r="CZ170" s="792"/>
      <c r="DA170" s="792"/>
      <c r="DB170" s="792"/>
      <c r="DC170" s="792"/>
    </row>
    <row r="171" spans="1:107" s="305" customFormat="1" ht="12" x14ac:dyDescent="0.2">
      <c r="A171" s="792"/>
      <c r="B171" s="865"/>
      <c r="C171" s="792"/>
      <c r="D171" s="792"/>
      <c r="E171" s="792"/>
      <c r="F171" s="792"/>
      <c r="G171" s="792"/>
      <c r="H171" s="792"/>
      <c r="I171" s="792"/>
      <c r="J171" s="792"/>
      <c r="K171" s="792"/>
      <c r="L171" s="792"/>
      <c r="M171" s="792"/>
      <c r="N171" s="792"/>
      <c r="O171" s="792"/>
      <c r="P171" s="792"/>
      <c r="Q171" s="792"/>
      <c r="R171" s="792"/>
      <c r="S171" s="792"/>
      <c r="T171" s="792"/>
      <c r="U171" s="792"/>
      <c r="V171" s="792"/>
      <c r="W171" s="792"/>
      <c r="X171" s="792"/>
      <c r="Y171" s="792"/>
      <c r="Z171" s="792"/>
      <c r="AA171" s="792"/>
      <c r="AB171" s="792"/>
      <c r="AC171" s="792"/>
      <c r="AD171" s="792"/>
      <c r="AE171" s="792"/>
      <c r="AF171" s="792"/>
      <c r="AG171" s="792"/>
      <c r="AH171" s="792"/>
      <c r="AI171" s="792"/>
      <c r="AJ171" s="792"/>
      <c r="AK171" s="792"/>
      <c r="AL171" s="792"/>
      <c r="AM171" s="792"/>
      <c r="AN171" s="792"/>
      <c r="AO171" s="792"/>
      <c r="AP171" s="792"/>
      <c r="AQ171" s="792"/>
      <c r="AR171" s="792"/>
      <c r="AS171" s="792"/>
      <c r="AT171" s="792"/>
      <c r="AU171" s="792"/>
      <c r="AV171" s="792"/>
      <c r="AW171" s="792"/>
      <c r="AX171" s="792"/>
      <c r="AY171" s="792"/>
      <c r="AZ171" s="792"/>
      <c r="BA171" s="792"/>
      <c r="BB171" s="792"/>
      <c r="BC171" s="792"/>
      <c r="BD171" s="792"/>
      <c r="BE171" s="792"/>
      <c r="BF171" s="792"/>
      <c r="BG171" s="792"/>
      <c r="BH171" s="792"/>
      <c r="BI171" s="792"/>
      <c r="BJ171" s="792"/>
      <c r="BK171" s="792"/>
      <c r="BL171" s="792"/>
      <c r="BM171" s="792"/>
      <c r="BN171" s="792"/>
      <c r="BO171" s="792"/>
      <c r="BP171" s="792"/>
      <c r="BQ171" s="792"/>
      <c r="BR171" s="792"/>
      <c r="BS171" s="792"/>
      <c r="BT171" s="792"/>
      <c r="BU171" s="792"/>
      <c r="BV171" s="792"/>
      <c r="BW171" s="792"/>
      <c r="BX171" s="792"/>
      <c r="BY171" s="792"/>
      <c r="BZ171" s="792"/>
      <c r="CA171" s="792"/>
      <c r="CB171" s="792"/>
      <c r="CC171" s="792"/>
      <c r="CD171" s="792"/>
      <c r="CE171" s="792"/>
      <c r="CF171" s="792"/>
      <c r="CG171" s="792"/>
      <c r="CH171" s="792"/>
      <c r="CI171" s="792"/>
      <c r="CJ171" s="792"/>
      <c r="CK171" s="792"/>
      <c r="CL171" s="792"/>
      <c r="CM171" s="792"/>
      <c r="CN171" s="792"/>
      <c r="CO171" s="792"/>
      <c r="CP171" s="792"/>
      <c r="CQ171" s="792"/>
      <c r="CR171" s="792"/>
      <c r="CS171" s="792"/>
      <c r="CT171" s="792"/>
      <c r="CU171" s="792"/>
      <c r="CV171" s="792"/>
      <c r="CW171" s="792"/>
      <c r="CX171" s="792"/>
      <c r="CY171" s="792"/>
      <c r="CZ171" s="792"/>
      <c r="DA171" s="792"/>
      <c r="DB171" s="792"/>
      <c r="DC171" s="792"/>
    </row>
    <row r="172" spans="1:107" s="305" customFormat="1" ht="12" x14ac:dyDescent="0.2">
      <c r="A172" s="792"/>
      <c r="B172" s="865"/>
      <c r="C172" s="792"/>
      <c r="D172" s="792"/>
      <c r="E172" s="792"/>
      <c r="F172" s="792"/>
      <c r="G172" s="792"/>
      <c r="H172" s="792"/>
      <c r="I172" s="792"/>
      <c r="J172" s="792"/>
      <c r="K172" s="792"/>
      <c r="L172" s="792"/>
      <c r="M172" s="792"/>
      <c r="N172" s="792"/>
      <c r="O172" s="792"/>
      <c r="P172" s="792"/>
      <c r="Q172" s="792"/>
      <c r="R172" s="792"/>
      <c r="S172" s="792"/>
      <c r="T172" s="792"/>
      <c r="U172" s="792"/>
      <c r="V172" s="792"/>
      <c r="W172" s="792"/>
      <c r="X172" s="792"/>
      <c r="Y172" s="792"/>
      <c r="Z172" s="792"/>
      <c r="AA172" s="792"/>
      <c r="AB172" s="792"/>
      <c r="AC172" s="792"/>
      <c r="AD172" s="792"/>
      <c r="AE172" s="792"/>
      <c r="AF172" s="792"/>
      <c r="AG172" s="792"/>
      <c r="AH172" s="792"/>
      <c r="AI172" s="792"/>
      <c r="AJ172" s="792"/>
      <c r="AK172" s="792"/>
      <c r="AL172" s="792"/>
      <c r="AM172" s="792"/>
      <c r="AN172" s="792"/>
      <c r="AO172" s="792"/>
      <c r="AP172" s="792"/>
      <c r="AQ172" s="792"/>
      <c r="AR172" s="792"/>
      <c r="AS172" s="792"/>
      <c r="AT172" s="792"/>
      <c r="AU172" s="792"/>
      <c r="AV172" s="792"/>
      <c r="AW172" s="792"/>
      <c r="AX172" s="792"/>
      <c r="AY172" s="792"/>
      <c r="AZ172" s="792"/>
      <c r="BA172" s="792"/>
      <c r="BB172" s="792"/>
      <c r="BC172" s="792"/>
      <c r="BD172" s="792"/>
      <c r="BE172" s="792"/>
      <c r="BF172" s="792"/>
      <c r="BG172" s="792"/>
      <c r="BH172" s="792"/>
      <c r="BI172" s="792"/>
      <c r="BJ172" s="792"/>
      <c r="BK172" s="792"/>
      <c r="BL172" s="792"/>
      <c r="BM172" s="792"/>
      <c r="BN172" s="792"/>
      <c r="BO172" s="792"/>
      <c r="BP172" s="792"/>
      <c r="BQ172" s="792"/>
      <c r="BR172" s="792"/>
      <c r="BS172" s="792"/>
      <c r="BT172" s="792"/>
      <c r="BU172" s="792"/>
      <c r="BV172" s="792"/>
      <c r="BW172" s="792"/>
      <c r="BX172" s="792"/>
      <c r="BY172" s="792"/>
      <c r="BZ172" s="792"/>
      <c r="CA172" s="792"/>
      <c r="CB172" s="792"/>
      <c r="CC172" s="792"/>
      <c r="CD172" s="792"/>
      <c r="CE172" s="792"/>
      <c r="CF172" s="792"/>
      <c r="CG172" s="792"/>
      <c r="CH172" s="792"/>
      <c r="CI172" s="792"/>
      <c r="CJ172" s="792"/>
      <c r="CK172" s="792"/>
      <c r="CL172" s="792"/>
      <c r="CM172" s="792"/>
      <c r="CN172" s="792"/>
      <c r="CO172" s="792"/>
      <c r="CP172" s="792"/>
      <c r="CQ172" s="792"/>
      <c r="CR172" s="792"/>
      <c r="CS172" s="792"/>
      <c r="CT172" s="792"/>
      <c r="CU172" s="792"/>
      <c r="CV172" s="792"/>
      <c r="CW172" s="792"/>
      <c r="CX172" s="792"/>
      <c r="CY172" s="792"/>
      <c r="CZ172" s="792"/>
      <c r="DA172" s="792"/>
      <c r="DB172" s="792"/>
      <c r="DC172" s="792"/>
    </row>
    <row r="173" spans="1:107" s="305" customFormat="1" ht="12" x14ac:dyDescent="0.2">
      <c r="A173" s="792"/>
      <c r="B173" s="865"/>
      <c r="C173" s="792"/>
      <c r="D173" s="792"/>
      <c r="E173" s="792"/>
      <c r="F173" s="792"/>
      <c r="G173" s="792"/>
      <c r="H173" s="792"/>
      <c r="I173" s="792"/>
      <c r="J173" s="792"/>
      <c r="K173" s="792"/>
      <c r="L173" s="792"/>
      <c r="M173" s="792"/>
      <c r="N173" s="792"/>
      <c r="O173" s="792"/>
      <c r="P173" s="792"/>
      <c r="Q173" s="792"/>
      <c r="R173" s="792"/>
      <c r="S173" s="792"/>
      <c r="T173" s="792"/>
      <c r="U173" s="792"/>
      <c r="V173" s="792"/>
      <c r="W173" s="792"/>
      <c r="X173" s="792"/>
      <c r="Y173" s="792"/>
      <c r="Z173" s="792"/>
      <c r="AA173" s="792"/>
      <c r="AB173" s="792"/>
      <c r="AC173" s="792"/>
      <c r="AD173" s="792"/>
      <c r="AE173" s="792"/>
      <c r="AF173" s="792"/>
      <c r="AG173" s="792"/>
      <c r="AH173" s="792"/>
      <c r="AI173" s="792"/>
      <c r="AJ173" s="792"/>
      <c r="AK173" s="792"/>
      <c r="AL173" s="792"/>
      <c r="AM173" s="792"/>
      <c r="AN173" s="792"/>
      <c r="AO173" s="792"/>
      <c r="AP173" s="792"/>
      <c r="AQ173" s="792"/>
      <c r="AR173" s="792"/>
      <c r="AS173" s="792"/>
      <c r="AT173" s="792"/>
      <c r="AU173" s="792"/>
      <c r="AV173" s="792"/>
      <c r="AW173" s="792"/>
      <c r="AX173" s="792"/>
      <c r="AY173" s="792"/>
      <c r="AZ173" s="792"/>
      <c r="BA173" s="792"/>
      <c r="BB173" s="792"/>
      <c r="BC173" s="792"/>
      <c r="BD173" s="792"/>
      <c r="BE173" s="792"/>
      <c r="BF173" s="792"/>
      <c r="BG173" s="792"/>
      <c r="BH173" s="792"/>
      <c r="BI173" s="792"/>
      <c r="BJ173" s="792"/>
      <c r="BK173" s="792"/>
      <c r="BL173" s="792"/>
      <c r="BM173" s="792"/>
      <c r="BN173" s="792"/>
      <c r="BO173" s="792"/>
      <c r="BP173" s="792"/>
      <c r="BQ173" s="792"/>
      <c r="BR173" s="792"/>
      <c r="BS173" s="792"/>
      <c r="BT173" s="792"/>
      <c r="BU173" s="792"/>
      <c r="BV173" s="792"/>
      <c r="BW173" s="792"/>
      <c r="BX173" s="792"/>
      <c r="BY173" s="792"/>
      <c r="BZ173" s="792"/>
      <c r="CA173" s="792"/>
      <c r="CB173" s="792"/>
      <c r="CC173" s="792"/>
      <c r="CD173" s="792"/>
      <c r="CE173" s="792"/>
      <c r="CF173" s="792"/>
      <c r="CG173" s="792"/>
      <c r="CH173" s="792"/>
      <c r="CI173" s="792"/>
      <c r="CJ173" s="792"/>
      <c r="CK173" s="792"/>
      <c r="CL173" s="792"/>
      <c r="CM173" s="792"/>
      <c r="CN173" s="792"/>
      <c r="CO173" s="792"/>
      <c r="CP173" s="792"/>
      <c r="CQ173" s="792"/>
      <c r="CR173" s="792"/>
      <c r="CS173" s="792"/>
      <c r="CT173" s="792"/>
      <c r="CU173" s="792"/>
      <c r="CV173" s="792"/>
      <c r="CW173" s="792"/>
      <c r="CX173" s="792"/>
      <c r="CY173" s="792"/>
      <c r="CZ173" s="792"/>
      <c r="DA173" s="792"/>
      <c r="DB173" s="792"/>
      <c r="DC173" s="792"/>
    </row>
    <row r="174" spans="1:107" s="305" customFormat="1" ht="12" x14ac:dyDescent="0.2">
      <c r="A174" s="792"/>
      <c r="B174" s="865"/>
      <c r="C174" s="792"/>
      <c r="D174" s="792"/>
      <c r="E174" s="792"/>
      <c r="F174" s="792"/>
      <c r="G174" s="792"/>
      <c r="H174" s="792"/>
      <c r="I174" s="792"/>
      <c r="J174" s="792"/>
      <c r="K174" s="792"/>
      <c r="L174" s="792"/>
      <c r="M174" s="792"/>
      <c r="N174" s="792"/>
      <c r="O174" s="792"/>
      <c r="P174" s="792"/>
      <c r="Q174" s="792"/>
      <c r="R174" s="792"/>
      <c r="S174" s="792"/>
      <c r="T174" s="792"/>
      <c r="U174" s="792"/>
      <c r="V174" s="792"/>
      <c r="W174" s="792"/>
      <c r="X174" s="792"/>
      <c r="Y174" s="792"/>
      <c r="Z174" s="792"/>
      <c r="AA174" s="792"/>
      <c r="AB174" s="792"/>
      <c r="AC174" s="792"/>
      <c r="AD174" s="792"/>
      <c r="AE174" s="792"/>
      <c r="AF174" s="792"/>
      <c r="AG174" s="792"/>
      <c r="AH174" s="792"/>
      <c r="AI174" s="792"/>
      <c r="AJ174" s="792"/>
      <c r="AK174" s="792"/>
      <c r="AL174" s="792"/>
      <c r="AM174" s="792"/>
      <c r="AN174" s="792"/>
      <c r="AO174" s="792"/>
      <c r="AP174" s="792"/>
      <c r="AQ174" s="792"/>
      <c r="AR174" s="792"/>
      <c r="AS174" s="792"/>
      <c r="AT174" s="792"/>
      <c r="AU174" s="792"/>
      <c r="AV174" s="792"/>
      <c r="AW174" s="792"/>
      <c r="AX174" s="792"/>
      <c r="AY174" s="792"/>
      <c r="AZ174" s="792"/>
      <c r="BA174" s="792"/>
      <c r="BB174" s="792"/>
      <c r="BC174" s="792"/>
      <c r="BD174" s="792"/>
      <c r="BE174" s="792"/>
      <c r="BF174" s="792"/>
      <c r="BG174" s="792"/>
      <c r="BH174" s="792"/>
      <c r="BI174" s="792"/>
      <c r="BJ174" s="792"/>
      <c r="BK174" s="792"/>
      <c r="BL174" s="792"/>
      <c r="BM174" s="792"/>
      <c r="BN174" s="792"/>
      <c r="BO174" s="792"/>
      <c r="BP174" s="792"/>
      <c r="BQ174" s="792"/>
      <c r="BR174" s="792"/>
      <c r="BS174" s="792"/>
      <c r="BT174" s="792"/>
      <c r="BU174" s="792"/>
      <c r="BV174" s="792"/>
      <c r="BW174" s="792"/>
      <c r="BX174" s="792"/>
      <c r="BY174" s="792"/>
      <c r="BZ174" s="792"/>
      <c r="CA174" s="792"/>
      <c r="CB174" s="792"/>
      <c r="CC174" s="792"/>
      <c r="CD174" s="792"/>
      <c r="CE174" s="792"/>
      <c r="CF174" s="792"/>
      <c r="CG174" s="792"/>
      <c r="CH174" s="792"/>
      <c r="CI174" s="792"/>
      <c r="CJ174" s="792"/>
      <c r="CK174" s="792"/>
      <c r="CL174" s="792"/>
      <c r="CM174" s="792"/>
      <c r="CN174" s="792"/>
      <c r="CO174" s="792"/>
      <c r="CP174" s="792"/>
      <c r="CQ174" s="792"/>
      <c r="CR174" s="792"/>
      <c r="CS174" s="792"/>
      <c r="CT174" s="792"/>
      <c r="CU174" s="792"/>
      <c r="CV174" s="792"/>
      <c r="CW174" s="792"/>
      <c r="CX174" s="792"/>
      <c r="CY174" s="792"/>
      <c r="CZ174" s="792"/>
      <c r="DA174" s="792"/>
      <c r="DB174" s="792"/>
      <c r="DC174" s="792"/>
    </row>
    <row r="175" spans="1:107" s="305" customFormat="1" ht="12" x14ac:dyDescent="0.2">
      <c r="A175" s="792"/>
      <c r="B175" s="865"/>
      <c r="C175" s="792"/>
      <c r="D175" s="792"/>
      <c r="E175" s="792"/>
      <c r="F175" s="792"/>
      <c r="G175" s="792"/>
      <c r="H175" s="792"/>
      <c r="I175" s="792"/>
      <c r="J175" s="792"/>
      <c r="K175" s="792"/>
      <c r="L175" s="792"/>
      <c r="M175" s="792"/>
      <c r="N175" s="792"/>
      <c r="O175" s="792"/>
      <c r="P175" s="792"/>
      <c r="Q175" s="792"/>
      <c r="R175" s="792"/>
      <c r="S175" s="792"/>
      <c r="T175" s="792"/>
      <c r="U175" s="792"/>
      <c r="V175" s="792"/>
      <c r="W175" s="792"/>
      <c r="X175" s="792"/>
      <c r="Y175" s="792"/>
      <c r="Z175" s="792"/>
      <c r="AA175" s="792"/>
      <c r="AB175" s="792"/>
      <c r="AC175" s="792"/>
      <c r="AD175" s="792"/>
      <c r="AE175" s="792"/>
      <c r="AF175" s="792"/>
      <c r="AG175" s="792"/>
      <c r="AH175" s="792"/>
      <c r="AI175" s="792"/>
      <c r="AJ175" s="792"/>
      <c r="AK175" s="792"/>
      <c r="AL175" s="792"/>
      <c r="AM175" s="792"/>
      <c r="AN175" s="792"/>
      <c r="AO175" s="792"/>
      <c r="AP175" s="792"/>
      <c r="AQ175" s="792"/>
      <c r="AR175" s="792"/>
      <c r="AS175" s="792"/>
      <c r="AT175" s="792"/>
      <c r="AU175" s="792"/>
      <c r="AV175" s="792"/>
      <c r="AW175" s="792"/>
      <c r="AX175" s="792"/>
      <c r="AY175" s="792"/>
      <c r="AZ175" s="792"/>
      <c r="BA175" s="792"/>
      <c r="BB175" s="792"/>
      <c r="BC175" s="792"/>
      <c r="BD175" s="792"/>
      <c r="BE175" s="792"/>
      <c r="BF175" s="792"/>
      <c r="BG175" s="792"/>
      <c r="BH175" s="792"/>
      <c r="BI175" s="792"/>
      <c r="BJ175" s="792"/>
      <c r="BK175" s="792"/>
      <c r="BL175" s="792"/>
      <c r="BM175" s="792"/>
      <c r="BN175" s="792"/>
      <c r="BO175" s="792"/>
      <c r="BP175" s="792"/>
      <c r="BQ175" s="792"/>
      <c r="BR175" s="792"/>
      <c r="BS175" s="792"/>
      <c r="BT175" s="792"/>
      <c r="BU175" s="792"/>
      <c r="BV175" s="792"/>
      <c r="BW175" s="792"/>
      <c r="BX175" s="792"/>
      <c r="BY175" s="792"/>
      <c r="BZ175" s="792"/>
      <c r="CA175" s="792"/>
      <c r="CB175" s="792"/>
      <c r="CC175" s="792"/>
      <c r="CD175" s="792"/>
      <c r="CE175" s="792"/>
      <c r="CF175" s="792"/>
      <c r="CG175" s="792"/>
      <c r="CH175" s="792"/>
      <c r="CI175" s="792"/>
      <c r="CJ175" s="792"/>
      <c r="CK175" s="792"/>
      <c r="CL175" s="792"/>
      <c r="CM175" s="792"/>
      <c r="CN175" s="792"/>
      <c r="CO175" s="792"/>
      <c r="CP175" s="792"/>
      <c r="CQ175" s="792"/>
      <c r="CR175" s="792"/>
      <c r="CS175" s="792"/>
      <c r="CT175" s="792"/>
      <c r="CU175" s="792"/>
      <c r="CV175" s="792"/>
      <c r="CW175" s="792"/>
      <c r="CX175" s="792"/>
      <c r="CY175" s="792"/>
      <c r="CZ175" s="792"/>
      <c r="DA175" s="792"/>
      <c r="DB175" s="792"/>
      <c r="DC175" s="792"/>
    </row>
    <row r="176" spans="1:107" s="305" customFormat="1" ht="12" x14ac:dyDescent="0.2">
      <c r="A176" s="792"/>
      <c r="B176" s="865"/>
      <c r="C176" s="792"/>
      <c r="D176" s="792"/>
      <c r="E176" s="792"/>
      <c r="F176" s="792"/>
      <c r="G176" s="792"/>
      <c r="H176" s="792"/>
      <c r="I176" s="792"/>
      <c r="J176" s="792"/>
      <c r="K176" s="792"/>
      <c r="L176" s="792"/>
      <c r="M176" s="792"/>
      <c r="N176" s="792"/>
      <c r="O176" s="792"/>
      <c r="P176" s="792"/>
      <c r="Q176" s="792"/>
      <c r="R176" s="792"/>
      <c r="S176" s="792"/>
      <c r="T176" s="792"/>
      <c r="U176" s="792"/>
      <c r="V176" s="792"/>
      <c r="W176" s="792"/>
      <c r="X176" s="792"/>
      <c r="Y176" s="792"/>
      <c r="Z176" s="792"/>
      <c r="AA176" s="792"/>
      <c r="AB176" s="792"/>
      <c r="AC176" s="792"/>
      <c r="AD176" s="792"/>
      <c r="AE176" s="792"/>
      <c r="AF176" s="792"/>
      <c r="AG176" s="792"/>
      <c r="AH176" s="792"/>
      <c r="AI176" s="792"/>
      <c r="AJ176" s="792"/>
      <c r="AK176" s="792"/>
      <c r="AL176" s="792"/>
      <c r="AM176" s="792"/>
      <c r="AN176" s="792"/>
      <c r="AO176" s="792"/>
      <c r="AP176" s="792"/>
      <c r="AQ176" s="792"/>
      <c r="AR176" s="792"/>
      <c r="AS176" s="792"/>
      <c r="AT176" s="792"/>
      <c r="AU176" s="792"/>
      <c r="AV176" s="792"/>
      <c r="AW176" s="792"/>
      <c r="AX176" s="792"/>
      <c r="AY176" s="792"/>
      <c r="AZ176" s="792"/>
      <c r="BA176" s="792"/>
      <c r="BB176" s="792"/>
      <c r="BC176" s="792"/>
      <c r="BD176" s="792"/>
      <c r="BE176" s="792"/>
      <c r="BF176" s="792"/>
      <c r="BG176" s="792"/>
      <c r="BH176" s="792"/>
      <c r="BI176" s="792"/>
      <c r="BJ176" s="792"/>
      <c r="BK176" s="792"/>
      <c r="BL176" s="792"/>
      <c r="BM176" s="792"/>
      <c r="BN176" s="792"/>
      <c r="BO176" s="792"/>
      <c r="BP176" s="792"/>
      <c r="BQ176" s="792"/>
      <c r="BR176" s="792"/>
      <c r="BS176" s="792"/>
      <c r="BT176" s="792"/>
      <c r="BU176" s="792"/>
      <c r="BV176" s="792"/>
      <c r="BW176" s="792"/>
      <c r="BX176" s="792"/>
      <c r="BY176" s="792"/>
      <c r="BZ176" s="792"/>
      <c r="CA176" s="792"/>
      <c r="CB176" s="792"/>
      <c r="CC176" s="792"/>
      <c r="CD176" s="792"/>
      <c r="CE176" s="792"/>
      <c r="CF176" s="792"/>
      <c r="CG176" s="792"/>
      <c r="CH176" s="792"/>
      <c r="CI176" s="792"/>
      <c r="CJ176" s="792"/>
      <c r="CK176" s="792"/>
      <c r="CL176" s="792"/>
      <c r="CM176" s="792"/>
      <c r="CN176" s="792"/>
      <c r="CO176" s="792"/>
      <c r="CP176" s="792"/>
      <c r="CQ176" s="792"/>
      <c r="CR176" s="792"/>
      <c r="CS176" s="792"/>
      <c r="CT176" s="792"/>
      <c r="CU176" s="792"/>
      <c r="CV176" s="792"/>
      <c r="CW176" s="792"/>
      <c r="CX176" s="792"/>
      <c r="CY176" s="792"/>
      <c r="CZ176" s="792"/>
      <c r="DA176" s="792"/>
      <c r="DB176" s="792"/>
      <c r="DC176" s="792"/>
    </row>
    <row r="177" spans="1:107" s="305" customFormat="1" ht="12" x14ac:dyDescent="0.2">
      <c r="A177" s="792"/>
      <c r="B177" s="865"/>
      <c r="C177" s="792"/>
      <c r="D177" s="792"/>
      <c r="E177" s="792"/>
      <c r="F177" s="792"/>
      <c r="G177" s="792"/>
      <c r="H177" s="792"/>
      <c r="I177" s="792"/>
      <c r="J177" s="792"/>
      <c r="K177" s="792"/>
      <c r="L177" s="792"/>
      <c r="M177" s="792"/>
      <c r="N177" s="792"/>
      <c r="O177" s="792"/>
      <c r="P177" s="792"/>
      <c r="Q177" s="792"/>
      <c r="R177" s="792"/>
      <c r="S177" s="792"/>
      <c r="T177" s="792"/>
      <c r="U177" s="792"/>
      <c r="V177" s="792"/>
      <c r="W177" s="792"/>
      <c r="X177" s="792"/>
      <c r="Y177" s="792"/>
      <c r="Z177" s="792"/>
      <c r="AA177" s="792"/>
      <c r="AB177" s="792"/>
      <c r="AC177" s="792"/>
      <c r="AD177" s="792"/>
      <c r="AE177" s="792"/>
      <c r="AF177" s="792"/>
      <c r="AG177" s="792"/>
      <c r="AH177" s="792"/>
      <c r="AI177" s="792"/>
      <c r="AJ177" s="792"/>
      <c r="AK177" s="792"/>
      <c r="AL177" s="792"/>
      <c r="AM177" s="792"/>
      <c r="AN177" s="792"/>
      <c r="AO177" s="792"/>
      <c r="AP177" s="792"/>
      <c r="AQ177" s="792"/>
      <c r="AR177" s="792"/>
      <c r="AS177" s="792"/>
      <c r="AT177" s="792"/>
      <c r="AU177" s="792"/>
      <c r="AV177" s="792"/>
      <c r="AW177" s="792"/>
      <c r="AX177" s="792"/>
      <c r="AY177" s="792"/>
      <c r="AZ177" s="792"/>
      <c r="BA177" s="792"/>
      <c r="BB177" s="792"/>
      <c r="BC177" s="792"/>
      <c r="BD177" s="792"/>
      <c r="BE177" s="792"/>
      <c r="BF177" s="792"/>
      <c r="BG177" s="792"/>
      <c r="BH177" s="792"/>
      <c r="BI177" s="792"/>
      <c r="BJ177" s="792"/>
      <c r="BK177" s="792"/>
      <c r="BL177" s="792"/>
      <c r="BM177" s="792"/>
      <c r="BN177" s="792"/>
      <c r="BO177" s="792"/>
      <c r="BP177" s="792"/>
      <c r="BQ177" s="792"/>
      <c r="BR177" s="792"/>
      <c r="BS177" s="792"/>
      <c r="BT177" s="792"/>
      <c r="BU177" s="792"/>
      <c r="BV177" s="792"/>
      <c r="BW177" s="792"/>
      <c r="BX177" s="792"/>
      <c r="BY177" s="792"/>
      <c r="BZ177" s="792"/>
      <c r="CA177" s="792"/>
      <c r="CB177" s="792"/>
      <c r="CC177" s="792"/>
      <c r="CD177" s="792"/>
      <c r="CE177" s="792"/>
      <c r="CF177" s="792"/>
      <c r="CG177" s="792"/>
      <c r="CH177" s="792"/>
      <c r="CI177" s="792"/>
      <c r="CJ177" s="792"/>
      <c r="CK177" s="792"/>
      <c r="CL177" s="792"/>
      <c r="CM177" s="792"/>
      <c r="CN177" s="792"/>
      <c r="CO177" s="792"/>
      <c r="CP177" s="792"/>
      <c r="CQ177" s="792"/>
      <c r="CR177" s="792"/>
      <c r="CS177" s="792"/>
      <c r="CT177" s="792"/>
      <c r="CU177" s="792"/>
      <c r="CV177" s="792"/>
      <c r="CW177" s="792"/>
      <c r="CX177" s="792"/>
      <c r="CY177" s="792"/>
      <c r="CZ177" s="792"/>
      <c r="DA177" s="792"/>
      <c r="DB177" s="792"/>
      <c r="DC177" s="792"/>
    </row>
    <row r="178" spans="1:107" s="305" customFormat="1" ht="12" x14ac:dyDescent="0.2">
      <c r="A178" s="792"/>
      <c r="B178" s="865"/>
      <c r="C178" s="792"/>
      <c r="D178" s="792"/>
      <c r="E178" s="792"/>
      <c r="F178" s="792"/>
      <c r="G178" s="792"/>
      <c r="H178" s="792"/>
      <c r="I178" s="792"/>
      <c r="J178" s="792"/>
      <c r="K178" s="792"/>
      <c r="L178" s="792"/>
      <c r="M178" s="792"/>
      <c r="N178" s="792"/>
      <c r="O178" s="792"/>
      <c r="P178" s="792"/>
      <c r="Q178" s="792"/>
      <c r="R178" s="792"/>
      <c r="S178" s="792"/>
      <c r="T178" s="792"/>
      <c r="U178" s="792"/>
      <c r="V178" s="792"/>
      <c r="W178" s="792"/>
      <c r="X178" s="792"/>
      <c r="Y178" s="792"/>
      <c r="Z178" s="792"/>
      <c r="AA178" s="792"/>
      <c r="AB178" s="792"/>
      <c r="AC178" s="792"/>
      <c r="AD178" s="792"/>
      <c r="AE178" s="792"/>
      <c r="AF178" s="792"/>
      <c r="AG178" s="792"/>
      <c r="AH178" s="792"/>
      <c r="AI178" s="792"/>
      <c r="AJ178" s="792"/>
      <c r="AK178" s="792"/>
      <c r="AL178" s="792"/>
      <c r="AM178" s="792"/>
      <c r="AN178" s="792"/>
      <c r="AO178" s="792"/>
      <c r="AP178" s="792"/>
      <c r="AQ178" s="792"/>
      <c r="AR178" s="792"/>
      <c r="AS178" s="792"/>
      <c r="AT178" s="792"/>
      <c r="AU178" s="792"/>
      <c r="AV178" s="792"/>
      <c r="AW178" s="792"/>
      <c r="AX178" s="792"/>
      <c r="AY178" s="792"/>
      <c r="AZ178" s="792"/>
      <c r="BA178" s="792"/>
      <c r="BB178" s="792"/>
      <c r="BC178" s="792"/>
      <c r="BD178" s="792"/>
      <c r="BE178" s="792"/>
      <c r="BF178" s="792"/>
      <c r="BG178" s="792"/>
      <c r="BH178" s="792"/>
      <c r="BI178" s="792"/>
      <c r="BJ178" s="792"/>
      <c r="BK178" s="792"/>
      <c r="BL178" s="792"/>
      <c r="BM178" s="792"/>
      <c r="BN178" s="792"/>
      <c r="BO178" s="792"/>
      <c r="BP178" s="792"/>
      <c r="BQ178" s="792"/>
      <c r="BR178" s="792"/>
      <c r="BS178" s="792"/>
      <c r="BT178" s="792"/>
      <c r="BU178" s="792"/>
      <c r="BV178" s="792"/>
      <c r="BW178" s="792"/>
      <c r="BX178" s="792"/>
      <c r="BY178" s="792"/>
      <c r="BZ178" s="792"/>
      <c r="CA178" s="792"/>
      <c r="CB178" s="792"/>
      <c r="CC178" s="792"/>
      <c r="CD178" s="792"/>
      <c r="CE178" s="792"/>
      <c r="CF178" s="792"/>
      <c r="CG178" s="792"/>
      <c r="CH178" s="792"/>
      <c r="CI178" s="792"/>
      <c r="CJ178" s="792"/>
      <c r="CK178" s="792"/>
      <c r="CL178" s="792"/>
      <c r="CM178" s="792"/>
      <c r="CN178" s="792"/>
      <c r="CO178" s="792"/>
      <c r="CP178" s="792"/>
      <c r="CQ178" s="792"/>
      <c r="CR178" s="792"/>
      <c r="CS178" s="792"/>
      <c r="CT178" s="792"/>
      <c r="CU178" s="792"/>
      <c r="CV178" s="792"/>
      <c r="CW178" s="792"/>
      <c r="CX178" s="792"/>
      <c r="CY178" s="792"/>
      <c r="CZ178" s="792"/>
      <c r="DA178" s="792"/>
      <c r="DB178" s="792"/>
      <c r="DC178" s="792"/>
    </row>
    <row r="179" spans="1:107" s="305" customFormat="1" ht="12" x14ac:dyDescent="0.2">
      <c r="A179" s="792"/>
      <c r="B179" s="865"/>
      <c r="C179" s="792"/>
      <c r="D179" s="792"/>
      <c r="E179" s="792"/>
      <c r="F179" s="792"/>
      <c r="G179" s="792"/>
      <c r="H179" s="792"/>
      <c r="I179" s="792"/>
      <c r="J179" s="792"/>
      <c r="K179" s="792"/>
      <c r="L179" s="792"/>
      <c r="M179" s="792"/>
      <c r="N179" s="792"/>
      <c r="O179" s="792"/>
      <c r="P179" s="792"/>
      <c r="Q179" s="792"/>
      <c r="R179" s="792"/>
      <c r="S179" s="792"/>
      <c r="T179" s="792"/>
      <c r="U179" s="792"/>
      <c r="V179" s="792"/>
      <c r="W179" s="792"/>
      <c r="X179" s="792"/>
      <c r="Y179" s="792"/>
      <c r="Z179" s="792"/>
      <c r="AA179" s="792"/>
      <c r="AB179" s="792"/>
      <c r="AC179" s="792"/>
      <c r="AD179" s="792"/>
      <c r="AE179" s="792"/>
      <c r="AF179" s="792"/>
      <c r="AG179" s="792"/>
      <c r="AH179" s="792"/>
      <c r="AI179" s="792"/>
      <c r="AJ179" s="792"/>
      <c r="AK179" s="792"/>
      <c r="AL179" s="792"/>
      <c r="AM179" s="792"/>
      <c r="AN179" s="792"/>
      <c r="AO179" s="792"/>
      <c r="AP179" s="792"/>
      <c r="AQ179" s="792"/>
      <c r="AR179" s="792"/>
      <c r="AS179" s="792"/>
      <c r="AT179" s="792"/>
      <c r="AU179" s="792"/>
      <c r="AV179" s="792"/>
      <c r="AW179" s="792"/>
      <c r="AX179" s="792"/>
      <c r="AY179" s="792"/>
      <c r="AZ179" s="792"/>
      <c r="BA179" s="792"/>
      <c r="BB179" s="792"/>
      <c r="BC179" s="792"/>
      <c r="BD179" s="792"/>
      <c r="BE179" s="792"/>
      <c r="BF179" s="792"/>
      <c r="BG179" s="792"/>
      <c r="BH179" s="792"/>
      <c r="BI179" s="792"/>
      <c r="BJ179" s="792"/>
      <c r="BK179" s="792"/>
      <c r="BL179" s="792"/>
      <c r="BM179" s="792"/>
      <c r="BN179" s="792"/>
      <c r="BO179" s="792"/>
      <c r="BP179" s="792"/>
      <c r="BQ179" s="792"/>
      <c r="BR179" s="792"/>
      <c r="BS179" s="792"/>
      <c r="BT179" s="792"/>
      <c r="BU179" s="792"/>
      <c r="BV179" s="792"/>
      <c r="BW179" s="792"/>
      <c r="BX179" s="792"/>
      <c r="BY179" s="792"/>
      <c r="BZ179" s="792"/>
      <c r="CA179" s="792"/>
      <c r="CB179" s="792"/>
      <c r="CC179" s="792"/>
      <c r="CD179" s="792"/>
      <c r="CE179" s="792"/>
      <c r="CF179" s="792"/>
      <c r="CG179" s="792"/>
      <c r="CH179" s="792"/>
      <c r="CI179" s="792"/>
      <c r="CJ179" s="792"/>
      <c r="CK179" s="792"/>
      <c r="CL179" s="792"/>
      <c r="CM179" s="792"/>
      <c r="CN179" s="792"/>
      <c r="CO179" s="792"/>
      <c r="CP179" s="792"/>
      <c r="CQ179" s="792"/>
      <c r="CR179" s="792"/>
      <c r="CS179" s="792"/>
      <c r="CT179" s="792"/>
      <c r="CU179" s="792"/>
      <c r="CV179" s="792"/>
      <c r="CW179" s="792"/>
      <c r="CX179" s="792"/>
      <c r="CY179" s="792"/>
      <c r="CZ179" s="792"/>
      <c r="DA179" s="792"/>
      <c r="DB179" s="792"/>
      <c r="DC179" s="792"/>
    </row>
    <row r="180" spans="1:107" s="305" customFormat="1" ht="12" x14ac:dyDescent="0.2">
      <c r="A180" s="792"/>
      <c r="B180" s="865"/>
      <c r="C180" s="792"/>
      <c r="D180" s="792"/>
      <c r="E180" s="792"/>
      <c r="F180" s="792"/>
      <c r="G180" s="792"/>
      <c r="H180" s="792"/>
      <c r="I180" s="792"/>
      <c r="J180" s="792"/>
      <c r="K180" s="792"/>
      <c r="L180" s="792"/>
      <c r="M180" s="792"/>
      <c r="N180" s="792"/>
      <c r="O180" s="792"/>
      <c r="P180" s="792"/>
      <c r="Q180" s="792"/>
      <c r="R180" s="792"/>
      <c r="S180" s="792"/>
      <c r="T180" s="792"/>
      <c r="U180" s="792"/>
      <c r="V180" s="792"/>
      <c r="W180" s="792"/>
      <c r="X180" s="792"/>
      <c r="Y180" s="792"/>
      <c r="Z180" s="792"/>
      <c r="AA180" s="792"/>
      <c r="AB180" s="792"/>
      <c r="AC180" s="792"/>
      <c r="AD180" s="792"/>
      <c r="AE180" s="792"/>
      <c r="AF180" s="792"/>
      <c r="AG180" s="792"/>
      <c r="AH180" s="792"/>
      <c r="AI180" s="792"/>
      <c r="AJ180" s="792"/>
      <c r="AK180" s="792"/>
      <c r="AL180" s="792"/>
      <c r="AM180" s="792"/>
      <c r="AN180" s="792"/>
      <c r="AO180" s="792"/>
      <c r="AP180" s="792"/>
      <c r="AQ180" s="792"/>
      <c r="AR180" s="792"/>
      <c r="AS180" s="792"/>
      <c r="AT180" s="792"/>
      <c r="AU180" s="792"/>
      <c r="AV180" s="792"/>
      <c r="AW180" s="792"/>
      <c r="AX180" s="792"/>
      <c r="AY180" s="792"/>
      <c r="AZ180" s="792"/>
      <c r="BA180" s="792"/>
      <c r="BB180" s="792"/>
      <c r="BC180" s="792"/>
      <c r="BD180" s="792"/>
      <c r="BE180" s="792"/>
      <c r="BF180" s="792"/>
      <c r="BG180" s="792"/>
      <c r="BH180" s="792"/>
      <c r="BI180" s="792"/>
      <c r="BJ180" s="792"/>
      <c r="BK180" s="792"/>
      <c r="BL180" s="792"/>
      <c r="BM180" s="792"/>
      <c r="BN180" s="792"/>
      <c r="BO180" s="792"/>
      <c r="BP180" s="792"/>
      <c r="BQ180" s="792"/>
      <c r="BR180" s="792"/>
      <c r="BS180" s="792"/>
      <c r="BT180" s="792"/>
      <c r="BU180" s="792"/>
      <c r="BV180" s="792"/>
      <c r="BW180" s="792"/>
      <c r="BX180" s="792"/>
      <c r="BY180" s="792"/>
      <c r="BZ180" s="792"/>
      <c r="CA180" s="792"/>
      <c r="CB180" s="792"/>
      <c r="CC180" s="792"/>
      <c r="CD180" s="792"/>
      <c r="CE180" s="792"/>
      <c r="CF180" s="792"/>
      <c r="CG180" s="792"/>
      <c r="CH180" s="792"/>
      <c r="CI180" s="792"/>
      <c r="CJ180" s="792"/>
      <c r="CK180" s="792"/>
      <c r="CL180" s="792"/>
      <c r="CM180" s="792"/>
      <c r="CN180" s="792"/>
      <c r="CO180" s="792"/>
      <c r="CP180" s="792"/>
      <c r="CQ180" s="792"/>
      <c r="CR180" s="792"/>
      <c r="CS180" s="792"/>
      <c r="CT180" s="792"/>
      <c r="CU180" s="792"/>
      <c r="CV180" s="792"/>
      <c r="CW180" s="792"/>
      <c r="CX180" s="792"/>
      <c r="CY180" s="792"/>
      <c r="CZ180" s="792"/>
      <c r="DA180" s="792"/>
      <c r="DB180" s="792"/>
      <c r="DC180" s="792"/>
    </row>
    <row r="181" spans="1:107" s="305" customFormat="1" ht="12" x14ac:dyDescent="0.2">
      <c r="A181" s="792"/>
      <c r="B181" s="865"/>
      <c r="C181" s="792"/>
      <c r="D181" s="792"/>
      <c r="E181" s="792"/>
      <c r="F181" s="792"/>
      <c r="G181" s="792"/>
      <c r="H181" s="792"/>
      <c r="I181" s="792"/>
      <c r="J181" s="792"/>
      <c r="K181" s="792"/>
      <c r="L181" s="792"/>
      <c r="M181" s="792"/>
      <c r="N181" s="792"/>
      <c r="O181" s="792"/>
      <c r="P181" s="792"/>
      <c r="Q181" s="792"/>
      <c r="R181" s="792"/>
      <c r="S181" s="792"/>
      <c r="T181" s="792"/>
      <c r="U181" s="792"/>
      <c r="V181" s="792"/>
      <c r="W181" s="792"/>
      <c r="X181" s="792"/>
      <c r="Y181" s="792"/>
      <c r="Z181" s="792"/>
      <c r="AA181" s="792"/>
      <c r="AB181" s="792"/>
      <c r="AC181" s="792"/>
      <c r="AD181" s="792"/>
      <c r="AE181" s="792"/>
      <c r="AF181" s="792"/>
      <c r="AG181" s="792"/>
      <c r="AH181" s="792"/>
      <c r="AI181" s="792"/>
      <c r="AJ181" s="792"/>
      <c r="AK181" s="792"/>
      <c r="AL181" s="792"/>
      <c r="AM181" s="792"/>
      <c r="AN181" s="792"/>
      <c r="AO181" s="792"/>
      <c r="AP181" s="792"/>
      <c r="AQ181" s="792"/>
      <c r="AR181" s="792"/>
      <c r="AS181" s="792"/>
      <c r="AT181" s="792"/>
      <c r="AU181" s="792"/>
      <c r="AV181" s="792"/>
      <c r="AW181" s="792"/>
      <c r="AX181" s="792"/>
      <c r="AY181" s="792"/>
      <c r="AZ181" s="792"/>
      <c r="BA181" s="792"/>
      <c r="BB181" s="792"/>
      <c r="BC181" s="792"/>
      <c r="BD181" s="792"/>
      <c r="BE181" s="792"/>
      <c r="BF181" s="792"/>
      <c r="BG181" s="792"/>
      <c r="BH181" s="792"/>
      <c r="BI181" s="792"/>
      <c r="BJ181" s="792"/>
      <c r="BK181" s="792"/>
      <c r="BL181" s="792"/>
      <c r="BM181" s="792"/>
      <c r="BN181" s="792"/>
      <c r="BO181" s="792"/>
      <c r="BP181" s="792"/>
      <c r="BQ181" s="792"/>
      <c r="BR181" s="792"/>
      <c r="BS181" s="792"/>
      <c r="BT181" s="792"/>
      <c r="BU181" s="792"/>
      <c r="BV181" s="792"/>
      <c r="BW181" s="792"/>
      <c r="BX181" s="792"/>
      <c r="BY181" s="792"/>
      <c r="BZ181" s="792"/>
      <c r="CA181" s="792"/>
      <c r="CB181" s="792"/>
      <c r="CC181" s="792"/>
      <c r="CD181" s="792"/>
      <c r="CE181" s="792"/>
      <c r="CF181" s="792"/>
      <c r="CG181" s="792"/>
      <c r="CH181" s="792"/>
      <c r="CI181" s="792"/>
      <c r="CJ181" s="792"/>
      <c r="CK181" s="792"/>
      <c r="CL181" s="792"/>
      <c r="CM181" s="792"/>
      <c r="CN181" s="792"/>
      <c r="CO181" s="792"/>
      <c r="CP181" s="792"/>
      <c r="CQ181" s="792"/>
      <c r="CR181" s="792"/>
      <c r="CS181" s="792"/>
      <c r="CT181" s="792"/>
      <c r="CU181" s="792"/>
      <c r="CV181" s="792"/>
      <c r="CW181" s="792"/>
      <c r="CX181" s="792"/>
      <c r="CY181" s="792"/>
      <c r="CZ181" s="792"/>
      <c r="DA181" s="792"/>
      <c r="DB181" s="792"/>
      <c r="DC181" s="792"/>
    </row>
    <row r="182" spans="1:107" s="305" customFormat="1" ht="12" x14ac:dyDescent="0.2">
      <c r="A182" s="792"/>
      <c r="B182" s="865"/>
      <c r="C182" s="792"/>
      <c r="D182" s="792"/>
      <c r="E182" s="792"/>
      <c r="F182" s="792"/>
      <c r="G182" s="792"/>
      <c r="H182" s="792"/>
      <c r="I182" s="792"/>
      <c r="J182" s="792"/>
      <c r="K182" s="792"/>
      <c r="L182" s="792"/>
      <c r="M182" s="792"/>
      <c r="N182" s="792"/>
      <c r="O182" s="792"/>
      <c r="P182" s="792"/>
      <c r="Q182" s="792"/>
      <c r="R182" s="792"/>
      <c r="S182" s="792"/>
      <c r="T182" s="792"/>
      <c r="U182" s="792"/>
      <c r="V182" s="792"/>
      <c r="W182" s="792"/>
      <c r="X182" s="792"/>
      <c r="Y182" s="792"/>
      <c r="Z182" s="792"/>
      <c r="AA182" s="792"/>
      <c r="AB182" s="792"/>
      <c r="AC182" s="792"/>
      <c r="AD182" s="792"/>
      <c r="AE182" s="792"/>
      <c r="AF182" s="792"/>
      <c r="AG182" s="792"/>
      <c r="AH182" s="792"/>
      <c r="AI182" s="792"/>
      <c r="AJ182" s="792"/>
      <c r="AK182" s="792"/>
      <c r="AL182" s="792"/>
      <c r="AM182" s="792"/>
      <c r="AN182" s="792"/>
      <c r="AO182" s="792"/>
      <c r="AP182" s="792"/>
      <c r="AQ182" s="792"/>
      <c r="AR182" s="792"/>
      <c r="AS182" s="792"/>
      <c r="AT182" s="792"/>
      <c r="AU182" s="792"/>
      <c r="AV182" s="792"/>
      <c r="AW182" s="792"/>
      <c r="AX182" s="792"/>
      <c r="AY182" s="792"/>
      <c r="AZ182" s="792"/>
      <c r="BA182" s="792"/>
      <c r="BB182" s="792"/>
      <c r="BC182" s="792"/>
      <c r="BD182" s="792"/>
      <c r="BE182" s="792"/>
      <c r="BF182" s="792"/>
      <c r="BG182" s="792"/>
      <c r="BH182" s="792"/>
      <c r="BI182" s="792"/>
      <c r="BJ182" s="792"/>
      <c r="BK182" s="792"/>
      <c r="BL182" s="792"/>
      <c r="BM182" s="792"/>
      <c r="BN182" s="792"/>
      <c r="BO182" s="792"/>
      <c r="BP182" s="792"/>
      <c r="BQ182" s="792"/>
      <c r="BR182" s="792"/>
      <c r="BS182" s="792"/>
      <c r="BT182" s="792"/>
      <c r="BU182" s="792"/>
      <c r="BV182" s="792"/>
      <c r="BW182" s="792"/>
      <c r="BX182" s="792"/>
      <c r="BY182" s="792"/>
      <c r="BZ182" s="792"/>
      <c r="CA182" s="792"/>
      <c r="CB182" s="792"/>
      <c r="CC182" s="792"/>
      <c r="CD182" s="792"/>
      <c r="CE182" s="792"/>
      <c r="CF182" s="792"/>
      <c r="CG182" s="792"/>
      <c r="CH182" s="792"/>
      <c r="CI182" s="792"/>
      <c r="CJ182" s="792"/>
      <c r="CK182" s="792"/>
      <c r="CL182" s="792"/>
      <c r="CM182" s="792"/>
      <c r="CN182" s="792"/>
      <c r="CO182" s="792"/>
      <c r="CP182" s="792"/>
      <c r="CQ182" s="792"/>
      <c r="CR182" s="792"/>
      <c r="CS182" s="792"/>
      <c r="CT182" s="792"/>
      <c r="CU182" s="792"/>
      <c r="CV182" s="792"/>
      <c r="CW182" s="792"/>
      <c r="CX182" s="792"/>
      <c r="CY182" s="792"/>
      <c r="CZ182" s="792"/>
      <c r="DA182" s="792"/>
      <c r="DB182" s="792"/>
      <c r="DC182" s="792"/>
    </row>
    <row r="183" spans="1:107" s="305" customFormat="1" ht="12" x14ac:dyDescent="0.2">
      <c r="A183" s="792"/>
      <c r="B183" s="865"/>
      <c r="C183" s="792"/>
      <c r="D183" s="792"/>
      <c r="E183" s="792"/>
      <c r="F183" s="792"/>
      <c r="G183" s="792"/>
      <c r="H183" s="792"/>
      <c r="I183" s="792"/>
      <c r="J183" s="792"/>
      <c r="K183" s="792"/>
      <c r="L183" s="792"/>
      <c r="M183" s="792"/>
      <c r="N183" s="792"/>
      <c r="O183" s="792"/>
      <c r="P183" s="792"/>
      <c r="Q183" s="792"/>
      <c r="R183" s="792"/>
      <c r="S183" s="792"/>
      <c r="T183" s="792"/>
      <c r="U183" s="792"/>
      <c r="V183" s="792"/>
      <c r="W183" s="792"/>
      <c r="X183" s="792"/>
      <c r="Y183" s="792"/>
      <c r="Z183" s="792"/>
      <c r="AA183" s="792"/>
      <c r="AB183" s="792"/>
      <c r="AC183" s="792"/>
      <c r="AD183" s="792"/>
      <c r="AE183" s="792"/>
      <c r="AF183" s="792"/>
      <c r="AG183" s="792"/>
      <c r="AH183" s="792"/>
      <c r="AI183" s="792"/>
      <c r="AJ183" s="792"/>
      <c r="AK183" s="792"/>
      <c r="AL183" s="792"/>
      <c r="AM183" s="792"/>
      <c r="AN183" s="792"/>
      <c r="AO183" s="792"/>
      <c r="AP183" s="792"/>
      <c r="AQ183" s="792"/>
      <c r="AR183" s="792"/>
      <c r="AS183" s="792"/>
      <c r="AT183" s="792"/>
      <c r="AU183" s="792"/>
      <c r="AV183" s="792"/>
      <c r="AW183" s="792"/>
      <c r="AX183" s="792"/>
      <c r="AY183" s="792"/>
      <c r="AZ183" s="792"/>
      <c r="BA183" s="792"/>
      <c r="BB183" s="792"/>
      <c r="BC183" s="792"/>
      <c r="BD183" s="792"/>
      <c r="BE183" s="792"/>
      <c r="BF183" s="792"/>
      <c r="BG183" s="792"/>
      <c r="BH183" s="792"/>
      <c r="BI183" s="792"/>
      <c r="BJ183" s="792"/>
      <c r="BK183" s="792"/>
      <c r="BL183" s="792"/>
      <c r="BM183" s="792"/>
      <c r="BN183" s="792"/>
      <c r="BO183" s="792"/>
      <c r="BP183" s="792"/>
      <c r="BQ183" s="792"/>
      <c r="BR183" s="792"/>
      <c r="BS183" s="792"/>
      <c r="BT183" s="792"/>
      <c r="BU183" s="792"/>
      <c r="BV183" s="792"/>
      <c r="BW183" s="792"/>
      <c r="BX183" s="792"/>
      <c r="BY183" s="792"/>
      <c r="BZ183" s="792"/>
      <c r="CA183" s="792"/>
      <c r="CB183" s="792"/>
      <c r="CC183" s="792"/>
      <c r="CD183" s="792"/>
      <c r="CE183" s="792"/>
      <c r="CF183" s="792"/>
      <c r="CG183" s="792"/>
      <c r="CH183" s="792"/>
      <c r="CI183" s="792"/>
      <c r="CJ183" s="792"/>
      <c r="CK183" s="792"/>
      <c r="CL183" s="792"/>
      <c r="CM183" s="792"/>
      <c r="CN183" s="792"/>
      <c r="CO183" s="792"/>
      <c r="CP183" s="792"/>
      <c r="CQ183" s="792"/>
      <c r="CR183" s="792"/>
      <c r="CS183" s="792"/>
      <c r="CT183" s="792"/>
      <c r="CU183" s="792"/>
      <c r="CV183" s="792"/>
      <c r="CW183" s="792"/>
      <c r="CX183" s="792"/>
      <c r="CY183" s="792"/>
      <c r="CZ183" s="792"/>
      <c r="DA183" s="792"/>
      <c r="DB183" s="792"/>
      <c r="DC183" s="792"/>
    </row>
    <row r="184" spans="1:107" s="305" customFormat="1" ht="12" x14ac:dyDescent="0.2">
      <c r="A184" s="792"/>
      <c r="B184" s="865"/>
      <c r="C184" s="792"/>
      <c r="D184" s="792"/>
      <c r="E184" s="792"/>
      <c r="F184" s="792"/>
      <c r="G184" s="792"/>
      <c r="H184" s="792"/>
      <c r="I184" s="792"/>
      <c r="J184" s="792"/>
      <c r="K184" s="792"/>
      <c r="L184" s="792"/>
      <c r="M184" s="792"/>
      <c r="N184" s="792"/>
      <c r="O184" s="792"/>
      <c r="P184" s="792"/>
      <c r="Q184" s="792"/>
      <c r="R184" s="792"/>
      <c r="S184" s="792"/>
      <c r="T184" s="792"/>
      <c r="U184" s="792"/>
      <c r="V184" s="792"/>
      <c r="W184" s="792"/>
      <c r="X184" s="792"/>
      <c r="Y184" s="792"/>
      <c r="Z184" s="792"/>
      <c r="AA184" s="792"/>
      <c r="AB184" s="792"/>
      <c r="AC184" s="792"/>
      <c r="AD184" s="792"/>
      <c r="AE184" s="792"/>
      <c r="AF184" s="792"/>
      <c r="AG184" s="792"/>
      <c r="AH184" s="792"/>
      <c r="AI184" s="792"/>
      <c r="AJ184" s="792"/>
      <c r="AK184" s="792"/>
      <c r="AL184" s="792"/>
      <c r="AM184" s="792"/>
      <c r="AN184" s="792"/>
      <c r="AO184" s="792"/>
      <c r="AP184" s="792"/>
      <c r="AQ184" s="792"/>
      <c r="AR184" s="792"/>
      <c r="AS184" s="792"/>
      <c r="AT184" s="792"/>
      <c r="AU184" s="792"/>
      <c r="AV184" s="792"/>
      <c r="AW184" s="792"/>
      <c r="AX184" s="792"/>
      <c r="AY184" s="792"/>
      <c r="AZ184" s="792"/>
      <c r="BA184" s="792"/>
      <c r="BB184" s="792"/>
      <c r="BC184" s="792"/>
      <c r="BD184" s="792"/>
      <c r="BE184" s="792"/>
      <c r="BF184" s="792"/>
      <c r="BG184" s="792"/>
      <c r="BH184" s="792"/>
      <c r="BI184" s="792"/>
      <c r="BJ184" s="792"/>
      <c r="BK184" s="792"/>
      <c r="BL184" s="792"/>
      <c r="BM184" s="792"/>
      <c r="BN184" s="792"/>
      <c r="BO184" s="792"/>
      <c r="BP184" s="792"/>
      <c r="BQ184" s="792"/>
      <c r="BR184" s="792"/>
      <c r="BS184" s="792"/>
      <c r="BT184" s="792"/>
      <c r="BU184" s="792"/>
      <c r="BV184" s="792"/>
      <c r="BW184" s="792"/>
      <c r="BX184" s="792"/>
      <c r="BY184" s="792"/>
      <c r="BZ184" s="792"/>
      <c r="CA184" s="792"/>
      <c r="CB184" s="792"/>
      <c r="CC184" s="792"/>
      <c r="CD184" s="792"/>
      <c r="CE184" s="792"/>
      <c r="CF184" s="792"/>
      <c r="CG184" s="792"/>
      <c r="CH184" s="792"/>
      <c r="CI184" s="792"/>
      <c r="CJ184" s="792"/>
      <c r="CK184" s="792"/>
      <c r="CL184" s="792"/>
      <c r="CM184" s="792"/>
      <c r="CN184" s="792"/>
      <c r="CO184" s="792"/>
      <c r="CP184" s="792"/>
      <c r="CQ184" s="792"/>
      <c r="CR184" s="792"/>
      <c r="CS184" s="792"/>
      <c r="CT184" s="792"/>
      <c r="CU184" s="792"/>
      <c r="CV184" s="792"/>
      <c r="CW184" s="792"/>
      <c r="CX184" s="792"/>
      <c r="CY184" s="792"/>
      <c r="CZ184" s="792"/>
      <c r="DA184" s="792"/>
      <c r="DB184" s="792"/>
      <c r="DC184" s="792"/>
    </row>
    <row r="185" spans="1:107" s="305" customFormat="1" ht="12" x14ac:dyDescent="0.2">
      <c r="A185" s="792"/>
      <c r="B185" s="865"/>
      <c r="C185" s="792"/>
      <c r="D185" s="792"/>
      <c r="E185" s="792"/>
      <c r="F185" s="792"/>
      <c r="G185" s="792"/>
      <c r="H185" s="792"/>
      <c r="I185" s="792"/>
      <c r="J185" s="792"/>
      <c r="K185" s="792"/>
      <c r="L185" s="792"/>
      <c r="M185" s="792"/>
      <c r="N185" s="792"/>
      <c r="O185" s="792"/>
      <c r="P185" s="792"/>
      <c r="Q185" s="792"/>
      <c r="R185" s="792"/>
      <c r="S185" s="792"/>
      <c r="T185" s="792"/>
      <c r="U185" s="792"/>
      <c r="V185" s="792"/>
      <c r="W185" s="792"/>
      <c r="X185" s="792"/>
      <c r="Y185" s="792"/>
      <c r="Z185" s="792"/>
      <c r="AA185" s="792"/>
      <c r="AB185" s="792"/>
      <c r="AC185" s="792"/>
      <c r="AD185" s="792"/>
      <c r="AE185" s="792"/>
      <c r="AF185" s="792"/>
      <c r="AG185" s="792"/>
      <c r="AH185" s="792"/>
      <c r="AI185" s="792"/>
      <c r="AJ185" s="792"/>
      <c r="AK185" s="792"/>
      <c r="AL185" s="792"/>
      <c r="AM185" s="792"/>
      <c r="AN185" s="792"/>
      <c r="AO185" s="792"/>
      <c r="AP185" s="792"/>
      <c r="AQ185" s="792"/>
      <c r="AR185" s="792"/>
      <c r="AS185" s="792"/>
      <c r="AT185" s="792"/>
      <c r="AU185" s="792"/>
      <c r="AV185" s="792"/>
      <c r="AW185" s="792"/>
      <c r="AX185" s="792"/>
      <c r="AY185" s="792"/>
      <c r="AZ185" s="792"/>
      <c r="BA185" s="792"/>
      <c r="BB185" s="792"/>
      <c r="BC185" s="792"/>
      <c r="BD185" s="792"/>
      <c r="BE185" s="792"/>
      <c r="BF185" s="792"/>
      <c r="BG185" s="792"/>
      <c r="BH185" s="792"/>
      <c r="BI185" s="792"/>
      <c r="BJ185" s="792"/>
      <c r="BK185" s="792"/>
      <c r="BL185" s="792"/>
      <c r="BM185" s="792"/>
      <c r="BN185" s="792"/>
      <c r="BO185" s="792"/>
      <c r="BP185" s="792"/>
      <c r="BQ185" s="792"/>
      <c r="BR185" s="792"/>
      <c r="BS185" s="792"/>
      <c r="BT185" s="792"/>
      <c r="BU185" s="792"/>
      <c r="BV185" s="792"/>
      <c r="BW185" s="792"/>
      <c r="BX185" s="792"/>
      <c r="BY185" s="792"/>
      <c r="BZ185" s="792"/>
      <c r="CA185" s="792"/>
      <c r="CB185" s="792"/>
      <c r="CC185" s="792"/>
      <c r="CD185" s="792"/>
      <c r="CE185" s="792"/>
      <c r="CF185" s="792"/>
      <c r="CG185" s="792"/>
      <c r="CH185" s="792"/>
      <c r="CI185" s="792"/>
      <c r="CJ185" s="792"/>
      <c r="CK185" s="792"/>
      <c r="CL185" s="792"/>
      <c r="CM185" s="792"/>
      <c r="CN185" s="792"/>
      <c r="CO185" s="792"/>
      <c r="CP185" s="792"/>
      <c r="CQ185" s="792"/>
      <c r="CR185" s="792"/>
      <c r="CS185" s="792"/>
      <c r="CT185" s="792"/>
      <c r="CU185" s="792"/>
      <c r="CV185" s="792"/>
      <c r="CW185" s="792"/>
      <c r="CX185" s="792"/>
      <c r="CY185" s="792"/>
      <c r="CZ185" s="792"/>
      <c r="DA185" s="792"/>
      <c r="DB185" s="792"/>
      <c r="DC185" s="792"/>
    </row>
    <row r="186" spans="1:107" s="305" customFormat="1" ht="12" x14ac:dyDescent="0.2">
      <c r="A186" s="792"/>
      <c r="B186" s="865"/>
      <c r="C186" s="792"/>
      <c r="D186" s="792"/>
      <c r="E186" s="792"/>
      <c r="F186" s="792"/>
      <c r="G186" s="792"/>
      <c r="H186" s="792"/>
      <c r="I186" s="792"/>
      <c r="J186" s="792"/>
      <c r="K186" s="792"/>
      <c r="L186" s="792"/>
      <c r="M186" s="792"/>
      <c r="N186" s="792"/>
      <c r="O186" s="792"/>
      <c r="P186" s="792"/>
      <c r="Q186" s="792"/>
      <c r="R186" s="792"/>
      <c r="S186" s="792"/>
      <c r="T186" s="792"/>
      <c r="U186" s="792"/>
      <c r="V186" s="792"/>
      <c r="W186" s="792"/>
      <c r="X186" s="792"/>
      <c r="Y186" s="792"/>
      <c r="Z186" s="792"/>
      <c r="AA186" s="792"/>
      <c r="AB186" s="792"/>
      <c r="AC186" s="792"/>
      <c r="AD186" s="792"/>
      <c r="AE186" s="792"/>
      <c r="AF186" s="792"/>
      <c r="AG186" s="792"/>
      <c r="AH186" s="792"/>
      <c r="AI186" s="792"/>
      <c r="AJ186" s="792"/>
      <c r="AK186" s="792"/>
      <c r="AL186" s="792"/>
      <c r="AM186" s="792"/>
      <c r="AN186" s="792"/>
      <c r="AO186" s="792"/>
      <c r="AP186" s="792"/>
      <c r="AQ186" s="792"/>
      <c r="AR186" s="792"/>
      <c r="AS186" s="792"/>
      <c r="AT186" s="792"/>
      <c r="AU186" s="792"/>
      <c r="AV186" s="792"/>
      <c r="AW186" s="792"/>
      <c r="AX186" s="792"/>
      <c r="AY186" s="792"/>
      <c r="AZ186" s="792"/>
      <c r="BA186" s="792"/>
      <c r="BB186" s="792"/>
      <c r="BC186" s="792"/>
      <c r="BD186" s="792"/>
      <c r="BE186" s="792"/>
      <c r="BF186" s="792"/>
      <c r="BG186" s="792"/>
      <c r="BH186" s="792"/>
      <c r="BI186" s="792"/>
      <c r="BJ186" s="792"/>
      <c r="BK186" s="792"/>
      <c r="BL186" s="792"/>
      <c r="BM186" s="792"/>
      <c r="BN186" s="792"/>
      <c r="BO186" s="792"/>
      <c r="BP186" s="792"/>
      <c r="BQ186" s="792"/>
      <c r="BR186" s="792"/>
      <c r="BS186" s="792"/>
      <c r="BT186" s="792"/>
      <c r="BU186" s="792"/>
      <c r="BV186" s="792"/>
      <c r="BW186" s="792"/>
      <c r="BX186" s="792"/>
      <c r="BY186" s="792"/>
      <c r="BZ186" s="792"/>
      <c r="CA186" s="792"/>
      <c r="CB186" s="792"/>
      <c r="CC186" s="792"/>
      <c r="CD186" s="792"/>
      <c r="CE186" s="792"/>
      <c r="CF186" s="792"/>
      <c r="CG186" s="792"/>
      <c r="CH186" s="792"/>
      <c r="CI186" s="792"/>
      <c r="CJ186" s="792"/>
      <c r="CK186" s="792"/>
      <c r="CL186" s="792"/>
      <c r="CM186" s="792"/>
      <c r="CN186" s="792"/>
      <c r="CO186" s="792"/>
      <c r="CP186" s="792"/>
      <c r="CQ186" s="792"/>
      <c r="CR186" s="792"/>
      <c r="CS186" s="792"/>
      <c r="CT186" s="792"/>
      <c r="CU186" s="792"/>
      <c r="CV186" s="792"/>
      <c r="CW186" s="792"/>
      <c r="CX186" s="792"/>
      <c r="CY186" s="792"/>
      <c r="CZ186" s="792"/>
      <c r="DA186" s="792"/>
      <c r="DB186" s="792"/>
      <c r="DC186" s="792"/>
    </row>
    <row r="187" spans="1:107" x14ac:dyDescent="0.25">
      <c r="B187" s="502"/>
      <c r="C187" s="502"/>
      <c r="D187" s="502"/>
      <c r="E187" s="502"/>
      <c r="F187" s="502"/>
      <c r="G187" s="502"/>
      <c r="H187" s="502"/>
    </row>
    <row r="188" spans="1:107" s="339" customFormat="1" x14ac:dyDescent="0.25">
      <c r="A188" s="502"/>
      <c r="B188" s="502"/>
      <c r="C188" s="502"/>
      <c r="D188" s="502"/>
      <c r="E188" s="502"/>
      <c r="F188" s="502"/>
      <c r="G188" s="502"/>
      <c r="H188" s="502"/>
      <c r="I188" s="502"/>
      <c r="J188" s="502"/>
      <c r="K188" s="502"/>
      <c r="L188" s="502"/>
      <c r="M188" s="502"/>
      <c r="N188" s="502"/>
      <c r="O188" s="502"/>
      <c r="P188" s="502"/>
      <c r="Q188" s="502"/>
      <c r="R188" s="502"/>
      <c r="S188" s="502"/>
      <c r="T188" s="502"/>
      <c r="U188" s="502"/>
      <c r="V188" s="502"/>
      <c r="W188" s="502"/>
      <c r="X188" s="502"/>
      <c r="Y188" s="502"/>
      <c r="Z188" s="502"/>
      <c r="AA188" s="502"/>
      <c r="AB188" s="502"/>
      <c r="AC188" s="502"/>
      <c r="AD188" s="502"/>
      <c r="AE188" s="502"/>
      <c r="AF188" s="502"/>
      <c r="AG188" s="502"/>
      <c r="AH188" s="502"/>
      <c r="AI188" s="502"/>
      <c r="AJ188" s="502"/>
      <c r="AK188" s="502"/>
      <c r="AL188" s="502"/>
      <c r="AM188" s="502"/>
      <c r="AN188" s="502"/>
      <c r="AO188" s="502"/>
      <c r="AP188" s="502"/>
      <c r="AQ188" s="502"/>
      <c r="AR188" s="502"/>
      <c r="AS188" s="502"/>
      <c r="AT188" s="502"/>
      <c r="AU188" s="502"/>
      <c r="AV188" s="502"/>
      <c r="AW188" s="502"/>
      <c r="AX188" s="502"/>
      <c r="AY188" s="502"/>
      <c r="AZ188" s="502"/>
      <c r="BA188" s="502"/>
      <c r="BB188" s="502"/>
      <c r="BC188" s="502"/>
      <c r="BD188" s="502"/>
      <c r="BE188" s="502"/>
      <c r="BF188" s="502"/>
      <c r="BG188" s="502"/>
      <c r="BH188" s="502"/>
      <c r="BI188" s="502"/>
      <c r="BJ188" s="502"/>
      <c r="BK188" s="502"/>
      <c r="BL188" s="502"/>
      <c r="BM188" s="502"/>
      <c r="BN188" s="502"/>
      <c r="BO188" s="502"/>
      <c r="BP188" s="502"/>
      <c r="BQ188" s="502"/>
      <c r="BR188" s="502"/>
      <c r="BS188" s="502"/>
      <c r="BT188" s="502"/>
      <c r="BU188" s="502"/>
      <c r="BV188" s="502"/>
      <c r="BW188" s="502"/>
      <c r="BX188" s="502"/>
      <c r="BY188" s="502"/>
      <c r="BZ188" s="502"/>
      <c r="CA188" s="502"/>
      <c r="CB188" s="502"/>
      <c r="CC188" s="502"/>
      <c r="CD188" s="502"/>
      <c r="CE188" s="502"/>
      <c r="CF188" s="502"/>
      <c r="CG188" s="502"/>
      <c r="CH188" s="502"/>
      <c r="CI188" s="502"/>
      <c r="CJ188" s="502"/>
      <c r="CK188" s="502"/>
      <c r="CL188" s="502"/>
      <c r="CM188" s="502"/>
      <c r="CN188" s="502"/>
      <c r="CO188" s="502"/>
      <c r="CP188" s="502"/>
      <c r="CQ188" s="502"/>
      <c r="CR188" s="502"/>
      <c r="CS188" s="502"/>
      <c r="CT188" s="502"/>
      <c r="CU188" s="502"/>
      <c r="CV188" s="502"/>
      <c r="CW188" s="502"/>
      <c r="CX188" s="502"/>
      <c r="CY188" s="502"/>
      <c r="CZ188" s="502"/>
      <c r="DA188" s="502"/>
      <c r="DB188" s="502"/>
      <c r="DC188" s="502"/>
    </row>
    <row r="189" spans="1:107" s="339" customFormat="1" x14ac:dyDescent="0.25">
      <c r="A189" s="502"/>
      <c r="B189" s="502"/>
      <c r="C189" s="502"/>
      <c r="D189" s="502"/>
      <c r="E189" s="502"/>
      <c r="F189" s="502"/>
      <c r="G189" s="502"/>
      <c r="H189" s="502"/>
      <c r="I189" s="502"/>
      <c r="J189" s="502"/>
      <c r="K189" s="502"/>
      <c r="L189" s="502"/>
      <c r="M189" s="502"/>
      <c r="N189" s="502"/>
      <c r="O189" s="502"/>
      <c r="P189" s="502"/>
      <c r="Q189" s="502"/>
      <c r="R189" s="502"/>
      <c r="S189" s="502"/>
      <c r="T189" s="502"/>
      <c r="U189" s="502"/>
      <c r="V189" s="502"/>
      <c r="W189" s="502"/>
      <c r="X189" s="502"/>
      <c r="Y189" s="502"/>
      <c r="Z189" s="502"/>
      <c r="AA189" s="502"/>
      <c r="AB189" s="502"/>
      <c r="AC189" s="502"/>
      <c r="AD189" s="502"/>
      <c r="AE189" s="502"/>
      <c r="AF189" s="502"/>
      <c r="AG189" s="502"/>
      <c r="AH189" s="502"/>
      <c r="AI189" s="502"/>
      <c r="AJ189" s="502"/>
      <c r="AK189" s="502"/>
      <c r="AL189" s="502"/>
      <c r="AM189" s="502"/>
      <c r="AN189" s="502"/>
      <c r="AO189" s="502"/>
      <c r="AP189" s="502"/>
      <c r="AQ189" s="502"/>
      <c r="AR189" s="502"/>
      <c r="AS189" s="502"/>
      <c r="AT189" s="502"/>
      <c r="AU189" s="502"/>
      <c r="AV189" s="502"/>
      <c r="AW189" s="502"/>
      <c r="AX189" s="502"/>
      <c r="AY189" s="502"/>
      <c r="AZ189" s="502"/>
      <c r="BA189" s="502"/>
      <c r="BB189" s="502"/>
      <c r="BC189" s="502"/>
      <c r="BD189" s="502"/>
      <c r="BE189" s="502"/>
      <c r="BF189" s="502"/>
      <c r="BG189" s="502"/>
      <c r="BH189" s="502"/>
      <c r="BI189" s="502"/>
      <c r="BJ189" s="502"/>
      <c r="BK189" s="502"/>
      <c r="BL189" s="502"/>
      <c r="BM189" s="502"/>
      <c r="BN189" s="502"/>
      <c r="BO189" s="502"/>
      <c r="BP189" s="502"/>
      <c r="BQ189" s="502"/>
      <c r="BR189" s="502"/>
      <c r="BS189" s="502"/>
      <c r="BT189" s="502"/>
      <c r="BU189" s="502"/>
      <c r="BV189" s="502"/>
      <c r="BW189" s="502"/>
      <c r="BX189" s="502"/>
      <c r="BY189" s="502"/>
      <c r="BZ189" s="502"/>
      <c r="CA189" s="502"/>
      <c r="CB189" s="502"/>
      <c r="CC189" s="502"/>
      <c r="CD189" s="502"/>
      <c r="CE189" s="502"/>
      <c r="CF189" s="502"/>
      <c r="CG189" s="502"/>
      <c r="CH189" s="502"/>
      <c r="CI189" s="502"/>
      <c r="CJ189" s="502"/>
      <c r="CK189" s="502"/>
      <c r="CL189" s="502"/>
      <c r="CM189" s="502"/>
      <c r="CN189" s="502"/>
      <c r="CO189" s="502"/>
      <c r="CP189" s="502"/>
      <c r="CQ189" s="502"/>
      <c r="CR189" s="502"/>
      <c r="CS189" s="502"/>
      <c r="CT189" s="502"/>
      <c r="CU189" s="502"/>
      <c r="CV189" s="502"/>
      <c r="CW189" s="502"/>
      <c r="CX189" s="502"/>
      <c r="CY189" s="502"/>
      <c r="CZ189" s="502"/>
      <c r="DA189" s="502"/>
      <c r="DB189" s="502"/>
      <c r="DC189" s="502"/>
    </row>
    <row r="190" spans="1:107" s="339" customFormat="1" x14ac:dyDescent="0.25">
      <c r="A190" s="502"/>
      <c r="B190" s="502"/>
      <c r="C190" s="502"/>
      <c r="D190" s="502"/>
      <c r="E190" s="502"/>
      <c r="F190" s="502"/>
      <c r="G190" s="502"/>
      <c r="H190" s="502"/>
      <c r="I190" s="502"/>
      <c r="J190" s="502"/>
      <c r="K190" s="502"/>
      <c r="L190" s="502"/>
      <c r="M190" s="502"/>
      <c r="N190" s="502"/>
      <c r="O190" s="502"/>
      <c r="P190" s="502"/>
      <c r="Q190" s="502"/>
      <c r="R190" s="502"/>
      <c r="S190" s="502"/>
      <c r="T190" s="502"/>
      <c r="U190" s="502"/>
      <c r="V190" s="502"/>
      <c r="W190" s="502"/>
      <c r="X190" s="502"/>
      <c r="Y190" s="502"/>
      <c r="Z190" s="502"/>
      <c r="AA190" s="502"/>
      <c r="AB190" s="502"/>
      <c r="AC190" s="502"/>
      <c r="AD190" s="502"/>
      <c r="AE190" s="502"/>
      <c r="AF190" s="502"/>
      <c r="AG190" s="502"/>
      <c r="AH190" s="502"/>
      <c r="AI190" s="502"/>
      <c r="AJ190" s="502"/>
      <c r="AK190" s="502"/>
      <c r="AL190" s="502"/>
      <c r="AM190" s="502"/>
      <c r="AN190" s="502"/>
      <c r="AO190" s="502"/>
      <c r="AP190" s="502"/>
      <c r="AQ190" s="502"/>
      <c r="AR190" s="502"/>
      <c r="AS190" s="502"/>
      <c r="AT190" s="502"/>
      <c r="AU190" s="502"/>
      <c r="AV190" s="502"/>
      <c r="AW190" s="502"/>
      <c r="AX190" s="502"/>
      <c r="AY190" s="502"/>
      <c r="AZ190" s="502"/>
      <c r="BA190" s="502"/>
      <c r="BB190" s="502"/>
      <c r="BC190" s="502"/>
      <c r="BD190" s="502"/>
      <c r="BE190" s="502"/>
      <c r="BF190" s="502"/>
      <c r="BG190" s="502"/>
      <c r="BH190" s="502"/>
      <c r="BI190" s="502"/>
      <c r="BJ190" s="502"/>
      <c r="BK190" s="502"/>
      <c r="BL190" s="502"/>
      <c r="BM190" s="502"/>
      <c r="BN190" s="502"/>
      <c r="BO190" s="502"/>
      <c r="BP190" s="502"/>
      <c r="BQ190" s="502"/>
      <c r="BR190" s="502"/>
      <c r="BS190" s="502"/>
      <c r="BT190" s="502"/>
      <c r="BU190" s="502"/>
      <c r="BV190" s="502"/>
      <c r="BW190" s="502"/>
      <c r="BX190" s="502"/>
      <c r="BY190" s="502"/>
      <c r="BZ190" s="502"/>
      <c r="CA190" s="502"/>
      <c r="CB190" s="502"/>
      <c r="CC190" s="502"/>
      <c r="CD190" s="502"/>
      <c r="CE190" s="502"/>
      <c r="CF190" s="502"/>
      <c r="CG190" s="502"/>
      <c r="CH190" s="502"/>
      <c r="CI190" s="502"/>
      <c r="CJ190" s="502"/>
      <c r="CK190" s="502"/>
      <c r="CL190" s="502"/>
      <c r="CM190" s="502"/>
      <c r="CN190" s="502"/>
      <c r="CO190" s="502"/>
      <c r="CP190" s="502"/>
      <c r="CQ190" s="502"/>
      <c r="CR190" s="502"/>
      <c r="CS190" s="502"/>
      <c r="CT190" s="502"/>
      <c r="CU190" s="502"/>
      <c r="CV190" s="502"/>
      <c r="CW190" s="502"/>
      <c r="CX190" s="502"/>
      <c r="CY190" s="502"/>
      <c r="CZ190" s="502"/>
      <c r="DA190" s="502"/>
      <c r="DB190" s="502"/>
      <c r="DC190" s="502"/>
    </row>
    <row r="191" spans="1:107" s="339" customFormat="1" x14ac:dyDescent="0.25">
      <c r="A191" s="502"/>
      <c r="B191" s="502"/>
      <c r="C191" s="502"/>
      <c r="D191" s="502"/>
      <c r="E191" s="502"/>
      <c r="F191" s="502"/>
      <c r="G191" s="502"/>
      <c r="H191" s="502"/>
      <c r="I191" s="502"/>
      <c r="J191" s="502"/>
      <c r="K191" s="502"/>
      <c r="L191" s="502"/>
      <c r="M191" s="502"/>
      <c r="N191" s="502"/>
      <c r="O191" s="502"/>
      <c r="P191" s="502"/>
      <c r="Q191" s="502"/>
      <c r="R191" s="502"/>
      <c r="S191" s="502"/>
      <c r="T191" s="502"/>
      <c r="U191" s="502"/>
      <c r="V191" s="502"/>
      <c r="W191" s="502"/>
      <c r="X191" s="502"/>
      <c r="Y191" s="502"/>
      <c r="Z191" s="502"/>
      <c r="AA191" s="502"/>
      <c r="AB191" s="502"/>
      <c r="AC191" s="502"/>
      <c r="AD191" s="502"/>
      <c r="AE191" s="502"/>
      <c r="AF191" s="502"/>
      <c r="AG191" s="502"/>
      <c r="AH191" s="502"/>
      <c r="AI191" s="502"/>
      <c r="AJ191" s="502"/>
      <c r="AK191" s="502"/>
      <c r="AL191" s="502"/>
      <c r="AM191" s="502"/>
      <c r="AN191" s="502"/>
      <c r="AO191" s="502"/>
      <c r="AP191" s="502"/>
      <c r="AQ191" s="502"/>
      <c r="AR191" s="502"/>
      <c r="AS191" s="502"/>
      <c r="AT191" s="502"/>
      <c r="AU191" s="502"/>
      <c r="AV191" s="502"/>
      <c r="AW191" s="502"/>
      <c r="AX191" s="502"/>
      <c r="AY191" s="502"/>
      <c r="AZ191" s="502"/>
      <c r="BA191" s="502"/>
      <c r="BB191" s="502"/>
      <c r="BC191" s="502"/>
      <c r="BD191" s="502"/>
      <c r="BE191" s="502"/>
      <c r="BF191" s="502"/>
      <c r="BG191" s="502"/>
      <c r="BH191" s="502"/>
      <c r="BI191" s="502"/>
      <c r="BJ191" s="502"/>
      <c r="BK191" s="502"/>
      <c r="BL191" s="502"/>
      <c r="BM191" s="502"/>
      <c r="BN191" s="502"/>
      <c r="BO191" s="502"/>
      <c r="BP191" s="502"/>
      <c r="BQ191" s="502"/>
      <c r="BR191" s="502"/>
      <c r="BS191" s="502"/>
      <c r="BT191" s="502"/>
      <c r="BU191" s="502"/>
      <c r="BV191" s="502"/>
      <c r="BW191" s="502"/>
      <c r="BX191" s="502"/>
      <c r="BY191" s="502"/>
      <c r="BZ191" s="502"/>
      <c r="CA191" s="502"/>
      <c r="CB191" s="502"/>
      <c r="CC191" s="502"/>
      <c r="CD191" s="502"/>
      <c r="CE191" s="502"/>
      <c r="CF191" s="502"/>
      <c r="CG191" s="502"/>
      <c r="CH191" s="502"/>
      <c r="CI191" s="502"/>
      <c r="CJ191" s="502"/>
      <c r="CK191" s="502"/>
      <c r="CL191" s="502"/>
      <c r="CM191" s="502"/>
      <c r="CN191" s="502"/>
      <c r="CO191" s="502"/>
      <c r="CP191" s="502"/>
      <c r="CQ191" s="502"/>
      <c r="CR191" s="502"/>
      <c r="CS191" s="502"/>
      <c r="CT191" s="502"/>
      <c r="CU191" s="502"/>
      <c r="CV191" s="502"/>
      <c r="CW191" s="502"/>
      <c r="CX191" s="502"/>
      <c r="CY191" s="502"/>
      <c r="CZ191" s="502"/>
      <c r="DA191" s="502"/>
      <c r="DB191" s="502"/>
      <c r="DC191" s="502"/>
    </row>
    <row r="192" spans="1:107" s="339" customFormat="1" x14ac:dyDescent="0.25">
      <c r="A192" s="502"/>
      <c r="B192" s="502"/>
      <c r="C192" s="502"/>
      <c r="D192" s="502"/>
      <c r="E192" s="502"/>
      <c r="F192" s="502"/>
      <c r="G192" s="502"/>
      <c r="H192" s="502"/>
      <c r="I192" s="502"/>
      <c r="J192" s="502"/>
      <c r="K192" s="502"/>
      <c r="L192" s="502"/>
      <c r="M192" s="502"/>
      <c r="N192" s="502"/>
      <c r="O192" s="502"/>
      <c r="P192" s="502"/>
      <c r="Q192" s="502"/>
      <c r="R192" s="502"/>
      <c r="S192" s="502"/>
      <c r="T192" s="502"/>
      <c r="U192" s="502"/>
      <c r="V192" s="502"/>
      <c r="W192" s="502"/>
      <c r="X192" s="502"/>
      <c r="Y192" s="502"/>
      <c r="Z192" s="502"/>
      <c r="AA192" s="502"/>
      <c r="AB192" s="502"/>
      <c r="AC192" s="502"/>
      <c r="AD192" s="502"/>
      <c r="AE192" s="502"/>
      <c r="AF192" s="502"/>
      <c r="AG192" s="502"/>
      <c r="AH192" s="502"/>
      <c r="AI192" s="502"/>
      <c r="AJ192" s="502"/>
      <c r="AK192" s="502"/>
      <c r="AL192" s="502"/>
      <c r="AM192" s="502"/>
      <c r="AN192" s="502"/>
      <c r="AO192" s="502"/>
      <c r="AP192" s="502"/>
      <c r="AQ192" s="502"/>
      <c r="AR192" s="502"/>
      <c r="AS192" s="502"/>
      <c r="AT192" s="502"/>
      <c r="AU192" s="502"/>
      <c r="AV192" s="502"/>
      <c r="AW192" s="502"/>
      <c r="AX192" s="502"/>
      <c r="AY192" s="502"/>
      <c r="AZ192" s="502"/>
      <c r="BA192" s="502"/>
      <c r="BB192" s="502"/>
      <c r="BC192" s="502"/>
      <c r="BD192" s="502"/>
      <c r="BE192" s="502"/>
      <c r="BF192" s="502"/>
      <c r="BG192" s="502"/>
      <c r="BH192" s="502"/>
      <c r="BI192" s="502"/>
      <c r="BJ192" s="502"/>
      <c r="BK192" s="502"/>
      <c r="BL192" s="502"/>
      <c r="BM192" s="502"/>
      <c r="BN192" s="502"/>
      <c r="BO192" s="502"/>
      <c r="BP192" s="502"/>
      <c r="BQ192" s="502"/>
      <c r="BR192" s="502"/>
      <c r="BS192" s="502"/>
      <c r="BT192" s="502"/>
      <c r="BU192" s="502"/>
      <c r="BV192" s="502"/>
      <c r="BW192" s="502"/>
      <c r="BX192" s="502"/>
      <c r="BY192" s="502"/>
      <c r="BZ192" s="502"/>
      <c r="CA192" s="502"/>
      <c r="CB192" s="502"/>
      <c r="CC192" s="502"/>
      <c r="CD192" s="502"/>
      <c r="CE192" s="502"/>
      <c r="CF192" s="502"/>
      <c r="CG192" s="502"/>
      <c r="CH192" s="502"/>
      <c r="CI192" s="502"/>
      <c r="CJ192" s="502"/>
      <c r="CK192" s="502"/>
      <c r="CL192" s="502"/>
      <c r="CM192" s="502"/>
      <c r="CN192" s="502"/>
      <c r="CO192" s="502"/>
      <c r="CP192" s="502"/>
      <c r="CQ192" s="502"/>
      <c r="CR192" s="502"/>
      <c r="CS192" s="502"/>
      <c r="CT192" s="502"/>
      <c r="CU192" s="502"/>
      <c r="CV192" s="502"/>
      <c r="CW192" s="502"/>
      <c r="CX192" s="502"/>
      <c r="CY192" s="502"/>
      <c r="CZ192" s="502"/>
      <c r="DA192" s="502"/>
      <c r="DB192" s="502"/>
      <c r="DC192" s="502"/>
    </row>
    <row r="193" spans="1:107" s="339" customFormat="1" x14ac:dyDescent="0.25">
      <c r="A193" s="502"/>
      <c r="B193" s="502"/>
      <c r="C193" s="502"/>
      <c r="D193" s="502"/>
      <c r="E193" s="502"/>
      <c r="F193" s="502"/>
      <c r="G193" s="502"/>
      <c r="H193" s="502"/>
      <c r="I193" s="502"/>
      <c r="J193" s="502"/>
      <c r="K193" s="502"/>
      <c r="L193" s="502"/>
      <c r="M193" s="502"/>
      <c r="N193" s="502"/>
      <c r="O193" s="502"/>
      <c r="P193" s="502"/>
      <c r="Q193" s="502"/>
      <c r="R193" s="502"/>
      <c r="S193" s="502"/>
      <c r="T193" s="502"/>
      <c r="U193" s="502"/>
      <c r="V193" s="502"/>
      <c r="W193" s="502"/>
      <c r="X193" s="502"/>
      <c r="Y193" s="502"/>
      <c r="Z193" s="502"/>
      <c r="AA193" s="502"/>
      <c r="AB193" s="502"/>
      <c r="AC193" s="502"/>
      <c r="AD193" s="502"/>
      <c r="AE193" s="502"/>
      <c r="AF193" s="502"/>
      <c r="AG193" s="502"/>
      <c r="AH193" s="502"/>
      <c r="AI193" s="502"/>
      <c r="AJ193" s="502"/>
      <c r="AK193" s="502"/>
      <c r="AL193" s="502"/>
      <c r="AM193" s="502"/>
      <c r="AN193" s="502"/>
      <c r="AO193" s="502"/>
      <c r="AP193" s="502"/>
      <c r="AQ193" s="502"/>
      <c r="AR193" s="502"/>
      <c r="AS193" s="502"/>
      <c r="AT193" s="502"/>
      <c r="AU193" s="502"/>
      <c r="AV193" s="502"/>
      <c r="AW193" s="502"/>
      <c r="AX193" s="502"/>
      <c r="AY193" s="502"/>
      <c r="AZ193" s="502"/>
      <c r="BA193" s="502"/>
      <c r="BB193" s="502"/>
      <c r="BC193" s="502"/>
      <c r="BD193" s="502"/>
      <c r="BE193" s="502"/>
      <c r="BF193" s="502"/>
      <c r="BG193" s="502"/>
      <c r="BH193" s="502"/>
      <c r="BI193" s="502"/>
      <c r="BJ193" s="502"/>
      <c r="BK193" s="502"/>
      <c r="BL193" s="502"/>
      <c r="BM193" s="502"/>
      <c r="BN193" s="502"/>
      <c r="BO193" s="502"/>
      <c r="BP193" s="502"/>
      <c r="BQ193" s="502"/>
      <c r="BR193" s="502"/>
      <c r="BS193" s="502"/>
      <c r="BT193" s="502"/>
      <c r="BU193" s="502"/>
      <c r="BV193" s="502"/>
      <c r="BW193" s="502"/>
      <c r="BX193" s="502"/>
      <c r="BY193" s="502"/>
      <c r="BZ193" s="502"/>
      <c r="CA193" s="502"/>
      <c r="CB193" s="502"/>
      <c r="CC193" s="502"/>
      <c r="CD193" s="502"/>
      <c r="CE193" s="502"/>
      <c r="CF193" s="502"/>
      <c r="CG193" s="502"/>
      <c r="CH193" s="502"/>
      <c r="CI193" s="502"/>
      <c r="CJ193" s="502"/>
      <c r="CK193" s="502"/>
      <c r="CL193" s="502"/>
      <c r="CM193" s="502"/>
      <c r="CN193" s="502"/>
      <c r="CO193" s="502"/>
      <c r="CP193" s="502"/>
      <c r="CQ193" s="502"/>
      <c r="CR193" s="502"/>
      <c r="CS193" s="502"/>
      <c r="CT193" s="502"/>
      <c r="CU193" s="502"/>
      <c r="CV193" s="502"/>
      <c r="CW193" s="502"/>
      <c r="CX193" s="502"/>
      <c r="CY193" s="502"/>
      <c r="CZ193" s="502"/>
      <c r="DA193" s="502"/>
      <c r="DB193" s="502"/>
      <c r="DC193" s="502"/>
    </row>
    <row r="194" spans="1:107" s="339" customFormat="1" x14ac:dyDescent="0.25">
      <c r="A194" s="502"/>
      <c r="B194" s="502"/>
      <c r="C194" s="502"/>
      <c r="D194" s="502"/>
      <c r="E194" s="502"/>
      <c r="F194" s="502"/>
      <c r="G194" s="502"/>
      <c r="H194" s="502"/>
      <c r="I194" s="502"/>
      <c r="J194" s="502"/>
      <c r="K194" s="502"/>
      <c r="L194" s="502"/>
      <c r="M194" s="502"/>
      <c r="N194" s="502"/>
      <c r="O194" s="502"/>
      <c r="P194" s="502"/>
      <c r="Q194" s="502"/>
      <c r="R194" s="502"/>
      <c r="S194" s="502"/>
      <c r="T194" s="502"/>
      <c r="U194" s="502"/>
      <c r="V194" s="502"/>
      <c r="W194" s="502"/>
      <c r="X194" s="502"/>
      <c r="Y194" s="502"/>
      <c r="Z194" s="502"/>
      <c r="AA194" s="502"/>
      <c r="AB194" s="502"/>
      <c r="AC194" s="502"/>
      <c r="AD194" s="502"/>
      <c r="AE194" s="502"/>
      <c r="AF194" s="502"/>
      <c r="AG194" s="502"/>
      <c r="AH194" s="502"/>
      <c r="AI194" s="502"/>
      <c r="AJ194" s="502"/>
      <c r="AK194" s="502"/>
      <c r="AL194" s="502"/>
      <c r="AM194" s="502"/>
      <c r="AN194" s="502"/>
      <c r="AO194" s="502"/>
      <c r="AP194" s="502"/>
      <c r="AQ194" s="502"/>
      <c r="AR194" s="502"/>
      <c r="AS194" s="502"/>
      <c r="AT194" s="502"/>
      <c r="AU194" s="502"/>
      <c r="AV194" s="502"/>
      <c r="AW194" s="502"/>
      <c r="AX194" s="502"/>
      <c r="AY194" s="502"/>
      <c r="AZ194" s="502"/>
      <c r="BA194" s="502"/>
      <c r="BB194" s="502"/>
      <c r="BC194" s="502"/>
      <c r="BD194" s="502"/>
      <c r="BE194" s="502"/>
      <c r="BF194" s="502"/>
      <c r="BG194" s="502"/>
      <c r="BH194" s="502"/>
      <c r="BI194" s="502"/>
      <c r="BJ194" s="502"/>
      <c r="BK194" s="502"/>
      <c r="BL194" s="502"/>
      <c r="BM194" s="502"/>
      <c r="BN194" s="502"/>
      <c r="BO194" s="502"/>
      <c r="BP194" s="502"/>
      <c r="BQ194" s="502"/>
      <c r="BR194" s="502"/>
      <c r="BS194" s="502"/>
      <c r="BT194" s="502"/>
      <c r="BU194" s="502"/>
      <c r="BV194" s="502"/>
      <c r="BW194" s="502"/>
      <c r="BX194" s="502"/>
      <c r="BY194" s="502"/>
      <c r="BZ194" s="502"/>
      <c r="CA194" s="502"/>
      <c r="CB194" s="502"/>
      <c r="CC194" s="502"/>
      <c r="CD194" s="502"/>
      <c r="CE194" s="502"/>
      <c r="CF194" s="502"/>
      <c r="CG194" s="502"/>
      <c r="CH194" s="502"/>
      <c r="CI194" s="502"/>
      <c r="CJ194" s="502"/>
      <c r="CK194" s="502"/>
      <c r="CL194" s="502"/>
      <c r="CM194" s="502"/>
      <c r="CN194" s="502"/>
      <c r="CO194" s="502"/>
      <c r="CP194" s="502"/>
      <c r="CQ194" s="502"/>
      <c r="CR194" s="502"/>
      <c r="CS194" s="502"/>
      <c r="CT194" s="502"/>
      <c r="CU194" s="502"/>
      <c r="CV194" s="502"/>
      <c r="CW194" s="502"/>
      <c r="CX194" s="502"/>
      <c r="CY194" s="502"/>
      <c r="CZ194" s="502"/>
      <c r="DA194" s="502"/>
      <c r="DB194" s="502"/>
      <c r="DC194" s="502"/>
    </row>
    <row r="195" spans="1:107" s="339" customFormat="1" x14ac:dyDescent="0.25">
      <c r="A195" s="502"/>
      <c r="B195" s="502"/>
      <c r="C195" s="502"/>
      <c r="D195" s="502"/>
      <c r="E195" s="502"/>
      <c r="F195" s="502"/>
      <c r="G195" s="502"/>
      <c r="H195" s="502"/>
      <c r="I195" s="502"/>
      <c r="J195" s="502"/>
      <c r="K195" s="502"/>
      <c r="L195" s="502"/>
      <c r="M195" s="502"/>
      <c r="N195" s="502"/>
      <c r="O195" s="502"/>
      <c r="P195" s="502"/>
      <c r="Q195" s="502"/>
      <c r="R195" s="502"/>
      <c r="S195" s="502"/>
      <c r="T195" s="502"/>
      <c r="U195" s="502"/>
      <c r="V195" s="502"/>
      <c r="W195" s="502"/>
      <c r="X195" s="502"/>
      <c r="Y195" s="502"/>
      <c r="Z195" s="502"/>
      <c r="AA195" s="502"/>
      <c r="AB195" s="502"/>
      <c r="AC195" s="502"/>
      <c r="AD195" s="502"/>
      <c r="AE195" s="502"/>
      <c r="AF195" s="502"/>
      <c r="AG195" s="502"/>
      <c r="AH195" s="502"/>
      <c r="AI195" s="502"/>
      <c r="AJ195" s="502"/>
      <c r="AK195" s="502"/>
      <c r="AL195" s="502"/>
      <c r="AM195" s="502"/>
      <c r="AN195" s="502"/>
      <c r="AO195" s="502"/>
      <c r="AP195" s="502"/>
      <c r="AQ195" s="502"/>
      <c r="AR195" s="502"/>
      <c r="AS195" s="502"/>
      <c r="AT195" s="502"/>
      <c r="AU195" s="502"/>
      <c r="AV195" s="502"/>
      <c r="AW195" s="502"/>
      <c r="AX195" s="502"/>
      <c r="AY195" s="502"/>
      <c r="AZ195" s="502"/>
      <c r="BA195" s="502"/>
      <c r="BB195" s="502"/>
      <c r="BC195" s="502"/>
      <c r="BD195" s="502"/>
      <c r="BE195" s="502"/>
      <c r="BF195" s="502"/>
      <c r="BG195" s="502"/>
      <c r="BH195" s="502"/>
      <c r="BI195" s="502"/>
      <c r="BJ195" s="502"/>
      <c r="BK195" s="502"/>
      <c r="BL195" s="502"/>
      <c r="BM195" s="502"/>
      <c r="BN195" s="502"/>
      <c r="BO195" s="502"/>
      <c r="BP195" s="502"/>
      <c r="BQ195" s="502"/>
      <c r="BR195" s="502"/>
      <c r="BS195" s="502"/>
      <c r="BT195" s="502"/>
      <c r="BU195" s="502"/>
      <c r="BV195" s="502"/>
      <c r="BW195" s="502"/>
      <c r="BX195" s="502"/>
      <c r="BY195" s="502"/>
      <c r="BZ195" s="502"/>
      <c r="CA195" s="502"/>
      <c r="CB195" s="502"/>
      <c r="CC195" s="502"/>
      <c r="CD195" s="502"/>
      <c r="CE195" s="502"/>
      <c r="CF195" s="502"/>
      <c r="CG195" s="502"/>
      <c r="CH195" s="502"/>
      <c r="CI195" s="502"/>
      <c r="CJ195" s="502"/>
      <c r="CK195" s="502"/>
      <c r="CL195" s="502"/>
      <c r="CM195" s="502"/>
      <c r="CN195" s="502"/>
      <c r="CO195" s="502"/>
      <c r="CP195" s="502"/>
      <c r="CQ195" s="502"/>
      <c r="CR195" s="502"/>
      <c r="CS195" s="502"/>
      <c r="CT195" s="502"/>
      <c r="CU195" s="502"/>
      <c r="CV195" s="502"/>
      <c r="CW195" s="502"/>
      <c r="CX195" s="502"/>
      <c r="CY195" s="502"/>
      <c r="CZ195" s="502"/>
      <c r="DA195" s="502"/>
      <c r="DB195" s="502"/>
      <c r="DC195" s="502"/>
    </row>
    <row r="196" spans="1:107" s="339" customFormat="1" x14ac:dyDescent="0.25">
      <c r="A196" s="502"/>
      <c r="B196" s="502"/>
      <c r="C196" s="502"/>
      <c r="D196" s="502"/>
      <c r="E196" s="502"/>
      <c r="F196" s="502"/>
      <c r="G196" s="502"/>
      <c r="H196" s="502"/>
      <c r="I196" s="502"/>
      <c r="J196" s="502"/>
      <c r="K196" s="502"/>
      <c r="L196" s="502"/>
      <c r="M196" s="502"/>
      <c r="N196" s="502"/>
      <c r="O196" s="502"/>
      <c r="P196" s="502"/>
      <c r="Q196" s="502"/>
      <c r="R196" s="502"/>
      <c r="S196" s="502"/>
      <c r="T196" s="502"/>
      <c r="U196" s="502"/>
      <c r="V196" s="502"/>
      <c r="W196" s="502"/>
      <c r="X196" s="502"/>
      <c r="Y196" s="502"/>
      <c r="Z196" s="502"/>
      <c r="AA196" s="502"/>
      <c r="AB196" s="502"/>
      <c r="AC196" s="502"/>
      <c r="AD196" s="502"/>
      <c r="AE196" s="502"/>
      <c r="AF196" s="502"/>
      <c r="AG196" s="502"/>
      <c r="AH196" s="502"/>
      <c r="AI196" s="502"/>
      <c r="AJ196" s="502"/>
      <c r="AK196" s="502"/>
      <c r="AL196" s="502"/>
      <c r="AM196" s="502"/>
      <c r="AN196" s="502"/>
      <c r="AO196" s="502"/>
      <c r="AP196" s="502"/>
      <c r="AQ196" s="502"/>
      <c r="AR196" s="502"/>
      <c r="AS196" s="502"/>
      <c r="AT196" s="502"/>
      <c r="AU196" s="502"/>
      <c r="AV196" s="502"/>
      <c r="AW196" s="502"/>
      <c r="AX196" s="502"/>
      <c r="AY196" s="502"/>
      <c r="AZ196" s="502"/>
      <c r="BA196" s="502"/>
      <c r="BB196" s="502"/>
      <c r="BC196" s="502"/>
      <c r="BD196" s="502"/>
      <c r="BE196" s="502"/>
      <c r="BF196" s="502"/>
      <c r="BG196" s="502"/>
      <c r="BH196" s="502"/>
      <c r="BI196" s="502"/>
      <c r="BJ196" s="502"/>
      <c r="BK196" s="502"/>
      <c r="BL196" s="502"/>
      <c r="BM196" s="502"/>
      <c r="BN196" s="502"/>
      <c r="BO196" s="502"/>
      <c r="BP196" s="502"/>
      <c r="BQ196" s="502"/>
      <c r="BR196" s="502"/>
      <c r="BS196" s="502"/>
      <c r="BT196" s="502"/>
      <c r="BU196" s="502"/>
      <c r="BV196" s="502"/>
      <c r="BW196" s="502"/>
      <c r="BX196" s="502"/>
      <c r="BY196" s="502"/>
      <c r="BZ196" s="502"/>
      <c r="CA196" s="502"/>
      <c r="CB196" s="502"/>
      <c r="CC196" s="502"/>
      <c r="CD196" s="502"/>
      <c r="CE196" s="502"/>
      <c r="CF196" s="502"/>
      <c r="CG196" s="502"/>
      <c r="CH196" s="502"/>
      <c r="CI196" s="502"/>
      <c r="CJ196" s="502"/>
      <c r="CK196" s="502"/>
      <c r="CL196" s="502"/>
      <c r="CM196" s="502"/>
      <c r="CN196" s="502"/>
      <c r="CO196" s="502"/>
      <c r="CP196" s="502"/>
      <c r="CQ196" s="502"/>
      <c r="CR196" s="502"/>
      <c r="CS196" s="502"/>
      <c r="CT196" s="502"/>
      <c r="CU196" s="502"/>
      <c r="CV196" s="502"/>
      <c r="CW196" s="502"/>
      <c r="CX196" s="502"/>
      <c r="CY196" s="502"/>
      <c r="CZ196" s="502"/>
      <c r="DA196" s="502"/>
      <c r="DB196" s="502"/>
      <c r="DC196" s="502"/>
    </row>
    <row r="197" spans="1:107" s="339" customFormat="1" x14ac:dyDescent="0.25">
      <c r="A197" s="502"/>
      <c r="B197" s="502"/>
      <c r="C197" s="502"/>
      <c r="D197" s="502"/>
      <c r="E197" s="502"/>
      <c r="F197" s="502"/>
      <c r="G197" s="502"/>
      <c r="H197" s="502"/>
      <c r="I197" s="502"/>
      <c r="J197" s="502"/>
      <c r="K197" s="502"/>
      <c r="L197" s="502"/>
      <c r="M197" s="502"/>
      <c r="N197" s="502"/>
      <c r="O197" s="502"/>
      <c r="P197" s="502"/>
      <c r="Q197" s="502"/>
      <c r="R197" s="502"/>
      <c r="S197" s="502"/>
      <c r="T197" s="502"/>
      <c r="U197" s="502"/>
      <c r="V197" s="502"/>
      <c r="W197" s="502"/>
      <c r="X197" s="502"/>
      <c r="Y197" s="502"/>
      <c r="Z197" s="502"/>
      <c r="AA197" s="502"/>
      <c r="AB197" s="502"/>
      <c r="AC197" s="502"/>
      <c r="AD197" s="502"/>
      <c r="AE197" s="502"/>
      <c r="AF197" s="502"/>
      <c r="AG197" s="502"/>
      <c r="AH197" s="502"/>
      <c r="AI197" s="502"/>
      <c r="AJ197" s="502"/>
      <c r="AK197" s="502"/>
      <c r="AL197" s="502"/>
      <c r="AM197" s="502"/>
      <c r="AN197" s="502"/>
      <c r="AO197" s="502"/>
      <c r="AP197" s="502"/>
      <c r="AQ197" s="502"/>
      <c r="AR197" s="502"/>
      <c r="AS197" s="502"/>
      <c r="AT197" s="502"/>
      <c r="AU197" s="502"/>
      <c r="AV197" s="502"/>
      <c r="AW197" s="502"/>
      <c r="AX197" s="502"/>
      <c r="AY197" s="502"/>
      <c r="AZ197" s="502"/>
      <c r="BA197" s="502"/>
      <c r="BB197" s="502"/>
      <c r="BC197" s="502"/>
      <c r="BD197" s="502"/>
      <c r="BE197" s="502"/>
      <c r="BF197" s="502"/>
      <c r="BG197" s="502"/>
      <c r="BH197" s="502"/>
      <c r="BI197" s="502"/>
      <c r="BJ197" s="502"/>
      <c r="BK197" s="502"/>
      <c r="BL197" s="502"/>
      <c r="BM197" s="502"/>
      <c r="BN197" s="502"/>
      <c r="BO197" s="502"/>
      <c r="BP197" s="502"/>
      <c r="BQ197" s="502"/>
      <c r="BR197" s="502"/>
      <c r="BS197" s="502"/>
      <c r="BT197" s="502"/>
      <c r="BU197" s="502"/>
      <c r="BV197" s="502"/>
      <c r="BW197" s="502"/>
      <c r="BX197" s="502"/>
      <c r="BY197" s="502"/>
      <c r="BZ197" s="502"/>
      <c r="CA197" s="502"/>
      <c r="CB197" s="502"/>
      <c r="CC197" s="502"/>
      <c r="CD197" s="502"/>
      <c r="CE197" s="502"/>
      <c r="CF197" s="502"/>
      <c r="CG197" s="502"/>
      <c r="CH197" s="502"/>
      <c r="CI197" s="502"/>
      <c r="CJ197" s="502"/>
      <c r="CK197" s="502"/>
      <c r="CL197" s="502"/>
      <c r="CM197" s="502"/>
      <c r="CN197" s="502"/>
      <c r="CO197" s="502"/>
      <c r="CP197" s="502"/>
      <c r="CQ197" s="502"/>
      <c r="CR197" s="502"/>
      <c r="CS197" s="502"/>
      <c r="CT197" s="502"/>
      <c r="CU197" s="502"/>
      <c r="CV197" s="502"/>
      <c r="CW197" s="502"/>
      <c r="CX197" s="502"/>
      <c r="CY197" s="502"/>
      <c r="CZ197" s="502"/>
      <c r="DA197" s="502"/>
      <c r="DB197" s="502"/>
      <c r="DC197" s="502"/>
    </row>
    <row r="198" spans="1:107" s="339" customFormat="1" x14ac:dyDescent="0.25">
      <c r="A198" s="502"/>
      <c r="B198" s="502"/>
      <c r="C198" s="502"/>
      <c r="D198" s="502"/>
      <c r="E198" s="502"/>
      <c r="F198" s="502"/>
      <c r="G198" s="502"/>
      <c r="H198" s="502"/>
      <c r="I198" s="502"/>
      <c r="J198" s="502"/>
      <c r="K198" s="502"/>
      <c r="L198" s="502"/>
      <c r="M198" s="502"/>
      <c r="N198" s="502"/>
      <c r="O198" s="502"/>
      <c r="P198" s="502"/>
      <c r="Q198" s="502"/>
      <c r="R198" s="502"/>
      <c r="S198" s="502"/>
      <c r="T198" s="502"/>
      <c r="U198" s="502"/>
      <c r="V198" s="502"/>
      <c r="W198" s="502"/>
      <c r="X198" s="502"/>
      <c r="Y198" s="502"/>
      <c r="Z198" s="502"/>
      <c r="AA198" s="502"/>
      <c r="AB198" s="502"/>
      <c r="AC198" s="502"/>
      <c r="AD198" s="502"/>
      <c r="AE198" s="502"/>
      <c r="AF198" s="502"/>
      <c r="AG198" s="502"/>
      <c r="AH198" s="502"/>
      <c r="AI198" s="502"/>
      <c r="AJ198" s="502"/>
      <c r="AK198" s="502"/>
      <c r="AL198" s="502"/>
      <c r="AM198" s="502"/>
      <c r="AN198" s="502"/>
      <c r="AO198" s="502"/>
      <c r="AP198" s="502"/>
      <c r="AQ198" s="502"/>
      <c r="AR198" s="502"/>
      <c r="AS198" s="502"/>
      <c r="AT198" s="502"/>
      <c r="AU198" s="502"/>
      <c r="AV198" s="502"/>
      <c r="AW198" s="502"/>
      <c r="AX198" s="502"/>
      <c r="AY198" s="502"/>
      <c r="AZ198" s="502"/>
      <c r="BA198" s="502"/>
      <c r="BB198" s="502"/>
      <c r="BC198" s="502"/>
      <c r="BD198" s="502"/>
      <c r="BE198" s="502"/>
      <c r="BF198" s="502"/>
      <c r="BG198" s="502"/>
      <c r="BH198" s="502"/>
      <c r="BI198" s="502"/>
      <c r="BJ198" s="502"/>
      <c r="BK198" s="502"/>
      <c r="BL198" s="502"/>
      <c r="BM198" s="502"/>
      <c r="BN198" s="502"/>
      <c r="BO198" s="502"/>
      <c r="BP198" s="502"/>
      <c r="BQ198" s="502"/>
      <c r="BR198" s="502"/>
      <c r="BS198" s="502"/>
      <c r="BT198" s="502"/>
      <c r="BU198" s="502"/>
      <c r="BV198" s="502"/>
      <c r="BW198" s="502"/>
      <c r="BX198" s="502"/>
      <c r="BY198" s="502"/>
      <c r="BZ198" s="502"/>
      <c r="CA198" s="502"/>
      <c r="CB198" s="502"/>
      <c r="CC198" s="502"/>
      <c r="CD198" s="502"/>
      <c r="CE198" s="502"/>
      <c r="CF198" s="502"/>
      <c r="CG198" s="502"/>
      <c r="CH198" s="502"/>
      <c r="CI198" s="502"/>
      <c r="CJ198" s="502"/>
      <c r="CK198" s="502"/>
      <c r="CL198" s="502"/>
      <c r="CM198" s="502"/>
      <c r="CN198" s="502"/>
      <c r="CO198" s="502"/>
      <c r="CP198" s="502"/>
      <c r="CQ198" s="502"/>
      <c r="CR198" s="502"/>
      <c r="CS198" s="502"/>
      <c r="CT198" s="502"/>
      <c r="CU198" s="502"/>
      <c r="CV198" s="502"/>
      <c r="CW198" s="502"/>
      <c r="CX198" s="502"/>
      <c r="CY198" s="502"/>
      <c r="CZ198" s="502"/>
      <c r="DA198" s="502"/>
      <c r="DB198" s="502"/>
      <c r="DC198" s="502"/>
    </row>
    <row r="199" spans="1:107" s="339" customFormat="1" x14ac:dyDescent="0.25">
      <c r="A199" s="502"/>
      <c r="B199" s="502"/>
      <c r="C199" s="502"/>
      <c r="D199" s="502"/>
      <c r="E199" s="502"/>
      <c r="F199" s="502"/>
      <c r="G199" s="502"/>
      <c r="H199" s="502"/>
      <c r="I199" s="502"/>
      <c r="J199" s="502"/>
      <c r="K199" s="502"/>
      <c r="L199" s="502"/>
      <c r="M199" s="502"/>
      <c r="N199" s="502"/>
      <c r="O199" s="502"/>
      <c r="P199" s="502"/>
      <c r="Q199" s="502"/>
      <c r="R199" s="502"/>
      <c r="S199" s="502"/>
      <c r="T199" s="502"/>
      <c r="U199" s="502"/>
      <c r="V199" s="502"/>
      <c r="W199" s="502"/>
      <c r="X199" s="502"/>
      <c r="Y199" s="502"/>
      <c r="Z199" s="502"/>
      <c r="AA199" s="502"/>
      <c r="AB199" s="502"/>
      <c r="AC199" s="502"/>
      <c r="AD199" s="502"/>
      <c r="AE199" s="502"/>
      <c r="AF199" s="502"/>
      <c r="AG199" s="502"/>
      <c r="AH199" s="502"/>
      <c r="AI199" s="502"/>
      <c r="AJ199" s="502"/>
      <c r="AK199" s="502"/>
      <c r="AL199" s="502"/>
      <c r="AM199" s="502"/>
      <c r="AN199" s="502"/>
      <c r="AO199" s="502"/>
      <c r="AP199" s="502"/>
      <c r="AQ199" s="502"/>
      <c r="AR199" s="502"/>
      <c r="AS199" s="502"/>
      <c r="AT199" s="502"/>
      <c r="AU199" s="502"/>
      <c r="AV199" s="502"/>
      <c r="AW199" s="502"/>
      <c r="AX199" s="502"/>
      <c r="AY199" s="502"/>
      <c r="AZ199" s="502"/>
      <c r="BA199" s="502"/>
      <c r="BB199" s="502"/>
      <c r="BC199" s="502"/>
      <c r="BD199" s="502"/>
      <c r="BE199" s="502"/>
      <c r="BF199" s="502"/>
      <c r="BG199" s="502"/>
      <c r="BH199" s="502"/>
      <c r="BI199" s="502"/>
      <c r="BJ199" s="502"/>
      <c r="BK199" s="502"/>
      <c r="BL199" s="502"/>
      <c r="BM199" s="502"/>
      <c r="BN199" s="502"/>
      <c r="BO199" s="502"/>
      <c r="BP199" s="502"/>
      <c r="BQ199" s="502"/>
      <c r="BR199" s="502"/>
      <c r="BS199" s="502"/>
      <c r="BT199" s="502"/>
      <c r="BU199" s="502"/>
      <c r="BV199" s="502"/>
      <c r="BW199" s="502"/>
      <c r="BX199" s="502"/>
      <c r="BY199" s="502"/>
      <c r="BZ199" s="502"/>
      <c r="CA199" s="502"/>
      <c r="CB199" s="502"/>
      <c r="CC199" s="502"/>
      <c r="CD199" s="502"/>
      <c r="CE199" s="502"/>
      <c r="CF199" s="502"/>
      <c r="CG199" s="502"/>
      <c r="CH199" s="502"/>
      <c r="CI199" s="502"/>
      <c r="CJ199" s="502"/>
      <c r="CK199" s="502"/>
      <c r="CL199" s="502"/>
      <c r="CM199" s="502"/>
      <c r="CN199" s="502"/>
      <c r="CO199" s="502"/>
      <c r="CP199" s="502"/>
      <c r="CQ199" s="502"/>
      <c r="CR199" s="502"/>
      <c r="CS199" s="502"/>
      <c r="CT199" s="502"/>
      <c r="CU199" s="502"/>
      <c r="CV199" s="502"/>
      <c r="CW199" s="502"/>
      <c r="CX199" s="502"/>
      <c r="CY199" s="502"/>
      <c r="CZ199" s="502"/>
      <c r="DA199" s="502"/>
      <c r="DB199" s="502"/>
      <c r="DC199" s="502"/>
    </row>
    <row r="200" spans="1:107" s="339" customFormat="1" x14ac:dyDescent="0.25">
      <c r="A200" s="502"/>
      <c r="B200" s="502"/>
      <c r="C200" s="502"/>
      <c r="D200" s="502"/>
      <c r="E200" s="502"/>
      <c r="F200" s="502"/>
      <c r="G200" s="502"/>
      <c r="H200" s="502"/>
      <c r="I200" s="502"/>
      <c r="J200" s="502"/>
      <c r="K200" s="502"/>
      <c r="L200" s="502"/>
      <c r="M200" s="502"/>
      <c r="N200" s="502"/>
      <c r="O200" s="502"/>
      <c r="P200" s="502"/>
      <c r="Q200" s="502"/>
      <c r="R200" s="502"/>
      <c r="S200" s="502"/>
      <c r="T200" s="502"/>
      <c r="U200" s="502"/>
      <c r="V200" s="502"/>
      <c r="W200" s="502"/>
      <c r="X200" s="502"/>
      <c r="Y200" s="502"/>
      <c r="Z200" s="502"/>
      <c r="AA200" s="502"/>
      <c r="AB200" s="502"/>
      <c r="AC200" s="502"/>
      <c r="AD200" s="502"/>
      <c r="AE200" s="502"/>
      <c r="AF200" s="502"/>
      <c r="AG200" s="502"/>
      <c r="AH200" s="502"/>
      <c r="AI200" s="502"/>
      <c r="AJ200" s="502"/>
      <c r="AK200" s="502"/>
      <c r="AL200" s="502"/>
      <c r="AM200" s="502"/>
      <c r="AN200" s="502"/>
      <c r="AO200" s="502"/>
      <c r="AP200" s="502"/>
      <c r="AQ200" s="502"/>
      <c r="AR200" s="502"/>
      <c r="AS200" s="502"/>
      <c r="AT200" s="502"/>
      <c r="AU200" s="502"/>
      <c r="AV200" s="502"/>
      <c r="AW200" s="502"/>
      <c r="AX200" s="502"/>
      <c r="AY200" s="502"/>
      <c r="AZ200" s="502"/>
      <c r="BA200" s="502"/>
      <c r="BB200" s="502"/>
      <c r="BC200" s="502"/>
      <c r="BD200" s="502"/>
      <c r="BE200" s="502"/>
      <c r="BF200" s="502"/>
      <c r="BG200" s="502"/>
      <c r="BH200" s="502"/>
      <c r="BI200" s="502"/>
      <c r="BJ200" s="502"/>
      <c r="BK200" s="502"/>
      <c r="BL200" s="502"/>
      <c r="BM200" s="502"/>
      <c r="BN200" s="502"/>
      <c r="BO200" s="502"/>
      <c r="BP200" s="502"/>
      <c r="BQ200" s="502"/>
      <c r="BR200" s="502"/>
      <c r="BS200" s="502"/>
      <c r="BT200" s="502"/>
      <c r="BU200" s="502"/>
      <c r="BV200" s="502"/>
      <c r="BW200" s="502"/>
      <c r="BX200" s="502"/>
      <c r="BY200" s="502"/>
      <c r="BZ200" s="502"/>
      <c r="CA200" s="502"/>
      <c r="CB200" s="502"/>
      <c r="CC200" s="502"/>
      <c r="CD200" s="502"/>
      <c r="CE200" s="502"/>
      <c r="CF200" s="502"/>
      <c r="CG200" s="502"/>
      <c r="CH200" s="502"/>
      <c r="CI200" s="502"/>
      <c r="CJ200" s="502"/>
      <c r="CK200" s="502"/>
      <c r="CL200" s="502"/>
      <c r="CM200" s="502"/>
      <c r="CN200" s="502"/>
      <c r="CO200" s="502"/>
      <c r="CP200" s="502"/>
      <c r="CQ200" s="502"/>
      <c r="CR200" s="502"/>
      <c r="CS200" s="502"/>
      <c r="CT200" s="502"/>
      <c r="CU200" s="502"/>
      <c r="CV200" s="502"/>
      <c r="CW200" s="502"/>
      <c r="CX200" s="502"/>
      <c r="CY200" s="502"/>
      <c r="CZ200" s="502"/>
      <c r="DA200" s="502"/>
      <c r="DB200" s="502"/>
      <c r="DC200" s="502"/>
    </row>
    <row r="201" spans="1:107" s="339" customFormat="1" x14ac:dyDescent="0.25">
      <c r="A201" s="502"/>
      <c r="B201" s="502"/>
      <c r="C201" s="502"/>
      <c r="D201" s="502"/>
      <c r="E201" s="502"/>
      <c r="F201" s="502"/>
      <c r="G201" s="502"/>
      <c r="H201" s="502"/>
      <c r="I201" s="502"/>
      <c r="J201" s="502"/>
      <c r="K201" s="502"/>
      <c r="L201" s="502"/>
      <c r="M201" s="502"/>
      <c r="N201" s="502"/>
      <c r="O201" s="502"/>
      <c r="P201" s="502"/>
      <c r="Q201" s="502"/>
      <c r="R201" s="502"/>
      <c r="S201" s="502"/>
      <c r="T201" s="502"/>
      <c r="U201" s="502"/>
      <c r="V201" s="502"/>
      <c r="W201" s="502"/>
      <c r="X201" s="502"/>
      <c r="Y201" s="502"/>
      <c r="Z201" s="502"/>
      <c r="AA201" s="502"/>
      <c r="AB201" s="502"/>
      <c r="AC201" s="502"/>
      <c r="AD201" s="502"/>
      <c r="AE201" s="502"/>
      <c r="AF201" s="502"/>
      <c r="AG201" s="502"/>
      <c r="AH201" s="502"/>
      <c r="AI201" s="502"/>
      <c r="AJ201" s="502"/>
      <c r="AK201" s="502"/>
      <c r="AL201" s="502"/>
      <c r="AM201" s="502"/>
      <c r="AN201" s="502"/>
      <c r="AO201" s="502"/>
      <c r="AP201" s="502"/>
      <c r="AQ201" s="502"/>
      <c r="AR201" s="502"/>
      <c r="AS201" s="502"/>
      <c r="AT201" s="502"/>
      <c r="AU201" s="502"/>
      <c r="AV201" s="502"/>
      <c r="AW201" s="502"/>
      <c r="AX201" s="502"/>
      <c r="AY201" s="502"/>
      <c r="AZ201" s="502"/>
      <c r="BA201" s="502"/>
      <c r="BB201" s="502"/>
      <c r="BC201" s="502"/>
      <c r="BD201" s="502"/>
      <c r="BE201" s="502"/>
      <c r="BF201" s="502"/>
      <c r="BG201" s="502"/>
      <c r="BH201" s="502"/>
      <c r="BI201" s="502"/>
      <c r="BJ201" s="502"/>
      <c r="BK201" s="502"/>
      <c r="BL201" s="502"/>
      <c r="BM201" s="502"/>
      <c r="BN201" s="502"/>
      <c r="BO201" s="502"/>
      <c r="BP201" s="502"/>
      <c r="BQ201" s="502"/>
      <c r="BR201" s="502"/>
      <c r="BS201" s="502"/>
      <c r="BT201" s="502"/>
      <c r="BU201" s="502"/>
      <c r="BV201" s="502"/>
      <c r="BW201" s="502"/>
      <c r="BX201" s="502"/>
      <c r="BY201" s="502"/>
      <c r="BZ201" s="502"/>
      <c r="CA201" s="502"/>
      <c r="CB201" s="502"/>
      <c r="CC201" s="502"/>
      <c r="CD201" s="502"/>
      <c r="CE201" s="502"/>
      <c r="CF201" s="502"/>
      <c r="CG201" s="502"/>
      <c r="CH201" s="502"/>
      <c r="CI201" s="502"/>
      <c r="CJ201" s="502"/>
      <c r="CK201" s="502"/>
      <c r="CL201" s="502"/>
      <c r="CM201" s="502"/>
      <c r="CN201" s="502"/>
      <c r="CO201" s="502"/>
      <c r="CP201" s="502"/>
      <c r="CQ201" s="502"/>
      <c r="CR201" s="502"/>
      <c r="CS201" s="502"/>
      <c r="CT201" s="502"/>
      <c r="CU201" s="502"/>
      <c r="CV201" s="502"/>
      <c r="CW201" s="502"/>
      <c r="CX201" s="502"/>
      <c r="CY201" s="502"/>
      <c r="CZ201" s="502"/>
      <c r="DA201" s="502"/>
      <c r="DB201" s="502"/>
      <c r="DC201" s="502"/>
    </row>
    <row r="202" spans="1:107" s="339" customFormat="1" x14ac:dyDescent="0.25">
      <c r="A202" s="502"/>
      <c r="B202" s="502"/>
      <c r="C202" s="502"/>
      <c r="D202" s="502"/>
      <c r="E202" s="502"/>
      <c r="F202" s="502"/>
      <c r="G202" s="502"/>
      <c r="H202" s="502"/>
      <c r="I202" s="502"/>
      <c r="J202" s="502"/>
      <c r="K202" s="502"/>
      <c r="L202" s="502"/>
      <c r="M202" s="502"/>
      <c r="N202" s="502"/>
      <c r="O202" s="502"/>
      <c r="P202" s="502"/>
      <c r="Q202" s="502"/>
      <c r="R202" s="502"/>
      <c r="S202" s="502"/>
      <c r="T202" s="502"/>
      <c r="U202" s="502"/>
      <c r="V202" s="502"/>
      <c r="W202" s="502"/>
      <c r="X202" s="502"/>
      <c r="Y202" s="502"/>
      <c r="Z202" s="502"/>
      <c r="AA202" s="502"/>
      <c r="AB202" s="502"/>
      <c r="AC202" s="502"/>
      <c r="AD202" s="502"/>
      <c r="AE202" s="502"/>
      <c r="AF202" s="502"/>
      <c r="AG202" s="502"/>
      <c r="AH202" s="502"/>
      <c r="AI202" s="502"/>
      <c r="AJ202" s="502"/>
      <c r="AK202" s="502"/>
      <c r="AL202" s="502"/>
      <c r="AM202" s="502"/>
      <c r="AN202" s="502"/>
      <c r="AO202" s="502"/>
      <c r="AP202" s="502"/>
      <c r="AQ202" s="502"/>
      <c r="AR202" s="502"/>
      <c r="AS202" s="502"/>
      <c r="AT202" s="502"/>
      <c r="AU202" s="502"/>
      <c r="AV202" s="502"/>
      <c r="AW202" s="502"/>
      <c r="AX202" s="502"/>
      <c r="AY202" s="502"/>
      <c r="AZ202" s="502"/>
      <c r="BA202" s="502"/>
      <c r="BB202" s="502"/>
      <c r="BC202" s="502"/>
      <c r="BD202" s="502"/>
      <c r="BE202" s="502"/>
      <c r="BF202" s="502"/>
      <c r="BG202" s="502"/>
      <c r="BH202" s="502"/>
      <c r="BI202" s="502"/>
      <c r="BJ202" s="502"/>
      <c r="BK202" s="502"/>
      <c r="BL202" s="502"/>
      <c r="BM202" s="502"/>
      <c r="BN202" s="502"/>
      <c r="BO202" s="502"/>
      <c r="BP202" s="502"/>
      <c r="BQ202" s="502"/>
      <c r="BR202" s="502"/>
      <c r="BS202" s="502"/>
      <c r="BT202" s="502"/>
      <c r="BU202" s="502"/>
      <c r="BV202" s="502"/>
      <c r="BW202" s="502"/>
      <c r="BX202" s="502"/>
      <c r="BY202" s="502"/>
      <c r="BZ202" s="502"/>
      <c r="CA202" s="502"/>
      <c r="CB202" s="502"/>
      <c r="CC202" s="502"/>
      <c r="CD202" s="502"/>
      <c r="CE202" s="502"/>
      <c r="CF202" s="502"/>
      <c r="CG202" s="502"/>
      <c r="CH202" s="502"/>
      <c r="CI202" s="502"/>
      <c r="CJ202" s="502"/>
      <c r="CK202" s="502"/>
      <c r="CL202" s="502"/>
      <c r="CM202" s="502"/>
      <c r="CN202" s="502"/>
      <c r="CO202" s="502"/>
      <c r="CP202" s="502"/>
      <c r="CQ202" s="502"/>
      <c r="CR202" s="502"/>
      <c r="CS202" s="502"/>
      <c r="CT202" s="502"/>
      <c r="CU202" s="502"/>
      <c r="CV202" s="502"/>
      <c r="CW202" s="502"/>
      <c r="CX202" s="502"/>
      <c r="CY202" s="502"/>
      <c r="CZ202" s="502"/>
      <c r="DA202" s="502"/>
      <c r="DB202" s="502"/>
      <c r="DC202" s="502"/>
    </row>
    <row r="203" spans="1:107" s="339" customFormat="1" x14ac:dyDescent="0.25">
      <c r="A203" s="502"/>
      <c r="B203" s="502"/>
      <c r="C203" s="502"/>
      <c r="D203" s="502"/>
      <c r="E203" s="502"/>
      <c r="F203" s="502"/>
      <c r="G203" s="502"/>
      <c r="H203" s="502"/>
      <c r="I203" s="502"/>
      <c r="J203" s="502"/>
      <c r="K203" s="502"/>
      <c r="L203" s="502"/>
      <c r="M203" s="502"/>
      <c r="N203" s="502"/>
      <c r="O203" s="502"/>
      <c r="P203" s="502"/>
      <c r="Q203" s="502"/>
      <c r="R203" s="502"/>
      <c r="S203" s="502"/>
      <c r="T203" s="502"/>
      <c r="U203" s="502"/>
      <c r="V203" s="502"/>
      <c r="W203" s="502"/>
      <c r="X203" s="502"/>
      <c r="Y203" s="502"/>
      <c r="Z203" s="502"/>
      <c r="AA203" s="502"/>
      <c r="AB203" s="502"/>
      <c r="AC203" s="502"/>
      <c r="AD203" s="502"/>
      <c r="AE203" s="502"/>
      <c r="AF203" s="502"/>
      <c r="AG203" s="502"/>
      <c r="AH203" s="502"/>
      <c r="AI203" s="502"/>
      <c r="AJ203" s="502"/>
      <c r="AK203" s="502"/>
      <c r="AL203" s="502"/>
      <c r="AM203" s="502"/>
      <c r="AN203" s="502"/>
      <c r="AO203" s="502"/>
      <c r="AP203" s="502"/>
      <c r="AQ203" s="502"/>
      <c r="AR203" s="502"/>
      <c r="AS203" s="502"/>
      <c r="AT203" s="502"/>
      <c r="AU203" s="502"/>
      <c r="AV203" s="502"/>
      <c r="AW203" s="502"/>
      <c r="AX203" s="502"/>
      <c r="AY203" s="502"/>
      <c r="AZ203" s="502"/>
      <c r="BA203" s="502"/>
      <c r="BB203" s="502"/>
      <c r="BC203" s="502"/>
      <c r="BD203" s="502"/>
      <c r="BE203" s="502"/>
      <c r="BF203" s="502"/>
      <c r="BG203" s="502"/>
      <c r="BH203" s="502"/>
      <c r="BI203" s="502"/>
      <c r="BJ203" s="502"/>
      <c r="BK203" s="502"/>
      <c r="BL203" s="502"/>
      <c r="BM203" s="502"/>
      <c r="BN203" s="502"/>
      <c r="BO203" s="502"/>
      <c r="BP203" s="502"/>
      <c r="BQ203" s="502"/>
      <c r="BR203" s="502"/>
      <c r="BS203" s="502"/>
      <c r="BT203" s="502"/>
      <c r="BU203" s="502"/>
      <c r="BV203" s="502"/>
      <c r="BW203" s="502"/>
      <c r="BX203" s="502"/>
      <c r="BY203" s="502"/>
      <c r="BZ203" s="502"/>
      <c r="CA203" s="502"/>
      <c r="CB203" s="502"/>
      <c r="CC203" s="502"/>
      <c r="CD203" s="502"/>
      <c r="CE203" s="502"/>
      <c r="CF203" s="502"/>
      <c r="CG203" s="502"/>
      <c r="CH203" s="502"/>
      <c r="CI203" s="502"/>
      <c r="CJ203" s="502"/>
      <c r="CK203" s="502"/>
      <c r="CL203" s="502"/>
      <c r="CM203" s="502"/>
      <c r="CN203" s="502"/>
      <c r="CO203" s="502"/>
      <c r="CP203" s="502"/>
      <c r="CQ203" s="502"/>
      <c r="CR203" s="502"/>
      <c r="CS203" s="502"/>
      <c r="CT203" s="502"/>
      <c r="CU203" s="502"/>
      <c r="CV203" s="502"/>
      <c r="CW203" s="502"/>
      <c r="CX203" s="502"/>
      <c r="CY203" s="502"/>
      <c r="CZ203" s="502"/>
      <c r="DA203" s="502"/>
      <c r="DB203" s="502"/>
      <c r="DC203" s="502"/>
    </row>
    <row r="204" spans="1:107" s="339" customFormat="1" x14ac:dyDescent="0.25">
      <c r="A204" s="502"/>
      <c r="B204" s="502"/>
      <c r="C204" s="502"/>
      <c r="D204" s="502"/>
      <c r="E204" s="502"/>
      <c r="F204" s="502"/>
      <c r="G204" s="502"/>
      <c r="H204" s="502"/>
      <c r="I204" s="502"/>
      <c r="J204" s="502"/>
      <c r="K204" s="502"/>
      <c r="L204" s="502"/>
      <c r="M204" s="502"/>
      <c r="N204" s="502"/>
      <c r="O204" s="502"/>
      <c r="P204" s="502"/>
      <c r="Q204" s="502"/>
      <c r="R204" s="502"/>
      <c r="S204" s="502"/>
      <c r="T204" s="502"/>
      <c r="U204" s="502"/>
      <c r="V204" s="502"/>
      <c r="W204" s="502"/>
      <c r="X204" s="502"/>
      <c r="Y204" s="502"/>
      <c r="Z204" s="502"/>
      <c r="AA204" s="502"/>
      <c r="AB204" s="502"/>
      <c r="AC204" s="502"/>
      <c r="AD204" s="502"/>
      <c r="AE204" s="502"/>
      <c r="AF204" s="502"/>
      <c r="AG204" s="502"/>
      <c r="AH204" s="502"/>
      <c r="AI204" s="502"/>
      <c r="AJ204" s="502"/>
      <c r="AK204" s="502"/>
      <c r="AL204" s="502"/>
      <c r="AM204" s="502"/>
      <c r="AN204" s="502"/>
      <c r="AO204" s="502"/>
      <c r="AP204" s="502"/>
      <c r="AQ204" s="502"/>
      <c r="AR204" s="502"/>
      <c r="AS204" s="502"/>
      <c r="AT204" s="502"/>
      <c r="AU204" s="502"/>
      <c r="AV204" s="502"/>
      <c r="AW204" s="502"/>
      <c r="AX204" s="502"/>
      <c r="AY204" s="502"/>
      <c r="AZ204" s="502"/>
      <c r="BA204" s="502"/>
      <c r="BB204" s="502"/>
      <c r="BC204" s="502"/>
      <c r="BD204" s="502"/>
      <c r="BE204" s="502"/>
      <c r="BF204" s="502"/>
      <c r="BG204" s="502"/>
      <c r="BH204" s="502"/>
      <c r="BI204" s="502"/>
      <c r="BJ204" s="502"/>
      <c r="BK204" s="502"/>
      <c r="BL204" s="502"/>
      <c r="BM204" s="502"/>
      <c r="BN204" s="502"/>
      <c r="BO204" s="502"/>
      <c r="BP204" s="502"/>
      <c r="BQ204" s="502"/>
      <c r="BR204" s="502"/>
      <c r="BS204" s="502"/>
      <c r="BT204" s="502"/>
      <c r="BU204" s="502"/>
      <c r="BV204" s="502"/>
      <c r="BW204" s="502"/>
      <c r="BX204" s="502"/>
      <c r="BY204" s="502"/>
      <c r="BZ204" s="502"/>
      <c r="CA204" s="502"/>
      <c r="CB204" s="502"/>
      <c r="CC204" s="502"/>
      <c r="CD204" s="502"/>
      <c r="CE204" s="502"/>
      <c r="CF204" s="502"/>
      <c r="CG204" s="502"/>
      <c r="CH204" s="502"/>
      <c r="CI204" s="502"/>
      <c r="CJ204" s="502"/>
      <c r="CK204" s="502"/>
      <c r="CL204" s="502"/>
      <c r="CM204" s="502"/>
      <c r="CN204" s="502"/>
      <c r="CO204" s="502"/>
      <c r="CP204" s="502"/>
      <c r="CQ204" s="502"/>
      <c r="CR204" s="502"/>
      <c r="CS204" s="502"/>
      <c r="CT204" s="502"/>
      <c r="CU204" s="502"/>
      <c r="CV204" s="502"/>
      <c r="CW204" s="502"/>
      <c r="CX204" s="502"/>
      <c r="CY204" s="502"/>
      <c r="CZ204" s="502"/>
      <c r="DA204" s="502"/>
      <c r="DB204" s="502"/>
      <c r="DC204" s="502"/>
    </row>
    <row r="205" spans="1:107" s="339" customFormat="1" x14ac:dyDescent="0.25">
      <c r="A205" s="502"/>
      <c r="B205" s="502"/>
      <c r="C205" s="502"/>
      <c r="D205" s="502"/>
      <c r="E205" s="502"/>
      <c r="F205" s="502"/>
      <c r="G205" s="502"/>
      <c r="H205" s="502"/>
      <c r="I205" s="502"/>
      <c r="J205" s="502"/>
      <c r="K205" s="502"/>
      <c r="L205" s="502"/>
      <c r="M205" s="502"/>
      <c r="N205" s="502"/>
      <c r="O205" s="502"/>
      <c r="P205" s="502"/>
      <c r="Q205" s="502"/>
      <c r="R205" s="502"/>
      <c r="S205" s="502"/>
      <c r="T205" s="502"/>
      <c r="U205" s="502"/>
      <c r="V205" s="502"/>
      <c r="W205" s="502"/>
      <c r="X205" s="502"/>
      <c r="Y205" s="502"/>
      <c r="Z205" s="502"/>
      <c r="AA205" s="502"/>
      <c r="AB205" s="502"/>
      <c r="AC205" s="502"/>
      <c r="AD205" s="502"/>
      <c r="AE205" s="502"/>
      <c r="AF205" s="502"/>
      <c r="AG205" s="502"/>
      <c r="AH205" s="502"/>
      <c r="AI205" s="502"/>
      <c r="AJ205" s="502"/>
      <c r="AK205" s="502"/>
      <c r="AL205" s="502"/>
      <c r="AM205" s="502"/>
      <c r="AN205" s="502"/>
      <c r="AO205" s="502"/>
      <c r="AP205" s="502"/>
      <c r="AQ205" s="502"/>
      <c r="AR205" s="502"/>
      <c r="AS205" s="502"/>
      <c r="AT205" s="502"/>
      <c r="AU205" s="502"/>
      <c r="AV205" s="502"/>
      <c r="AW205" s="502"/>
      <c r="AX205" s="502"/>
      <c r="AY205" s="502"/>
      <c r="AZ205" s="502"/>
      <c r="BA205" s="502"/>
      <c r="BB205" s="502"/>
      <c r="BC205" s="502"/>
      <c r="BD205" s="502"/>
      <c r="BE205" s="502"/>
      <c r="BF205" s="502"/>
      <c r="BG205" s="502"/>
      <c r="BH205" s="502"/>
      <c r="BI205" s="502"/>
      <c r="BJ205" s="502"/>
      <c r="BK205" s="502"/>
      <c r="BL205" s="502"/>
      <c r="BM205" s="502"/>
      <c r="BN205" s="502"/>
      <c r="BO205" s="502"/>
      <c r="BP205" s="502"/>
      <c r="BQ205" s="502"/>
      <c r="BR205" s="502"/>
      <c r="BS205" s="502"/>
      <c r="BT205" s="502"/>
      <c r="BU205" s="502"/>
      <c r="BV205" s="502"/>
      <c r="BW205" s="502"/>
      <c r="BX205" s="502"/>
      <c r="BY205" s="502"/>
      <c r="BZ205" s="502"/>
      <c r="CA205" s="502"/>
      <c r="CB205" s="502"/>
      <c r="CC205" s="502"/>
      <c r="CD205" s="502"/>
      <c r="CE205" s="502"/>
      <c r="CF205" s="502"/>
      <c r="CG205" s="502"/>
      <c r="CH205" s="502"/>
      <c r="CI205" s="502"/>
      <c r="CJ205" s="502"/>
      <c r="CK205" s="502"/>
      <c r="CL205" s="502"/>
      <c r="CM205" s="502"/>
      <c r="CN205" s="502"/>
      <c r="CO205" s="502"/>
      <c r="CP205" s="502"/>
      <c r="CQ205" s="502"/>
      <c r="CR205" s="502"/>
      <c r="CS205" s="502"/>
      <c r="CT205" s="502"/>
      <c r="CU205" s="502"/>
      <c r="CV205" s="502"/>
      <c r="CW205" s="502"/>
      <c r="CX205" s="502"/>
      <c r="CY205" s="502"/>
      <c r="CZ205" s="502"/>
      <c r="DA205" s="502"/>
      <c r="DB205" s="502"/>
      <c r="DC205" s="502"/>
    </row>
    <row r="206" spans="1:107" s="339" customFormat="1" x14ac:dyDescent="0.25">
      <c r="A206" s="502"/>
      <c r="D206" s="502"/>
      <c r="E206" s="502"/>
      <c r="F206" s="502"/>
      <c r="G206" s="502"/>
      <c r="H206" s="502"/>
      <c r="I206" s="502"/>
      <c r="J206" s="502"/>
      <c r="K206" s="502"/>
      <c r="L206" s="502"/>
      <c r="M206" s="502"/>
      <c r="N206" s="502"/>
      <c r="O206" s="502"/>
      <c r="P206" s="502"/>
      <c r="Q206" s="502"/>
      <c r="R206" s="502"/>
      <c r="S206" s="502"/>
      <c r="T206" s="502"/>
      <c r="U206" s="502"/>
      <c r="V206" s="502"/>
      <c r="W206" s="502"/>
      <c r="X206" s="502"/>
      <c r="Y206" s="502"/>
      <c r="Z206" s="502"/>
      <c r="AA206" s="502"/>
      <c r="AB206" s="502"/>
      <c r="AC206" s="502"/>
      <c r="AD206" s="502"/>
      <c r="AE206" s="502"/>
      <c r="AF206" s="502"/>
      <c r="AG206" s="502"/>
      <c r="AH206" s="502"/>
      <c r="AI206" s="502"/>
      <c r="AJ206" s="502"/>
      <c r="AK206" s="502"/>
      <c r="AL206" s="502"/>
      <c r="AM206" s="502"/>
      <c r="AN206" s="502"/>
      <c r="AO206" s="502"/>
      <c r="AP206" s="502"/>
      <c r="AQ206" s="502"/>
      <c r="AR206" s="502"/>
      <c r="AS206" s="502"/>
      <c r="AT206" s="502"/>
      <c r="AU206" s="502"/>
      <c r="AV206" s="502"/>
      <c r="AW206" s="502"/>
      <c r="AX206" s="502"/>
      <c r="AY206" s="502"/>
      <c r="AZ206" s="502"/>
      <c r="BA206" s="502"/>
      <c r="BB206" s="502"/>
      <c r="BC206" s="502"/>
      <c r="BD206" s="502"/>
      <c r="BE206" s="502"/>
      <c r="BF206" s="502"/>
      <c r="BG206" s="502"/>
      <c r="BH206" s="502"/>
      <c r="BI206" s="502"/>
      <c r="BJ206" s="502"/>
      <c r="BK206" s="502"/>
      <c r="BL206" s="502"/>
      <c r="BM206" s="502"/>
      <c r="BN206" s="502"/>
      <c r="BO206" s="502"/>
      <c r="BP206" s="502"/>
      <c r="BQ206" s="502"/>
      <c r="BR206" s="502"/>
      <c r="BS206" s="502"/>
      <c r="BT206" s="502"/>
      <c r="BU206" s="502"/>
      <c r="BV206" s="502"/>
      <c r="BW206" s="502"/>
      <c r="BX206" s="502"/>
      <c r="BY206" s="502"/>
      <c r="BZ206" s="502"/>
      <c r="CA206" s="502"/>
      <c r="CB206" s="502"/>
      <c r="CC206" s="502"/>
      <c r="CD206" s="502"/>
      <c r="CE206" s="502"/>
      <c r="CF206" s="502"/>
      <c r="CG206" s="502"/>
      <c r="CH206" s="502"/>
      <c r="CI206" s="502"/>
      <c r="CJ206" s="502"/>
      <c r="CK206" s="502"/>
      <c r="CL206" s="502"/>
      <c r="CM206" s="502"/>
      <c r="CN206" s="502"/>
      <c r="CO206" s="502"/>
      <c r="CP206" s="502"/>
      <c r="CQ206" s="502"/>
      <c r="CR206" s="502"/>
      <c r="CS206" s="502"/>
      <c r="CT206" s="502"/>
      <c r="CU206" s="502"/>
      <c r="CV206" s="502"/>
      <c r="CW206" s="502"/>
      <c r="CX206" s="502"/>
      <c r="CY206" s="502"/>
      <c r="CZ206" s="502"/>
      <c r="DA206" s="502"/>
      <c r="DB206" s="502"/>
      <c r="DC206" s="502"/>
    </row>
    <row r="207" spans="1:107" s="339" customFormat="1" x14ac:dyDescent="0.25">
      <c r="A207" s="502"/>
      <c r="B207" s="502"/>
      <c r="C207" s="502"/>
      <c r="D207" s="502"/>
      <c r="E207" s="502"/>
      <c r="F207" s="502"/>
      <c r="G207" s="502"/>
      <c r="H207" s="502"/>
      <c r="I207" s="502"/>
      <c r="J207" s="502"/>
      <c r="K207" s="502"/>
      <c r="L207" s="502"/>
      <c r="M207" s="502"/>
      <c r="N207" s="502"/>
      <c r="O207" s="502"/>
      <c r="P207" s="502"/>
      <c r="Q207" s="502"/>
      <c r="R207" s="502"/>
      <c r="S207" s="502"/>
      <c r="T207" s="502"/>
      <c r="U207" s="502"/>
      <c r="V207" s="502"/>
      <c r="W207" s="502"/>
      <c r="X207" s="502"/>
      <c r="Y207" s="502"/>
      <c r="Z207" s="502"/>
      <c r="AA207" s="502"/>
      <c r="AB207" s="502"/>
      <c r="AC207" s="502"/>
      <c r="AD207" s="502"/>
      <c r="AE207" s="502"/>
      <c r="AF207" s="502"/>
      <c r="AG207" s="502"/>
      <c r="AH207" s="502"/>
      <c r="AI207" s="502"/>
      <c r="AJ207" s="502"/>
      <c r="AK207" s="502"/>
      <c r="AL207" s="502"/>
      <c r="AM207" s="502"/>
      <c r="AN207" s="502"/>
      <c r="AO207" s="502"/>
      <c r="AP207" s="502"/>
      <c r="AQ207" s="502"/>
      <c r="AR207" s="502"/>
      <c r="AS207" s="502"/>
      <c r="AT207" s="502"/>
      <c r="AU207" s="502"/>
      <c r="AV207" s="502"/>
      <c r="AW207" s="502"/>
      <c r="AX207" s="502"/>
      <c r="AY207" s="502"/>
      <c r="AZ207" s="502"/>
      <c r="BA207" s="502"/>
      <c r="BB207" s="502"/>
      <c r="BC207" s="502"/>
      <c r="BD207" s="502"/>
      <c r="BE207" s="502"/>
      <c r="BF207" s="502"/>
      <c r="BG207" s="502"/>
      <c r="BH207" s="502"/>
      <c r="BI207" s="502"/>
      <c r="BJ207" s="502"/>
      <c r="BK207" s="502"/>
      <c r="BL207" s="502"/>
      <c r="BM207" s="502"/>
      <c r="BN207" s="502"/>
      <c r="BO207" s="502"/>
      <c r="BP207" s="502"/>
      <c r="BQ207" s="502"/>
      <c r="BR207" s="502"/>
      <c r="BS207" s="502"/>
      <c r="BT207" s="502"/>
      <c r="BU207" s="502"/>
      <c r="BV207" s="502"/>
      <c r="BW207" s="502"/>
      <c r="BX207" s="502"/>
      <c r="BY207" s="502"/>
      <c r="BZ207" s="502"/>
      <c r="CA207" s="502"/>
      <c r="CB207" s="502"/>
      <c r="CC207" s="502"/>
      <c r="CD207" s="502"/>
      <c r="CE207" s="502"/>
      <c r="CF207" s="502"/>
      <c r="CG207" s="502"/>
      <c r="CH207" s="502"/>
      <c r="CI207" s="502"/>
      <c r="CJ207" s="502"/>
      <c r="CK207" s="502"/>
      <c r="CL207" s="502"/>
      <c r="CM207" s="502"/>
      <c r="CN207" s="502"/>
      <c r="CO207" s="502"/>
      <c r="CP207" s="502"/>
      <c r="CQ207" s="502"/>
      <c r="CR207" s="502"/>
      <c r="CS207" s="502"/>
      <c r="CT207" s="502"/>
      <c r="CU207" s="502"/>
      <c r="CV207" s="502"/>
      <c r="CW207" s="502"/>
      <c r="CX207" s="502"/>
      <c r="CY207" s="502"/>
      <c r="CZ207" s="502"/>
      <c r="DA207" s="502"/>
      <c r="DB207" s="502"/>
      <c r="DC207" s="502"/>
    </row>
    <row r="208" spans="1:107" s="339" customFormat="1" x14ac:dyDescent="0.25">
      <c r="A208" s="502"/>
      <c r="B208" s="502"/>
      <c r="C208" s="502"/>
      <c r="D208" s="502"/>
      <c r="E208" s="502"/>
      <c r="F208" s="502"/>
      <c r="G208" s="502"/>
      <c r="H208" s="502"/>
      <c r="I208" s="502"/>
      <c r="J208" s="502"/>
      <c r="K208" s="502"/>
      <c r="L208" s="502"/>
      <c r="M208" s="502"/>
      <c r="N208" s="502"/>
      <c r="O208" s="502"/>
      <c r="P208" s="502"/>
      <c r="Q208" s="502"/>
      <c r="R208" s="502"/>
      <c r="S208" s="502"/>
      <c r="T208" s="502"/>
      <c r="U208" s="502"/>
      <c r="V208" s="502"/>
      <c r="W208" s="502"/>
      <c r="X208" s="502"/>
      <c r="Y208" s="502"/>
      <c r="Z208" s="502"/>
      <c r="AA208" s="502"/>
      <c r="AB208" s="502"/>
      <c r="AC208" s="502"/>
      <c r="AD208" s="502"/>
      <c r="AE208" s="502"/>
      <c r="AF208" s="502"/>
      <c r="AG208" s="502"/>
      <c r="AH208" s="502"/>
      <c r="AI208" s="502"/>
      <c r="AJ208" s="502"/>
      <c r="AK208" s="502"/>
      <c r="AL208" s="502"/>
      <c r="AM208" s="502"/>
      <c r="AN208" s="502"/>
      <c r="AO208" s="502"/>
      <c r="AP208" s="502"/>
      <c r="AQ208" s="502"/>
      <c r="AR208" s="502"/>
      <c r="AS208" s="502"/>
      <c r="AT208" s="502"/>
      <c r="AU208" s="502"/>
      <c r="AV208" s="502"/>
      <c r="AW208" s="502"/>
      <c r="AX208" s="502"/>
      <c r="AY208" s="502"/>
      <c r="AZ208" s="502"/>
      <c r="BA208" s="502"/>
      <c r="BB208" s="502"/>
      <c r="BC208" s="502"/>
      <c r="BD208" s="502"/>
      <c r="BE208" s="502"/>
      <c r="BF208" s="502"/>
      <c r="BG208" s="502"/>
      <c r="BH208" s="502"/>
      <c r="BI208" s="502"/>
      <c r="BJ208" s="502"/>
      <c r="BK208" s="502"/>
      <c r="BL208" s="502"/>
      <c r="BM208" s="502"/>
      <c r="BN208" s="502"/>
      <c r="BO208" s="502"/>
      <c r="BP208" s="502"/>
      <c r="BQ208" s="502"/>
      <c r="BR208" s="502"/>
      <c r="BS208" s="502"/>
      <c r="BT208" s="502"/>
      <c r="BU208" s="502"/>
      <c r="BV208" s="502"/>
      <c r="BW208" s="502"/>
      <c r="BX208" s="502"/>
      <c r="BY208" s="502"/>
      <c r="BZ208" s="502"/>
      <c r="CA208" s="502"/>
      <c r="CB208" s="502"/>
      <c r="CC208" s="502"/>
      <c r="CD208" s="502"/>
      <c r="CE208" s="502"/>
      <c r="CF208" s="502"/>
      <c r="CG208" s="502"/>
      <c r="CH208" s="502"/>
      <c r="CI208" s="502"/>
      <c r="CJ208" s="502"/>
      <c r="CK208" s="502"/>
      <c r="CL208" s="502"/>
      <c r="CM208" s="502"/>
      <c r="CN208" s="502"/>
      <c r="CO208" s="502"/>
      <c r="CP208" s="502"/>
      <c r="CQ208" s="502"/>
      <c r="CR208" s="502"/>
      <c r="CS208" s="502"/>
      <c r="CT208" s="502"/>
      <c r="CU208" s="502"/>
      <c r="CV208" s="502"/>
      <c r="CW208" s="502"/>
      <c r="CX208" s="502"/>
      <c r="CY208" s="502"/>
      <c r="CZ208" s="502"/>
      <c r="DA208" s="502"/>
      <c r="DB208" s="502"/>
      <c r="DC208" s="502"/>
    </row>
    <row r="209" spans="1:107" s="339" customFormat="1" x14ac:dyDescent="0.25">
      <c r="A209" s="502"/>
      <c r="B209" s="502"/>
      <c r="D209" s="502"/>
      <c r="E209" s="502"/>
      <c r="F209" s="502"/>
      <c r="G209" s="502"/>
      <c r="H209" s="502"/>
      <c r="I209" s="502"/>
      <c r="J209" s="502"/>
      <c r="K209" s="502"/>
      <c r="L209" s="502"/>
      <c r="M209" s="502"/>
      <c r="N209" s="502"/>
      <c r="O209" s="502"/>
      <c r="P209" s="502"/>
      <c r="Q209" s="502"/>
      <c r="R209" s="502"/>
      <c r="S209" s="502"/>
      <c r="T209" s="502"/>
      <c r="U209" s="502"/>
      <c r="V209" s="502"/>
      <c r="W209" s="502"/>
      <c r="X209" s="502"/>
      <c r="Y209" s="502"/>
      <c r="Z209" s="502"/>
      <c r="AA209" s="502"/>
      <c r="AB209" s="502"/>
      <c r="AC209" s="502"/>
      <c r="AD209" s="502"/>
      <c r="AE209" s="502"/>
      <c r="AF209" s="502"/>
      <c r="AG209" s="502"/>
      <c r="AH209" s="502"/>
      <c r="AI209" s="502"/>
      <c r="AJ209" s="502"/>
      <c r="AK209" s="502"/>
      <c r="AL209" s="502"/>
      <c r="AM209" s="502"/>
      <c r="AN209" s="502"/>
      <c r="AO209" s="502"/>
      <c r="AP209" s="502"/>
      <c r="AQ209" s="502"/>
      <c r="AR209" s="502"/>
      <c r="AS209" s="502"/>
      <c r="AT209" s="502"/>
      <c r="AU209" s="502"/>
      <c r="AV209" s="502"/>
      <c r="AW209" s="502"/>
      <c r="AX209" s="502"/>
      <c r="AY209" s="502"/>
      <c r="AZ209" s="502"/>
      <c r="BA209" s="502"/>
      <c r="BB209" s="502"/>
      <c r="BC209" s="502"/>
      <c r="BD209" s="502"/>
      <c r="BE209" s="502"/>
      <c r="BF209" s="502"/>
      <c r="BG209" s="502"/>
      <c r="BH209" s="502"/>
      <c r="BI209" s="502"/>
      <c r="BJ209" s="502"/>
      <c r="BK209" s="502"/>
      <c r="BL209" s="502"/>
      <c r="BM209" s="502"/>
      <c r="BN209" s="502"/>
      <c r="BO209" s="502"/>
      <c r="BP209" s="502"/>
      <c r="BQ209" s="502"/>
      <c r="BR209" s="502"/>
      <c r="BS209" s="502"/>
      <c r="BT209" s="502"/>
      <c r="BU209" s="502"/>
      <c r="BV209" s="502"/>
      <c r="BW209" s="502"/>
      <c r="BX209" s="502"/>
      <c r="BY209" s="502"/>
      <c r="BZ209" s="502"/>
      <c r="CA209" s="502"/>
      <c r="CB209" s="502"/>
      <c r="CC209" s="502"/>
      <c r="CD209" s="502"/>
      <c r="CE209" s="502"/>
      <c r="CF209" s="502"/>
      <c r="CG209" s="502"/>
      <c r="CH209" s="502"/>
      <c r="CI209" s="502"/>
      <c r="CJ209" s="502"/>
      <c r="CK209" s="502"/>
      <c r="CL209" s="502"/>
      <c r="CM209" s="502"/>
      <c r="CN209" s="502"/>
      <c r="CO209" s="502"/>
      <c r="CP209" s="502"/>
      <c r="CQ209" s="502"/>
      <c r="CR209" s="502"/>
      <c r="CS209" s="502"/>
      <c r="CT209" s="502"/>
      <c r="CU209" s="502"/>
      <c r="CV209" s="502"/>
      <c r="CW209" s="502"/>
      <c r="CX209" s="502"/>
      <c r="CY209" s="502"/>
      <c r="CZ209" s="502"/>
      <c r="DA209" s="502"/>
      <c r="DB209" s="502"/>
      <c r="DC209" s="502"/>
    </row>
    <row r="210" spans="1:107" s="339" customFormat="1" x14ac:dyDescent="0.25">
      <c r="A210" s="502"/>
      <c r="B210" s="502"/>
      <c r="C210" s="502"/>
      <c r="D210" s="502"/>
      <c r="E210" s="502"/>
      <c r="F210" s="502"/>
      <c r="G210" s="502"/>
      <c r="H210" s="502"/>
      <c r="I210" s="502"/>
      <c r="J210" s="502"/>
      <c r="K210" s="502"/>
      <c r="L210" s="502"/>
      <c r="M210" s="502"/>
      <c r="N210" s="502"/>
      <c r="O210" s="502"/>
      <c r="P210" s="502"/>
      <c r="Q210" s="502"/>
      <c r="R210" s="502"/>
      <c r="S210" s="502"/>
      <c r="T210" s="502"/>
      <c r="U210" s="502"/>
      <c r="V210" s="502"/>
      <c r="W210" s="502"/>
      <c r="X210" s="502"/>
      <c r="Y210" s="502"/>
      <c r="Z210" s="502"/>
      <c r="AA210" s="502"/>
      <c r="AB210" s="502"/>
      <c r="AC210" s="502"/>
      <c r="AD210" s="502"/>
      <c r="AE210" s="502"/>
      <c r="AF210" s="502"/>
      <c r="AG210" s="502"/>
      <c r="AH210" s="502"/>
      <c r="AI210" s="502"/>
      <c r="AJ210" s="502"/>
      <c r="AK210" s="502"/>
      <c r="AL210" s="502"/>
      <c r="AM210" s="502"/>
      <c r="AN210" s="502"/>
      <c r="AO210" s="502"/>
      <c r="AP210" s="502"/>
      <c r="AQ210" s="502"/>
      <c r="AR210" s="502"/>
      <c r="AS210" s="502"/>
      <c r="AT210" s="502"/>
      <c r="AU210" s="502"/>
      <c r="AV210" s="502"/>
      <c r="AW210" s="502"/>
      <c r="AX210" s="502"/>
      <c r="AY210" s="502"/>
      <c r="AZ210" s="502"/>
      <c r="BA210" s="502"/>
      <c r="BB210" s="502"/>
      <c r="BC210" s="502"/>
      <c r="BD210" s="502"/>
      <c r="BE210" s="502"/>
      <c r="BF210" s="502"/>
      <c r="BG210" s="502"/>
      <c r="BH210" s="502"/>
      <c r="BI210" s="502"/>
      <c r="BJ210" s="502"/>
      <c r="BK210" s="502"/>
      <c r="BL210" s="502"/>
      <c r="BM210" s="502"/>
      <c r="BN210" s="502"/>
      <c r="BO210" s="502"/>
      <c r="BP210" s="502"/>
      <c r="BQ210" s="502"/>
      <c r="BR210" s="502"/>
      <c r="BS210" s="502"/>
      <c r="BT210" s="502"/>
      <c r="BU210" s="502"/>
      <c r="BV210" s="502"/>
      <c r="BW210" s="502"/>
      <c r="BX210" s="502"/>
      <c r="BY210" s="502"/>
      <c r="BZ210" s="502"/>
      <c r="CA210" s="502"/>
      <c r="CB210" s="502"/>
      <c r="CC210" s="502"/>
      <c r="CD210" s="502"/>
      <c r="CE210" s="502"/>
      <c r="CF210" s="502"/>
      <c r="CG210" s="502"/>
      <c r="CH210" s="502"/>
      <c r="CI210" s="502"/>
      <c r="CJ210" s="502"/>
      <c r="CK210" s="502"/>
      <c r="CL210" s="502"/>
      <c r="CM210" s="502"/>
      <c r="CN210" s="502"/>
      <c r="CO210" s="502"/>
      <c r="CP210" s="502"/>
      <c r="CQ210" s="502"/>
      <c r="CR210" s="502"/>
      <c r="CS210" s="502"/>
      <c r="CT210" s="502"/>
      <c r="CU210" s="502"/>
      <c r="CV210" s="502"/>
      <c r="CW210" s="502"/>
      <c r="CX210" s="502"/>
      <c r="CY210" s="502"/>
      <c r="CZ210" s="502"/>
      <c r="DA210" s="502"/>
      <c r="DB210" s="502"/>
      <c r="DC210" s="502"/>
    </row>
    <row r="211" spans="1:107" s="339" customFormat="1" x14ac:dyDescent="0.25">
      <c r="A211" s="502"/>
      <c r="B211" s="502"/>
      <c r="C211" s="502"/>
      <c r="D211" s="502"/>
      <c r="E211" s="502"/>
      <c r="F211" s="502"/>
      <c r="G211" s="502"/>
      <c r="H211" s="502"/>
      <c r="I211" s="502"/>
      <c r="J211" s="502"/>
      <c r="K211" s="502"/>
      <c r="L211" s="502"/>
      <c r="M211" s="502"/>
      <c r="N211" s="502"/>
      <c r="O211" s="502"/>
      <c r="P211" s="502"/>
      <c r="Q211" s="502"/>
      <c r="R211" s="502"/>
      <c r="S211" s="502"/>
      <c r="T211" s="502"/>
      <c r="U211" s="502"/>
      <c r="V211" s="502"/>
      <c r="W211" s="502"/>
      <c r="X211" s="502"/>
      <c r="Y211" s="502"/>
      <c r="Z211" s="502"/>
      <c r="AA211" s="502"/>
      <c r="AB211" s="502"/>
      <c r="AC211" s="502"/>
      <c r="AD211" s="502"/>
      <c r="AE211" s="502"/>
      <c r="AF211" s="502"/>
      <c r="AG211" s="502"/>
      <c r="AH211" s="502"/>
      <c r="AI211" s="502"/>
      <c r="AJ211" s="502"/>
      <c r="AK211" s="502"/>
      <c r="AL211" s="502"/>
      <c r="AM211" s="502"/>
      <c r="AN211" s="502"/>
      <c r="AO211" s="502"/>
      <c r="AP211" s="502"/>
      <c r="AQ211" s="502"/>
      <c r="AR211" s="502"/>
      <c r="AS211" s="502"/>
      <c r="AT211" s="502"/>
      <c r="AU211" s="502"/>
      <c r="AV211" s="502"/>
      <c r="AW211" s="502"/>
      <c r="AX211" s="502"/>
      <c r="AY211" s="502"/>
      <c r="AZ211" s="502"/>
      <c r="BA211" s="502"/>
      <c r="BB211" s="502"/>
      <c r="BC211" s="502"/>
      <c r="BD211" s="502"/>
      <c r="BE211" s="502"/>
      <c r="BF211" s="502"/>
      <c r="BG211" s="502"/>
      <c r="BH211" s="502"/>
      <c r="BI211" s="502"/>
      <c r="BJ211" s="502"/>
      <c r="BK211" s="502"/>
      <c r="BL211" s="502"/>
      <c r="BM211" s="502"/>
      <c r="BN211" s="502"/>
      <c r="BO211" s="502"/>
      <c r="BP211" s="502"/>
      <c r="BQ211" s="502"/>
      <c r="BR211" s="502"/>
      <c r="BS211" s="502"/>
      <c r="BT211" s="502"/>
      <c r="BU211" s="502"/>
      <c r="BV211" s="502"/>
      <c r="BW211" s="502"/>
      <c r="BX211" s="502"/>
      <c r="BY211" s="502"/>
      <c r="BZ211" s="502"/>
      <c r="CA211" s="502"/>
      <c r="CB211" s="502"/>
      <c r="CC211" s="502"/>
      <c r="CD211" s="502"/>
      <c r="CE211" s="502"/>
      <c r="CF211" s="502"/>
      <c r="CG211" s="502"/>
      <c r="CH211" s="502"/>
      <c r="CI211" s="502"/>
      <c r="CJ211" s="502"/>
      <c r="CK211" s="502"/>
      <c r="CL211" s="502"/>
      <c r="CM211" s="502"/>
      <c r="CN211" s="502"/>
      <c r="CO211" s="502"/>
      <c r="CP211" s="502"/>
      <c r="CQ211" s="502"/>
      <c r="CR211" s="502"/>
      <c r="CS211" s="502"/>
      <c r="CT211" s="502"/>
      <c r="CU211" s="502"/>
      <c r="CV211" s="502"/>
      <c r="CW211" s="502"/>
      <c r="CX211" s="502"/>
      <c r="CY211" s="502"/>
      <c r="CZ211" s="502"/>
      <c r="DA211" s="502"/>
      <c r="DB211" s="502"/>
      <c r="DC211" s="502"/>
    </row>
    <row r="212" spans="1:107" s="339" customFormat="1" x14ac:dyDescent="0.25">
      <c r="A212" s="502"/>
      <c r="B212" s="502"/>
      <c r="C212" s="502"/>
      <c r="D212" s="502"/>
      <c r="E212" s="502"/>
      <c r="F212" s="502"/>
      <c r="G212" s="502"/>
      <c r="H212" s="502"/>
      <c r="I212" s="502"/>
      <c r="J212" s="502"/>
      <c r="K212" s="502"/>
      <c r="L212" s="502"/>
      <c r="M212" s="502"/>
      <c r="N212" s="502"/>
      <c r="O212" s="502"/>
      <c r="P212" s="502"/>
      <c r="Q212" s="502"/>
      <c r="R212" s="502"/>
      <c r="S212" s="502"/>
      <c r="T212" s="502"/>
      <c r="U212" s="502"/>
      <c r="V212" s="502"/>
      <c r="W212" s="502"/>
      <c r="X212" s="502"/>
      <c r="Y212" s="502"/>
      <c r="Z212" s="502"/>
      <c r="AA212" s="502"/>
      <c r="AB212" s="502"/>
      <c r="AC212" s="502"/>
      <c r="AD212" s="502"/>
      <c r="AE212" s="502"/>
      <c r="AF212" s="502"/>
      <c r="AG212" s="502"/>
      <c r="AH212" s="502"/>
      <c r="AI212" s="502"/>
      <c r="AJ212" s="502"/>
      <c r="AK212" s="502"/>
      <c r="AL212" s="502"/>
      <c r="AM212" s="502"/>
      <c r="AN212" s="502"/>
      <c r="AO212" s="502"/>
      <c r="AP212" s="502"/>
      <c r="AQ212" s="502"/>
      <c r="AR212" s="502"/>
      <c r="AS212" s="502"/>
      <c r="AT212" s="502"/>
      <c r="AU212" s="502"/>
      <c r="AV212" s="502"/>
      <c r="AW212" s="502"/>
      <c r="AX212" s="502"/>
      <c r="AY212" s="502"/>
      <c r="AZ212" s="502"/>
      <c r="BA212" s="502"/>
      <c r="BB212" s="502"/>
      <c r="BC212" s="502"/>
      <c r="BD212" s="502"/>
      <c r="BE212" s="502"/>
      <c r="BF212" s="502"/>
      <c r="BG212" s="502"/>
      <c r="BH212" s="502"/>
      <c r="BI212" s="502"/>
      <c r="BJ212" s="502"/>
      <c r="BK212" s="502"/>
      <c r="BL212" s="502"/>
      <c r="BM212" s="502"/>
      <c r="BN212" s="502"/>
      <c r="BO212" s="502"/>
      <c r="BP212" s="502"/>
      <c r="BQ212" s="502"/>
      <c r="BR212" s="502"/>
      <c r="BS212" s="502"/>
      <c r="BT212" s="502"/>
      <c r="BU212" s="502"/>
      <c r="BV212" s="502"/>
      <c r="BW212" s="502"/>
      <c r="BX212" s="502"/>
      <c r="BY212" s="502"/>
      <c r="BZ212" s="502"/>
      <c r="CA212" s="502"/>
      <c r="CB212" s="502"/>
      <c r="CC212" s="502"/>
      <c r="CD212" s="502"/>
      <c r="CE212" s="502"/>
      <c r="CF212" s="502"/>
      <c r="CG212" s="502"/>
      <c r="CH212" s="502"/>
      <c r="CI212" s="502"/>
      <c r="CJ212" s="502"/>
      <c r="CK212" s="502"/>
      <c r="CL212" s="502"/>
      <c r="CM212" s="502"/>
      <c r="CN212" s="502"/>
      <c r="CO212" s="502"/>
      <c r="CP212" s="502"/>
      <c r="CQ212" s="502"/>
      <c r="CR212" s="502"/>
      <c r="CS212" s="502"/>
      <c r="CT212" s="502"/>
      <c r="CU212" s="502"/>
      <c r="CV212" s="502"/>
      <c r="CW212" s="502"/>
      <c r="CX212" s="502"/>
      <c r="CY212" s="502"/>
      <c r="CZ212" s="502"/>
      <c r="DA212" s="502"/>
      <c r="DB212" s="502"/>
      <c r="DC212" s="502"/>
    </row>
    <row r="213" spans="1:107" s="339" customFormat="1" x14ac:dyDescent="0.25">
      <c r="A213" s="502"/>
      <c r="B213" s="502"/>
      <c r="C213" s="502"/>
      <c r="D213" s="502"/>
      <c r="E213" s="502"/>
      <c r="F213" s="502"/>
      <c r="G213" s="502"/>
      <c r="H213" s="502"/>
      <c r="I213" s="502"/>
      <c r="J213" s="502"/>
      <c r="K213" s="502"/>
      <c r="L213" s="502"/>
      <c r="M213" s="502"/>
      <c r="N213" s="502"/>
      <c r="O213" s="502"/>
      <c r="P213" s="502"/>
      <c r="Q213" s="502"/>
      <c r="R213" s="502"/>
      <c r="S213" s="502"/>
      <c r="T213" s="502"/>
      <c r="U213" s="502"/>
      <c r="V213" s="502"/>
      <c r="W213" s="502"/>
      <c r="X213" s="502"/>
      <c r="Y213" s="502"/>
      <c r="Z213" s="502"/>
      <c r="AA213" s="502"/>
      <c r="AB213" s="502"/>
      <c r="AC213" s="502"/>
      <c r="AD213" s="502"/>
      <c r="AE213" s="502"/>
      <c r="AF213" s="502"/>
      <c r="AG213" s="502"/>
      <c r="AH213" s="502"/>
      <c r="AI213" s="502"/>
      <c r="AJ213" s="502"/>
      <c r="AK213" s="502"/>
      <c r="AL213" s="502"/>
      <c r="AM213" s="502"/>
      <c r="AN213" s="502"/>
      <c r="AO213" s="502"/>
      <c r="AP213" s="502"/>
      <c r="AQ213" s="502"/>
      <c r="AR213" s="502"/>
      <c r="AS213" s="502"/>
      <c r="AT213" s="502"/>
      <c r="AU213" s="502"/>
      <c r="AV213" s="502"/>
      <c r="AW213" s="502"/>
      <c r="AX213" s="502"/>
      <c r="AY213" s="502"/>
      <c r="AZ213" s="502"/>
      <c r="BA213" s="502"/>
      <c r="BB213" s="502"/>
      <c r="BC213" s="502"/>
      <c r="BD213" s="502"/>
      <c r="BE213" s="502"/>
      <c r="BF213" s="502"/>
      <c r="BG213" s="502"/>
      <c r="BH213" s="502"/>
      <c r="BI213" s="502"/>
      <c r="BJ213" s="502"/>
      <c r="BK213" s="502"/>
      <c r="BL213" s="502"/>
      <c r="BM213" s="502"/>
      <c r="BN213" s="502"/>
      <c r="BO213" s="502"/>
      <c r="BP213" s="502"/>
      <c r="BQ213" s="502"/>
      <c r="BR213" s="502"/>
      <c r="BS213" s="502"/>
      <c r="BT213" s="502"/>
      <c r="BU213" s="502"/>
      <c r="BV213" s="502"/>
      <c r="BW213" s="502"/>
      <c r="BX213" s="502"/>
      <c r="BY213" s="502"/>
      <c r="BZ213" s="502"/>
      <c r="CA213" s="502"/>
      <c r="CB213" s="502"/>
      <c r="CC213" s="502"/>
      <c r="CD213" s="502"/>
      <c r="CE213" s="502"/>
      <c r="CF213" s="502"/>
      <c r="CG213" s="502"/>
      <c r="CH213" s="502"/>
      <c r="CI213" s="502"/>
      <c r="CJ213" s="502"/>
      <c r="CK213" s="502"/>
      <c r="CL213" s="502"/>
      <c r="CM213" s="502"/>
      <c r="CN213" s="502"/>
      <c r="CO213" s="502"/>
      <c r="CP213" s="502"/>
      <c r="CQ213" s="502"/>
      <c r="CR213" s="502"/>
      <c r="CS213" s="502"/>
      <c r="CT213" s="502"/>
      <c r="CU213" s="502"/>
      <c r="CV213" s="502"/>
      <c r="CW213" s="502"/>
      <c r="CX213" s="502"/>
      <c r="CY213" s="502"/>
      <c r="CZ213" s="502"/>
      <c r="DA213" s="502"/>
      <c r="DB213" s="502"/>
      <c r="DC213" s="502"/>
    </row>
    <row r="214" spans="1:107" x14ac:dyDescent="0.25">
      <c r="B214" s="502"/>
      <c r="C214" s="502"/>
      <c r="D214" s="502"/>
      <c r="E214" s="502"/>
      <c r="F214" s="502"/>
      <c r="G214" s="502"/>
      <c r="H214" s="502"/>
    </row>
    <row r="215" spans="1:107" ht="16.5" x14ac:dyDescent="0.25">
      <c r="B215" s="818"/>
      <c r="C215" s="502"/>
      <c r="D215" s="502"/>
      <c r="E215" s="502"/>
      <c r="F215" s="502"/>
      <c r="G215" s="502"/>
      <c r="H215" s="502"/>
    </row>
    <row r="216" spans="1:107" x14ac:dyDescent="0.25">
      <c r="B216" s="502"/>
      <c r="C216" s="502"/>
      <c r="D216" s="502"/>
      <c r="E216" s="502"/>
      <c r="F216" s="502"/>
      <c r="G216" s="502"/>
      <c r="H216" s="502"/>
    </row>
    <row r="217" spans="1:107" x14ac:dyDescent="0.25">
      <c r="B217" s="502"/>
      <c r="C217" s="502"/>
      <c r="D217" s="502"/>
      <c r="E217" s="502"/>
      <c r="F217" s="502"/>
      <c r="G217" s="502"/>
      <c r="H217" s="502"/>
    </row>
    <row r="218" spans="1:107" x14ac:dyDescent="0.25">
      <c r="B218" s="502"/>
      <c r="C218" s="502"/>
      <c r="D218" s="502"/>
      <c r="E218" s="502"/>
      <c r="F218" s="502"/>
      <c r="G218" s="502"/>
      <c r="H218" s="502"/>
    </row>
    <row r="219" spans="1:107" x14ac:dyDescent="0.25">
      <c r="B219" s="502"/>
      <c r="F219" s="502"/>
      <c r="G219" s="502"/>
      <c r="H219" s="502"/>
    </row>
    <row r="220" spans="1:107" x14ac:dyDescent="0.25">
      <c r="B220" s="502"/>
      <c r="C220" s="502"/>
      <c r="D220" s="502"/>
      <c r="E220" s="502"/>
      <c r="F220" s="502"/>
      <c r="G220" s="502"/>
      <c r="H220" s="502"/>
    </row>
    <row r="221" spans="1:107" x14ac:dyDescent="0.25">
      <c r="B221" s="502"/>
      <c r="C221" s="502"/>
      <c r="D221" s="502"/>
      <c r="E221" s="502"/>
      <c r="F221" s="502"/>
      <c r="G221" s="502"/>
      <c r="H221" s="502"/>
    </row>
    <row r="222" spans="1:107" ht="16.5" x14ac:dyDescent="0.25">
      <c r="B222" s="818"/>
      <c r="C222" s="502"/>
      <c r="D222" s="502"/>
      <c r="E222" s="502"/>
      <c r="F222" s="502"/>
      <c r="G222" s="502"/>
      <c r="H222" s="502"/>
    </row>
    <row r="223" spans="1:107" x14ac:dyDescent="0.25">
      <c r="B223" s="502"/>
      <c r="C223" s="502"/>
      <c r="D223" s="502"/>
      <c r="E223" s="502"/>
      <c r="F223" s="502"/>
      <c r="G223" s="502"/>
      <c r="H223" s="502"/>
    </row>
    <row r="224" spans="1:107" x14ac:dyDescent="0.25">
      <c r="B224" s="502"/>
      <c r="C224" s="502"/>
      <c r="D224" s="502"/>
      <c r="E224" s="502"/>
      <c r="F224" s="502"/>
      <c r="G224" s="502"/>
      <c r="H224" s="502"/>
    </row>
    <row r="225" spans="2:8" x14ac:dyDescent="0.25">
      <c r="B225" s="502"/>
      <c r="C225" s="502"/>
      <c r="D225" s="502"/>
      <c r="E225" s="502"/>
      <c r="F225" s="502"/>
      <c r="G225" s="502"/>
      <c r="H225" s="502"/>
    </row>
    <row r="226" spans="2:8" x14ac:dyDescent="0.25">
      <c r="B226" s="502"/>
      <c r="C226" s="502"/>
      <c r="D226" s="502"/>
      <c r="E226" s="502"/>
      <c r="F226" s="502"/>
      <c r="G226" s="502"/>
      <c r="H226" s="502"/>
    </row>
    <row r="227" spans="2:8" x14ac:dyDescent="0.25">
      <c r="B227" s="502"/>
      <c r="C227" s="502"/>
      <c r="D227" s="502"/>
      <c r="E227" s="502"/>
      <c r="F227" s="502"/>
      <c r="G227" s="502"/>
      <c r="H227" s="502"/>
    </row>
    <row r="228" spans="2:8" x14ac:dyDescent="0.25">
      <c r="B228" s="502"/>
      <c r="C228" s="502"/>
      <c r="D228" s="502"/>
      <c r="E228" s="502"/>
      <c r="F228" s="502"/>
      <c r="G228" s="502"/>
      <c r="H228" s="502"/>
    </row>
    <row r="229" spans="2:8" x14ac:dyDescent="0.25">
      <c r="B229" s="502"/>
      <c r="C229" s="502"/>
      <c r="D229" s="502"/>
      <c r="E229" s="502"/>
      <c r="F229" s="502"/>
      <c r="G229" s="502"/>
      <c r="H229" s="502"/>
    </row>
    <row r="230" spans="2:8" x14ac:dyDescent="0.25">
      <c r="B230" s="502"/>
      <c r="C230" s="502"/>
      <c r="D230" s="502"/>
      <c r="E230" s="502"/>
      <c r="F230" s="502"/>
      <c r="G230" s="502"/>
      <c r="H230" s="502"/>
    </row>
    <row r="231" spans="2:8" x14ac:dyDescent="0.25">
      <c r="B231" s="502"/>
      <c r="C231" s="502"/>
      <c r="D231" s="502"/>
      <c r="E231" s="502"/>
      <c r="F231" s="502"/>
      <c r="G231" s="502"/>
      <c r="H231" s="502"/>
    </row>
    <row r="232" spans="2:8" x14ac:dyDescent="0.25">
      <c r="B232" s="502"/>
      <c r="C232" s="502"/>
      <c r="D232" s="502"/>
      <c r="E232" s="502"/>
      <c r="F232" s="502"/>
      <c r="G232" s="502"/>
      <c r="H232" s="502"/>
    </row>
    <row r="233" spans="2:8" x14ac:dyDescent="0.25">
      <c r="B233" s="502"/>
      <c r="C233" s="502"/>
      <c r="D233" s="502"/>
      <c r="E233" s="502"/>
      <c r="F233" s="502"/>
      <c r="G233" s="502"/>
      <c r="H233" s="502"/>
    </row>
    <row r="234" spans="2:8" x14ac:dyDescent="0.25">
      <c r="B234" s="502"/>
      <c r="C234" s="502"/>
      <c r="D234" s="502"/>
      <c r="E234" s="502"/>
      <c r="F234" s="502"/>
      <c r="G234" s="502"/>
      <c r="H234" s="502"/>
    </row>
    <row r="235" spans="2:8" x14ac:dyDescent="0.25">
      <c r="B235" s="502"/>
      <c r="C235" s="502"/>
      <c r="D235" s="502"/>
      <c r="E235" s="502"/>
      <c r="F235" s="502"/>
      <c r="G235" s="502"/>
      <c r="H235" s="502"/>
    </row>
  </sheetData>
  <mergeCells count="71">
    <mergeCell ref="B49:H49"/>
    <mergeCell ref="E12:F12"/>
    <mergeCell ref="G11:H11"/>
    <mergeCell ref="G12:H12"/>
    <mergeCell ref="E15:F15"/>
    <mergeCell ref="G14:H14"/>
    <mergeCell ref="C11:D11"/>
    <mergeCell ref="C12:D12"/>
    <mergeCell ref="C16:D16"/>
    <mergeCell ref="G32:H32"/>
    <mergeCell ref="C22:H22"/>
    <mergeCell ref="E30:F30"/>
    <mergeCell ref="C33:D33"/>
    <mergeCell ref="E32:F32"/>
    <mergeCell ref="E33:F33"/>
    <mergeCell ref="E31:F31"/>
    <mergeCell ref="C3:H3"/>
    <mergeCell ref="G33:H33"/>
    <mergeCell ref="G10:H10"/>
    <mergeCell ref="C10:D10"/>
    <mergeCell ref="G81:H81"/>
    <mergeCell ref="C66:D66"/>
    <mergeCell ref="C67:D67"/>
    <mergeCell ref="C68:D68"/>
    <mergeCell ref="C65:D65"/>
    <mergeCell ref="E65:F65"/>
    <mergeCell ref="G67:H67"/>
    <mergeCell ref="G68:H68"/>
    <mergeCell ref="G65:H65"/>
    <mergeCell ref="G69:H69"/>
    <mergeCell ref="E66:F66"/>
    <mergeCell ref="E67:F67"/>
    <mergeCell ref="E68:F68"/>
    <mergeCell ref="E69:F69"/>
    <mergeCell ref="C5:H5"/>
    <mergeCell ref="E10:F10"/>
    <mergeCell ref="E11:F11"/>
    <mergeCell ref="C6:H6"/>
    <mergeCell ref="C7:H7"/>
    <mergeCell ref="G66:H66"/>
    <mergeCell ref="C13:D13"/>
    <mergeCell ref="C14:D14"/>
    <mergeCell ref="C15:D15"/>
    <mergeCell ref="E13:F13"/>
    <mergeCell ref="E14:F14"/>
    <mergeCell ref="C30:D30"/>
    <mergeCell ref="G30:H30"/>
    <mergeCell ref="G16:H16"/>
    <mergeCell ref="E16:F16"/>
    <mergeCell ref="C21:H21"/>
    <mergeCell ref="C24:H24"/>
    <mergeCell ref="C26:H26"/>
    <mergeCell ref="G31:H31"/>
    <mergeCell ref="C31:D31"/>
    <mergeCell ref="C32:D32"/>
    <mergeCell ref="B47:H47"/>
    <mergeCell ref="G15:H15"/>
    <mergeCell ref="G13:H13"/>
    <mergeCell ref="B61:H61"/>
    <mergeCell ref="B84:H84"/>
    <mergeCell ref="B53:H53"/>
    <mergeCell ref="B55:H55"/>
    <mergeCell ref="C70:D70"/>
    <mergeCell ref="E70:F70"/>
    <mergeCell ref="G70:H70"/>
    <mergeCell ref="C74:D74"/>
    <mergeCell ref="E74:F74"/>
    <mergeCell ref="G74:H74"/>
    <mergeCell ref="E81:F81"/>
    <mergeCell ref="B59:H59"/>
    <mergeCell ref="C81:D81"/>
  </mergeCells>
  <pageMargins left="0.39370078740157483" right="0.39370078740157483" top="0.51181102362204722" bottom="0.51181102362204722" header="0.31496062992125984" footer="0.31496062992125984"/>
  <pageSetup paperSize="9" orientation="portrait" r:id="rId1"/>
  <headerFooter>
    <oddFooter>&amp;R&amp;9Page &amp;P</oddFooter>
  </headerFooter>
  <rowBreaks count="7" manualBreakCount="7">
    <brk id="44" max="16383" man="1"/>
    <brk id="71" max="16383" man="1"/>
    <brk id="86" max="16383" man="1"/>
    <brk id="127" max="16383" man="1"/>
    <brk id="202" max="16383" man="1"/>
    <brk id="235" max="16383" man="1"/>
    <brk id="248"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BT238"/>
  <sheetViews>
    <sheetView zoomScale="110" zoomScaleNormal="110" workbookViewId="0">
      <pane xSplit="2" ySplit="2" topLeftCell="C3" activePane="bottomRight" state="frozen"/>
      <selection pane="topRight" activeCell="C1" sqref="C1"/>
      <selection pane="bottomLeft" activeCell="A3" sqref="A3"/>
      <selection pane="bottomRight" activeCell="A2" sqref="A2"/>
    </sheetView>
  </sheetViews>
  <sheetFormatPr defaultRowHeight="15" x14ac:dyDescent="0.25"/>
  <cols>
    <col min="1" max="1" width="33.140625" style="301" customWidth="1"/>
    <col min="2" max="2" width="9.7109375" style="305" customWidth="1"/>
    <col min="3" max="4" width="9.85546875" style="301" customWidth="1"/>
    <col min="5" max="5" width="9.85546875" style="340" customWidth="1"/>
    <col min="6" max="7" width="9.85546875" style="301" customWidth="1"/>
    <col min="8" max="8" width="9.85546875" style="340" customWidth="1"/>
    <col min="9" max="10" width="9.85546875" style="301" customWidth="1"/>
    <col min="11" max="11" width="9.85546875" style="340" customWidth="1"/>
    <col min="12" max="13" width="9.85546875" style="339" customWidth="1"/>
    <col min="14" max="14" width="9.85546875" style="340" customWidth="1"/>
    <col min="15" max="15" width="9.85546875" style="301" customWidth="1"/>
    <col min="16" max="16" width="9.85546875" style="339" customWidth="1"/>
    <col min="17" max="18" width="9.85546875" style="301" customWidth="1"/>
    <col min="19" max="19" width="109.42578125" customWidth="1"/>
    <col min="20" max="20" width="15.7109375" style="301" customWidth="1"/>
    <col min="21" max="28" width="9.140625" style="301" customWidth="1"/>
    <col min="29" max="30" width="16.85546875" style="301" customWidth="1"/>
    <col min="31" max="31" width="9.140625" style="339" customWidth="1"/>
    <col min="32" max="32" width="21.28515625" style="339" customWidth="1"/>
    <col min="33" max="33" width="49.85546875" style="339" customWidth="1"/>
    <col min="34" max="38" width="9.140625" style="339" customWidth="1"/>
    <col min="39" max="47" width="9.140625" style="301" customWidth="1"/>
    <col min="48" max="48" width="16" style="301" customWidth="1"/>
    <col min="49" max="59" width="9.140625" style="301"/>
    <col min="60" max="60" width="19.140625" style="301" customWidth="1"/>
    <col min="61" max="16384" width="9.140625" style="301"/>
  </cols>
  <sheetData>
    <row r="1" spans="1:72" ht="16.5" x14ac:dyDescent="0.25">
      <c r="A1" s="502"/>
      <c r="B1" s="792"/>
      <c r="C1" s="327" t="s">
        <v>888</v>
      </c>
      <c r="D1" s="326"/>
      <c r="E1" s="326"/>
      <c r="F1" s="904"/>
      <c r="G1" s="909"/>
      <c r="H1" s="909" t="s">
        <v>887</v>
      </c>
      <c r="I1" s="904" t="s">
        <v>884</v>
      </c>
      <c r="J1" s="325"/>
      <c r="K1" s="325"/>
      <c r="L1" s="618"/>
      <c r="M1" s="618"/>
      <c r="N1" s="618" t="s">
        <v>885</v>
      </c>
      <c r="O1" s="618" t="s">
        <v>877</v>
      </c>
      <c r="P1" s="618"/>
      <c r="Q1" s="618" t="s">
        <v>411</v>
      </c>
      <c r="R1" s="324"/>
      <c r="AD1" s="372" t="s">
        <v>423</v>
      </c>
      <c r="AF1" s="901"/>
      <c r="AG1" s="902"/>
      <c r="AO1" s="510"/>
      <c r="AP1" s="897"/>
      <c r="AQ1" s="897"/>
      <c r="AR1" s="897"/>
      <c r="AS1" s="897"/>
      <c r="AT1" s="897"/>
      <c r="AU1" s="897"/>
      <c r="AV1" s="897"/>
      <c r="AW1" s="897"/>
      <c r="AX1" s="510"/>
      <c r="AY1" s="897"/>
      <c r="AZ1" s="897"/>
      <c r="BA1" s="897"/>
      <c r="BB1" s="897"/>
      <c r="BC1" s="897"/>
      <c r="BD1" s="897"/>
      <c r="BE1" s="897"/>
      <c r="BF1" s="897"/>
      <c r="BG1" s="897"/>
      <c r="BH1" s="899"/>
      <c r="BI1" s="897"/>
      <c r="BJ1" s="897"/>
      <c r="BK1" s="897"/>
      <c r="BL1" s="897"/>
      <c r="BR1" s="502"/>
      <c r="BS1" s="502"/>
      <c r="BT1" s="502"/>
    </row>
    <row r="2" spans="1:72" s="339" customFormat="1" ht="45" x14ac:dyDescent="0.25">
      <c r="A2" s="502"/>
      <c r="B2" s="792"/>
      <c r="C2" s="983" t="s">
        <v>871</v>
      </c>
      <c r="D2" s="984" t="s">
        <v>874</v>
      </c>
      <c r="E2" s="984" t="s">
        <v>872</v>
      </c>
      <c r="F2" s="984" t="s">
        <v>873</v>
      </c>
      <c r="G2" s="984" t="s">
        <v>1014</v>
      </c>
      <c r="H2" s="984" t="s">
        <v>886</v>
      </c>
      <c r="I2" s="984" t="s">
        <v>878</v>
      </c>
      <c r="J2" s="984" t="s">
        <v>881</v>
      </c>
      <c r="K2" s="984" t="s">
        <v>879</v>
      </c>
      <c r="L2" s="984" t="s">
        <v>880</v>
      </c>
      <c r="M2" s="984" t="s">
        <v>883</v>
      </c>
      <c r="N2" s="984" t="s">
        <v>882</v>
      </c>
      <c r="O2" s="984" t="s">
        <v>959</v>
      </c>
      <c r="P2" s="984" t="s">
        <v>1015</v>
      </c>
      <c r="Q2" s="984" t="s">
        <v>876</v>
      </c>
      <c r="R2" s="985" t="s">
        <v>875</v>
      </c>
      <c r="AC2" s="364" t="str">
        <f>HLOOKUP(Start!$B$14,$C$2:$R$338,+AD2, FALSE)</f>
        <v>Fattening pigs, slurry (DK)</v>
      </c>
      <c r="AD2" s="373">
        <v>1</v>
      </c>
      <c r="AF2" s="903"/>
      <c r="AG2" s="44"/>
      <c r="AO2" s="900"/>
      <c r="AP2" s="811"/>
      <c r="AQ2" s="897"/>
      <c r="AR2" s="897"/>
      <c r="AS2" s="897"/>
      <c r="AT2" s="897"/>
      <c r="AU2" s="897"/>
      <c r="AV2" s="555"/>
      <c r="AW2" s="897"/>
      <c r="AX2" s="900"/>
      <c r="AY2" s="897"/>
      <c r="AZ2" s="811"/>
      <c r="BA2" s="897"/>
      <c r="BB2" s="897"/>
      <c r="BC2" s="897"/>
      <c r="BD2" s="897"/>
      <c r="BE2" s="897"/>
      <c r="BF2" s="897"/>
      <c r="BG2" s="897"/>
      <c r="BH2" s="897"/>
      <c r="BI2" s="897"/>
      <c r="BJ2" s="897"/>
      <c r="BK2" s="897"/>
      <c r="BL2" s="897"/>
      <c r="BR2" s="502"/>
      <c r="BS2" s="502"/>
      <c r="BT2" s="502"/>
    </row>
    <row r="3" spans="1:72" ht="6.75" customHeight="1" x14ac:dyDescent="0.25">
      <c r="B3" s="792"/>
      <c r="C3" s="907"/>
      <c r="D3" s="907"/>
      <c r="E3" s="907"/>
      <c r="F3" s="907"/>
      <c r="G3" s="907"/>
      <c r="H3" s="907"/>
      <c r="I3" s="908"/>
      <c r="J3" s="908"/>
      <c r="K3" s="908"/>
      <c r="L3" s="908"/>
      <c r="M3" s="908"/>
      <c r="N3" s="908"/>
      <c r="O3" s="908"/>
      <c r="P3" s="908"/>
      <c r="Q3" s="908"/>
      <c r="R3" s="908"/>
      <c r="AC3" s="339"/>
      <c r="AD3" s="373">
        <f>+AD2+1</f>
        <v>2</v>
      </c>
      <c r="AF3" s="901"/>
      <c r="AG3" s="902"/>
      <c r="AO3" s="900"/>
      <c r="AP3" s="811"/>
      <c r="AQ3" s="897"/>
      <c r="AR3" s="897"/>
      <c r="AS3" s="897"/>
      <c r="AT3" s="897"/>
      <c r="AU3" s="897"/>
      <c r="AV3" s="555"/>
      <c r="AW3" s="897"/>
      <c r="AX3" s="900"/>
      <c r="AY3" s="897"/>
      <c r="AZ3" s="811"/>
      <c r="BA3" s="897"/>
      <c r="BB3" s="897"/>
      <c r="BC3" s="897"/>
      <c r="BD3" s="897"/>
      <c r="BE3" s="897"/>
      <c r="BF3" s="897"/>
      <c r="BG3" s="897"/>
      <c r="BH3" s="898"/>
      <c r="BI3" s="898"/>
      <c r="BJ3" s="897"/>
      <c r="BK3" s="897"/>
      <c r="BL3" s="897"/>
    </row>
    <row r="4" spans="1:72" s="339" customFormat="1" ht="12" customHeight="1" x14ac:dyDescent="0.25">
      <c r="A4" s="890" t="s">
        <v>386</v>
      </c>
      <c r="B4" s="792"/>
      <c r="C4" s="502"/>
      <c r="D4" s="502"/>
      <c r="E4" s="897"/>
      <c r="F4" s="502"/>
      <c r="G4" s="502"/>
      <c r="H4" s="897"/>
      <c r="I4" s="502"/>
      <c r="J4" s="502"/>
      <c r="K4" s="811"/>
      <c r="L4" s="811"/>
      <c r="M4" s="811"/>
      <c r="N4" s="811"/>
      <c r="O4" s="811"/>
      <c r="P4" s="811"/>
      <c r="Q4" s="811"/>
      <c r="R4" s="502"/>
      <c r="S4"/>
      <c r="T4" s="301"/>
      <c r="U4" s="301"/>
      <c r="V4" s="301"/>
      <c r="W4" s="301"/>
      <c r="X4" s="301"/>
      <c r="Y4" s="301"/>
      <c r="Z4" s="301"/>
      <c r="AA4" s="301"/>
      <c r="AB4" s="301"/>
      <c r="AC4" s="364">
        <f>HLOOKUP(Start!$B$14,$C$2:$R$338,+AD4, FALSE)</f>
        <v>0</v>
      </c>
      <c r="AD4" s="373">
        <f t="shared" ref="AD4:AD70" si="0">+AD3+1</f>
        <v>3</v>
      </c>
      <c r="AO4" s="900"/>
      <c r="AP4" s="897"/>
      <c r="AQ4" s="897"/>
      <c r="AR4" s="897"/>
      <c r="AS4" s="897"/>
      <c r="AT4" s="897"/>
      <c r="AU4" s="897"/>
      <c r="AV4" s="555"/>
      <c r="AW4" s="897"/>
      <c r="AX4" s="897"/>
      <c r="AY4" s="897"/>
      <c r="AZ4" s="897"/>
      <c r="BA4" s="897"/>
      <c r="BB4" s="897"/>
      <c r="BC4" s="897"/>
      <c r="BD4" s="897"/>
      <c r="BE4" s="897"/>
      <c r="BF4" s="897"/>
      <c r="BG4" s="897"/>
      <c r="BH4" s="897"/>
      <c r="BI4" s="897"/>
      <c r="BJ4" s="897"/>
      <c r="BK4" s="897"/>
      <c r="BL4" s="897"/>
    </row>
    <row r="5" spans="1:72" s="339" customFormat="1" ht="6" customHeight="1" thickBot="1" x14ac:dyDescent="0.3">
      <c r="A5" s="818"/>
      <c r="B5" s="792"/>
      <c r="C5" s="502"/>
      <c r="D5" s="502"/>
      <c r="E5" s="897"/>
      <c r="F5" s="502"/>
      <c r="G5" s="502"/>
      <c r="H5" s="897"/>
      <c r="I5" s="502"/>
      <c r="J5" s="502"/>
      <c r="K5" s="811"/>
      <c r="L5" s="811"/>
      <c r="M5" s="811"/>
      <c r="N5" s="811"/>
      <c r="O5" s="811"/>
      <c r="P5" s="811"/>
      <c r="Q5" s="811"/>
      <c r="R5" s="502"/>
      <c r="AC5" s="364">
        <f>HLOOKUP(Start!$B$14,$C$2:$R$338,+AD5, FALSE)</f>
        <v>0</v>
      </c>
      <c r="AD5" s="373">
        <f t="shared" si="0"/>
        <v>4</v>
      </c>
      <c r="AO5" s="900"/>
      <c r="AP5" s="811"/>
      <c r="AQ5" s="897"/>
      <c r="AR5" s="897"/>
      <c r="AS5" s="897"/>
      <c r="AT5" s="897"/>
      <c r="AU5" s="897"/>
      <c r="AV5" s="555"/>
      <c r="AW5" s="897"/>
      <c r="AX5" s="897"/>
      <c r="AY5" s="897"/>
      <c r="AZ5" s="897"/>
      <c r="BA5" s="897"/>
      <c r="BB5" s="897"/>
      <c r="BC5" s="897"/>
      <c r="BD5" s="897"/>
      <c r="BE5" s="897"/>
      <c r="BF5" s="897"/>
      <c r="BG5" s="897"/>
      <c r="BH5" s="897"/>
      <c r="BI5" s="897"/>
      <c r="BJ5" s="897"/>
    </row>
    <row r="6" spans="1:72" ht="24" x14ac:dyDescent="0.25">
      <c r="A6" s="882" t="s">
        <v>867</v>
      </c>
      <c r="B6" s="998"/>
      <c r="C6" s="769" t="s">
        <v>384</v>
      </c>
      <c r="D6" s="770" t="s">
        <v>384</v>
      </c>
      <c r="E6" s="770" t="s">
        <v>384</v>
      </c>
      <c r="F6" s="770" t="s">
        <v>384</v>
      </c>
      <c r="G6" s="770" t="s">
        <v>384</v>
      </c>
      <c r="H6" s="770" t="s">
        <v>384</v>
      </c>
      <c r="I6" s="770" t="s">
        <v>384</v>
      </c>
      <c r="J6" s="770" t="s">
        <v>384</v>
      </c>
      <c r="K6" s="770" t="s">
        <v>384</v>
      </c>
      <c r="L6" s="770" t="s">
        <v>384</v>
      </c>
      <c r="M6" s="770" t="s">
        <v>384</v>
      </c>
      <c r="N6" s="770" t="s">
        <v>384</v>
      </c>
      <c r="O6" s="770" t="s">
        <v>384</v>
      </c>
      <c r="P6" s="770" t="s">
        <v>384</v>
      </c>
      <c r="Q6" s="770" t="s">
        <v>384</v>
      </c>
      <c r="R6" s="771" t="s">
        <v>384</v>
      </c>
      <c r="S6" s="762"/>
      <c r="T6" s="339"/>
      <c r="U6" s="339"/>
      <c r="V6" s="339"/>
      <c r="W6" s="339"/>
      <c r="X6" s="339"/>
      <c r="Y6" s="339"/>
      <c r="Z6" s="339"/>
      <c r="AA6" s="339"/>
      <c r="AB6" s="339"/>
      <c r="AC6" s="364" t="str">
        <f>HLOOKUP(Start!$B$14,$C$2:$R$338,+AD6, FALSE)</f>
        <v>ex-
animal</v>
      </c>
      <c r="AD6" s="373">
        <f t="shared" si="0"/>
        <v>5</v>
      </c>
      <c r="AO6" s="897"/>
      <c r="AP6" s="897"/>
      <c r="AQ6" s="897"/>
      <c r="AR6" s="897"/>
      <c r="AS6" s="897"/>
      <c r="AT6" s="897"/>
      <c r="AU6" s="897"/>
      <c r="AV6" s="897"/>
      <c r="AW6" s="897"/>
      <c r="AX6" s="897"/>
      <c r="AY6" s="897"/>
      <c r="AZ6" s="897"/>
      <c r="BA6" s="897"/>
      <c r="BB6" s="897"/>
      <c r="BC6" s="897"/>
      <c r="BD6" s="897"/>
      <c r="BE6" s="897"/>
      <c r="BF6" s="897"/>
      <c r="BG6" s="897"/>
      <c r="BH6" s="897"/>
      <c r="BI6" s="897"/>
      <c r="BJ6" s="897"/>
    </row>
    <row r="7" spans="1:72" x14ac:dyDescent="0.25">
      <c r="A7" s="883" t="s">
        <v>381</v>
      </c>
      <c r="B7" s="792"/>
      <c r="C7" s="755">
        <v>1</v>
      </c>
      <c r="D7" s="374">
        <v>1</v>
      </c>
      <c r="E7" s="374">
        <v>1</v>
      </c>
      <c r="F7" s="374">
        <v>1</v>
      </c>
      <c r="G7" s="374">
        <v>1</v>
      </c>
      <c r="H7" s="374">
        <v>1</v>
      </c>
      <c r="I7" s="374">
        <v>1</v>
      </c>
      <c r="J7" s="374">
        <v>1</v>
      </c>
      <c r="K7" s="374">
        <v>1</v>
      </c>
      <c r="L7" s="374">
        <v>1</v>
      </c>
      <c r="M7" s="374">
        <v>1</v>
      </c>
      <c r="N7" s="374">
        <v>1</v>
      </c>
      <c r="O7" s="374">
        <v>1</v>
      </c>
      <c r="P7" s="374">
        <v>1</v>
      </c>
      <c r="Q7" s="374">
        <v>1</v>
      </c>
      <c r="R7" s="756">
        <v>1</v>
      </c>
      <c r="S7" s="762"/>
      <c r="T7" s="339"/>
      <c r="U7" s="339"/>
      <c r="V7" s="339"/>
      <c r="W7" s="339"/>
      <c r="X7" s="339"/>
      <c r="Y7" s="339"/>
      <c r="Z7" s="339"/>
      <c r="AA7" s="339"/>
      <c r="AB7" s="339"/>
      <c r="AC7" s="364">
        <f>HLOOKUP(Start!$B$14,$C$2:$R$338,+AD7, FALSE)</f>
        <v>1</v>
      </c>
      <c r="AD7" s="373">
        <f t="shared" si="0"/>
        <v>6</v>
      </c>
      <c r="AO7" s="897"/>
      <c r="AP7" s="897"/>
      <c r="AQ7" s="897"/>
      <c r="AR7" s="897"/>
      <c r="AS7" s="897"/>
      <c r="AT7" s="897"/>
      <c r="AU7" s="897"/>
      <c r="AV7" s="897"/>
      <c r="AW7" s="897"/>
      <c r="AX7" s="897"/>
      <c r="AY7" s="897"/>
      <c r="AZ7" s="897"/>
      <c r="BA7" s="897"/>
      <c r="BB7" s="897"/>
      <c r="BC7" s="897"/>
      <c r="BD7" s="897"/>
      <c r="BE7" s="897"/>
      <c r="BF7" s="897"/>
      <c r="BG7" s="897"/>
      <c r="BH7" s="897"/>
      <c r="BI7" s="897"/>
      <c r="BJ7" s="897"/>
    </row>
    <row r="8" spans="1:72" x14ac:dyDescent="0.25">
      <c r="A8" s="884" t="s">
        <v>380</v>
      </c>
      <c r="B8" s="792"/>
      <c r="C8" s="942">
        <v>74.518028055518201</v>
      </c>
      <c r="D8" s="941">
        <v>72</v>
      </c>
      <c r="E8" s="758">
        <v>70</v>
      </c>
      <c r="F8" s="941">
        <v>95.740030674846608</v>
      </c>
      <c r="G8" s="941">
        <v>71.819444444444656</v>
      </c>
      <c r="H8" s="941">
        <v>129.77738376674529</v>
      </c>
      <c r="I8" s="940">
        <v>114.6894763303432</v>
      </c>
      <c r="J8" s="758">
        <v>114.9</v>
      </c>
      <c r="K8" s="758">
        <v>104.4</v>
      </c>
      <c r="L8" s="941">
        <v>121.330686111316</v>
      </c>
      <c r="M8" s="941">
        <v>113.51777777777772</v>
      </c>
      <c r="N8" s="941">
        <v>232.5</v>
      </c>
      <c r="O8" s="941">
        <v>307.17717261904755</v>
      </c>
      <c r="P8" s="941">
        <v>307.17717261904755</v>
      </c>
      <c r="Q8" s="758">
        <v>300</v>
      </c>
      <c r="R8" s="759">
        <v>700</v>
      </c>
      <c r="S8" s="763" t="s">
        <v>840</v>
      </c>
      <c r="T8" s="339"/>
      <c r="U8" s="339"/>
      <c r="V8" s="339"/>
      <c r="W8" s="339"/>
      <c r="X8" s="339"/>
      <c r="Y8" s="339"/>
      <c r="Z8" s="339"/>
      <c r="AA8" s="339"/>
      <c r="AB8" s="339"/>
      <c r="AC8" s="364">
        <f>HLOOKUP(Start!$B$14,$C$2:$R$338,+AD8, FALSE)</f>
        <v>74.518028055518201</v>
      </c>
      <c r="AD8" s="373">
        <f t="shared" si="0"/>
        <v>7</v>
      </c>
      <c r="AO8" s="897"/>
      <c r="AP8" s="897"/>
      <c r="AQ8" s="897"/>
      <c r="AR8" s="897"/>
      <c r="AS8" s="897"/>
      <c r="AT8" s="897"/>
      <c r="AU8" s="897"/>
      <c r="AV8" s="897"/>
      <c r="AW8" s="897"/>
      <c r="AX8" s="897"/>
      <c r="AY8" s="897"/>
      <c r="AZ8" s="897"/>
      <c r="BA8" s="897"/>
      <c r="BB8" s="897"/>
      <c r="BC8" s="897"/>
      <c r="BD8" s="897"/>
      <c r="BE8" s="897"/>
      <c r="BF8" s="897"/>
      <c r="BG8" s="897"/>
      <c r="BH8" s="897"/>
      <c r="BI8" s="897"/>
      <c r="BJ8" s="897"/>
    </row>
    <row r="9" spans="1:72" s="339" customFormat="1" x14ac:dyDescent="0.25">
      <c r="A9" s="884" t="s">
        <v>379</v>
      </c>
      <c r="B9" s="792"/>
      <c r="C9" s="942">
        <v>14.154893617021273</v>
      </c>
      <c r="D9" s="941">
        <v>15.360619161072911</v>
      </c>
      <c r="E9" s="941">
        <v>13.730026071623193</v>
      </c>
      <c r="F9" s="941">
        <v>19.898325414110417</v>
      </c>
      <c r="G9" s="941">
        <v>14.36388888888893</v>
      </c>
      <c r="H9" s="941">
        <v>43.404255319148987</v>
      </c>
      <c r="I9" s="940">
        <v>16.543058823529421</v>
      </c>
      <c r="J9" s="940">
        <v>22.279009097970089</v>
      </c>
      <c r="K9" s="940">
        <v>19.28442208769286</v>
      </c>
      <c r="L9" s="941">
        <v>22.266176278464158</v>
      </c>
      <c r="M9" s="941">
        <v>22.703555555555539</v>
      </c>
      <c r="N9" s="941">
        <v>56.870619999999974</v>
      </c>
      <c r="O9" s="941">
        <v>75.535714285714334</v>
      </c>
      <c r="P9" s="941">
        <v>75.535714285714334</v>
      </c>
      <c r="Q9" s="941">
        <v>50.923431182331512</v>
      </c>
      <c r="R9" s="956">
        <v>110.58447456250008</v>
      </c>
      <c r="S9" s="763" t="s">
        <v>840</v>
      </c>
      <c r="AC9" s="364">
        <f>HLOOKUP(Start!$B$14,$C$2:$R$338,+AD9, FALSE)</f>
        <v>14.154893617021273</v>
      </c>
      <c r="AD9" s="373">
        <f t="shared" si="0"/>
        <v>8</v>
      </c>
      <c r="AO9" s="897"/>
      <c r="AP9" s="897"/>
      <c r="AQ9" s="897"/>
      <c r="AR9" s="897"/>
      <c r="AS9" s="897"/>
      <c r="AT9" s="897"/>
      <c r="AU9" s="897"/>
      <c r="AV9" s="897"/>
      <c r="AW9" s="897"/>
      <c r="AX9" s="897"/>
      <c r="AY9" s="897"/>
      <c r="AZ9" s="897"/>
      <c r="BA9" s="897"/>
      <c r="BB9" s="897"/>
      <c r="BC9" s="897"/>
      <c r="BD9" s="897"/>
      <c r="BE9" s="897"/>
      <c r="BF9" s="897"/>
      <c r="BG9" s="897"/>
      <c r="BH9" s="897"/>
      <c r="BI9" s="897"/>
      <c r="BJ9" s="897"/>
    </row>
    <row r="10" spans="1:72" x14ac:dyDescent="0.25">
      <c r="A10" s="884" t="s">
        <v>378</v>
      </c>
      <c r="B10" s="792"/>
      <c r="C10" s="868">
        <v>60.363134438496928</v>
      </c>
      <c r="D10" s="869">
        <v>56.639380838927089</v>
      </c>
      <c r="E10" s="869">
        <v>56.269973928376807</v>
      </c>
      <c r="F10" s="869">
        <v>75.841705260736191</v>
      </c>
      <c r="G10" s="869">
        <v>57.455555555555726</v>
      </c>
      <c r="H10" s="869">
        <v>86.373128447596301</v>
      </c>
      <c r="I10" s="761">
        <v>98.146417506813776</v>
      </c>
      <c r="J10" s="869">
        <v>92.620990902029916</v>
      </c>
      <c r="K10" s="869">
        <v>85.115577912307145</v>
      </c>
      <c r="L10" s="869">
        <v>99.06450983285184</v>
      </c>
      <c r="M10" s="869">
        <v>90.814222222222185</v>
      </c>
      <c r="N10" s="869">
        <v>175.62938000000003</v>
      </c>
      <c r="O10" s="869">
        <v>231.64145833333322</v>
      </c>
      <c r="P10" s="869">
        <v>231.64145833333322</v>
      </c>
      <c r="Q10" s="871">
        <v>249.07656881766849</v>
      </c>
      <c r="R10" s="872">
        <v>589.41552543749992</v>
      </c>
      <c r="S10" s="763" t="s">
        <v>840</v>
      </c>
      <c r="AC10" s="364">
        <f>HLOOKUP(Start!$B$14,$C$2:$R$338,+AD10, FALSE)</f>
        <v>60.363134438496928</v>
      </c>
      <c r="AD10" s="373">
        <f t="shared" si="0"/>
        <v>9</v>
      </c>
      <c r="AO10" s="897"/>
      <c r="AP10" s="897"/>
      <c r="AQ10" s="897"/>
      <c r="AR10" s="897"/>
      <c r="AS10" s="897"/>
      <c r="AT10" s="897"/>
      <c r="AU10" s="897"/>
      <c r="AV10" s="897"/>
      <c r="AW10" s="897"/>
      <c r="AX10" s="897"/>
      <c r="AY10" s="897"/>
      <c r="AZ10" s="897"/>
      <c r="BA10" s="897"/>
      <c r="BB10" s="897"/>
      <c r="BC10" s="897"/>
      <c r="BD10" s="897"/>
      <c r="BE10" s="897"/>
      <c r="BF10" s="897"/>
      <c r="BG10" s="897"/>
      <c r="BH10" s="897"/>
      <c r="BI10" s="897"/>
      <c r="BJ10" s="897"/>
    </row>
    <row r="11" spans="1:72" s="339" customFormat="1" x14ac:dyDescent="0.25">
      <c r="A11" s="884" t="s">
        <v>950</v>
      </c>
      <c r="B11" s="792"/>
      <c r="C11" s="868">
        <v>33.547219620478501</v>
      </c>
      <c r="D11" s="869">
        <v>39.618592318867314</v>
      </c>
      <c r="E11" s="869">
        <v>33.313661628132998</v>
      </c>
      <c r="F11" s="869">
        <v>39.448776304255311</v>
      </c>
      <c r="G11" s="869">
        <v>33.065097666666766</v>
      </c>
      <c r="H11" s="869">
        <v>47.834983015711394</v>
      </c>
      <c r="I11" s="761">
        <v>47.834983015711394</v>
      </c>
      <c r="J11" s="869">
        <v>59.636642852916076</v>
      </c>
      <c r="K11" s="869">
        <v>46.455651826839627</v>
      </c>
      <c r="L11" s="869">
        <v>53.921606539970227</v>
      </c>
      <c r="M11" s="869">
        <v>51.74673844666664</v>
      </c>
      <c r="N11" s="869">
        <v>57.092422972889466</v>
      </c>
      <c r="O11" s="869">
        <v>124.3</v>
      </c>
      <c r="P11" s="869">
        <v>124.3</v>
      </c>
      <c r="Q11" s="871">
        <v>168.89350861014611</v>
      </c>
      <c r="R11" s="872">
        <v>310.71388194469273</v>
      </c>
      <c r="S11" s="763" t="s">
        <v>840</v>
      </c>
      <c r="AC11" s="364">
        <f>HLOOKUP(Start!$B$14,$C$2:$R$338,+AD11, FALSE)</f>
        <v>33.547219620478501</v>
      </c>
      <c r="AD11" s="373">
        <f t="shared" si="0"/>
        <v>10</v>
      </c>
      <c r="AO11" s="897"/>
      <c r="AP11" s="897"/>
      <c r="AQ11" s="897"/>
      <c r="AR11" s="897"/>
      <c r="AS11" s="897"/>
      <c r="AT11" s="897"/>
      <c r="AU11" s="897"/>
      <c r="AV11" s="897"/>
      <c r="AW11" s="897"/>
      <c r="AX11" s="897"/>
      <c r="AY11" s="897"/>
      <c r="AZ11" s="897"/>
      <c r="BA11" s="897"/>
      <c r="BB11" s="897"/>
      <c r="BC11" s="897"/>
      <c r="BD11" s="897"/>
      <c r="BE11" s="897"/>
      <c r="BF11" s="897"/>
      <c r="BG11" s="897"/>
      <c r="BH11" s="897"/>
      <c r="BI11" s="897"/>
      <c r="BJ11" s="897"/>
    </row>
    <row r="12" spans="1:72" x14ac:dyDescent="0.25">
      <c r="A12" s="884" t="s">
        <v>951</v>
      </c>
      <c r="B12" s="792"/>
      <c r="C12" s="868">
        <v>6</v>
      </c>
      <c r="D12" s="869">
        <v>7</v>
      </c>
      <c r="E12" s="761">
        <v>5.36</v>
      </c>
      <c r="F12" s="869">
        <v>6.9612730061349701</v>
      </c>
      <c r="G12" s="761">
        <v>5.9735395053383877</v>
      </c>
      <c r="H12" s="761">
        <v>8.6170212765957448</v>
      </c>
      <c r="I12" s="761">
        <v>6.3981900452488683</v>
      </c>
      <c r="J12" s="761">
        <v>5.9</v>
      </c>
      <c r="K12" s="761">
        <v>6.25</v>
      </c>
      <c r="L12" s="761">
        <v>7.1100158289204298</v>
      </c>
      <c r="M12" s="869">
        <v>8.9358133722382611</v>
      </c>
      <c r="N12" s="761">
        <v>5.8438734705227997</v>
      </c>
      <c r="O12" s="869">
        <v>15.513392857142856</v>
      </c>
      <c r="P12" s="869">
        <v>15.513392857142856</v>
      </c>
      <c r="Q12" s="869">
        <v>20.32</v>
      </c>
      <c r="R12" s="870">
        <v>40.6</v>
      </c>
      <c r="S12" s="763" t="s">
        <v>840</v>
      </c>
      <c r="AC12" s="364">
        <f>HLOOKUP(Start!$B$14,$C$2:$R$338,+AD12, FALSE)</f>
        <v>6</v>
      </c>
      <c r="AD12" s="373">
        <f t="shared" si="0"/>
        <v>11</v>
      </c>
      <c r="AO12" s="897"/>
      <c r="AP12" s="897"/>
      <c r="AQ12" s="897"/>
      <c r="AR12" s="897"/>
      <c r="AS12" s="897"/>
      <c r="AT12" s="897"/>
      <c r="AU12" s="897"/>
      <c r="AV12" s="897"/>
      <c r="AW12" s="897"/>
      <c r="AX12" s="897"/>
      <c r="AY12" s="897"/>
      <c r="AZ12" s="897"/>
      <c r="BA12" s="897"/>
      <c r="BB12" s="897"/>
      <c r="BC12" s="897"/>
      <c r="BD12" s="897"/>
      <c r="BE12" s="897"/>
      <c r="BF12" s="897"/>
      <c r="BG12" s="897"/>
      <c r="BH12" s="897"/>
      <c r="BI12" s="897"/>
      <c r="BJ12" s="897"/>
    </row>
    <row r="13" spans="1:72" s="339" customFormat="1" x14ac:dyDescent="0.25">
      <c r="A13" s="884" t="s">
        <v>376</v>
      </c>
      <c r="B13" s="792"/>
      <c r="C13" s="760">
        <v>4.1999999999999993</v>
      </c>
      <c r="D13" s="761">
        <v>4.13</v>
      </c>
      <c r="E13" s="954">
        <v>3.4767567567567568</v>
      </c>
      <c r="F13" s="761">
        <v>4.3661104294478532</v>
      </c>
      <c r="G13" s="761">
        <v>4.181477653736871</v>
      </c>
      <c r="H13" s="954">
        <v>5.1702127659574471</v>
      </c>
      <c r="I13" s="954">
        <v>3.838914027149321</v>
      </c>
      <c r="J13" s="954">
        <v>3.54</v>
      </c>
      <c r="K13" s="954">
        <v>4.0540540540540535</v>
      </c>
      <c r="L13" s="954">
        <v>4.2830735353416669</v>
      </c>
      <c r="M13" s="955">
        <v>5.3614880233429565</v>
      </c>
      <c r="N13" s="954">
        <v>2.3154585895439386</v>
      </c>
      <c r="O13" s="871">
        <v>10.859374999999998</v>
      </c>
      <c r="P13" s="871">
        <v>10.859374999999998</v>
      </c>
      <c r="Q13" s="955">
        <v>6.3062068965517257</v>
      </c>
      <c r="R13" s="957">
        <v>14.87584</v>
      </c>
      <c r="S13" s="763" t="s">
        <v>840</v>
      </c>
      <c r="T13" s="301"/>
      <c r="U13" s="301"/>
      <c r="V13" s="301"/>
      <c r="W13" s="301"/>
      <c r="X13" s="301"/>
      <c r="Y13" s="301"/>
      <c r="Z13" s="301"/>
      <c r="AA13" s="301"/>
      <c r="AB13" s="301"/>
      <c r="AC13" s="364">
        <f>HLOOKUP(Start!$B$14,$C$2:$R$338,+AD13, FALSE)</f>
        <v>4.1999999999999993</v>
      </c>
      <c r="AD13" s="373">
        <f t="shared" si="0"/>
        <v>12</v>
      </c>
      <c r="AO13" s="897"/>
      <c r="AP13" s="897"/>
      <c r="AQ13" s="897"/>
      <c r="AR13" s="897"/>
      <c r="AS13" s="897"/>
      <c r="AT13" s="897"/>
      <c r="AU13" s="897"/>
      <c r="AV13" s="897"/>
      <c r="AW13" s="897"/>
      <c r="AX13" s="897"/>
      <c r="AY13" s="897"/>
      <c r="AZ13" s="897"/>
      <c r="BA13" s="897"/>
      <c r="BB13" s="897"/>
      <c r="BC13" s="897"/>
      <c r="BD13" s="897"/>
      <c r="BE13" s="897"/>
      <c r="BF13" s="897"/>
      <c r="BG13" s="897"/>
      <c r="BH13" s="897"/>
      <c r="BI13" s="897"/>
      <c r="BJ13" s="897"/>
    </row>
    <row r="14" spans="1:72" x14ac:dyDescent="0.25">
      <c r="A14" s="884" t="s">
        <v>375</v>
      </c>
      <c r="B14" s="792"/>
      <c r="C14" s="760">
        <v>1.2127659574468084</v>
      </c>
      <c r="D14" s="761">
        <v>1.2</v>
      </c>
      <c r="E14" s="761">
        <v>1.28</v>
      </c>
      <c r="F14" s="761">
        <v>2.4768021472392601</v>
      </c>
      <c r="G14" s="761">
        <v>1.5476372083333378</v>
      </c>
      <c r="H14" s="761">
        <v>1.3439716312056738</v>
      </c>
      <c r="I14" s="761">
        <v>0.91855203619909498</v>
      </c>
      <c r="J14" s="761">
        <v>1.3</v>
      </c>
      <c r="K14" s="761">
        <v>0.96</v>
      </c>
      <c r="L14" s="761">
        <v>0.90725219923230105</v>
      </c>
      <c r="M14" s="761">
        <v>0.91824530444444408</v>
      </c>
      <c r="N14" s="761">
        <v>1.0813959955506101</v>
      </c>
      <c r="O14" s="761">
        <v>3.5044642857142851</v>
      </c>
      <c r="P14" s="761">
        <v>3.5044642857142851</v>
      </c>
      <c r="Q14" s="761">
        <v>5.95</v>
      </c>
      <c r="R14" s="987">
        <v>8.1300000000000008</v>
      </c>
      <c r="S14" s="763" t="s">
        <v>840</v>
      </c>
      <c r="AC14" s="364">
        <f>HLOOKUP(Start!$B$14,$C$2:$R$338,+AD14, FALSE)</f>
        <v>1.2127659574468084</v>
      </c>
      <c r="AD14" s="373">
        <f t="shared" si="0"/>
        <v>13</v>
      </c>
      <c r="AO14" s="502"/>
      <c r="AP14" s="502"/>
      <c r="AQ14" s="502"/>
      <c r="AR14" s="502"/>
      <c r="AS14" s="502"/>
      <c r="AT14" s="502"/>
      <c r="AU14" s="502"/>
      <c r="AV14" s="502"/>
      <c r="AW14" s="502"/>
      <c r="AX14" s="897"/>
      <c r="AY14" s="897"/>
      <c r="AZ14" s="897"/>
      <c r="BA14" s="897"/>
      <c r="BB14" s="897"/>
      <c r="BC14" s="897"/>
      <c r="BD14" s="897"/>
      <c r="BE14" s="897"/>
      <c r="BF14" s="897"/>
      <c r="BG14" s="897"/>
      <c r="BH14" s="897"/>
      <c r="BI14" s="897"/>
      <c r="BJ14" s="897"/>
    </row>
    <row r="15" spans="1:72" x14ac:dyDescent="0.25">
      <c r="A15" s="884" t="s">
        <v>374</v>
      </c>
      <c r="B15" s="792"/>
      <c r="C15" s="910">
        <v>2.8297872340425534</v>
      </c>
      <c r="D15" s="940">
        <v>2.8</v>
      </c>
      <c r="E15" s="758">
        <v>2.14</v>
      </c>
      <c r="F15" s="940">
        <v>2.74290644171779</v>
      </c>
      <c r="G15" s="940">
        <v>2.6725451666666746</v>
      </c>
      <c r="H15" s="940">
        <v>4.3971631205673765</v>
      </c>
      <c r="I15" s="940">
        <v>4.615384615384615</v>
      </c>
      <c r="J15" s="940">
        <v>4.4000000000000004</v>
      </c>
      <c r="K15" s="758">
        <v>6.18</v>
      </c>
      <c r="L15" s="940">
        <v>5.4510889140510299</v>
      </c>
      <c r="M15" s="758">
        <v>4.92</v>
      </c>
      <c r="N15" s="940">
        <v>6.82669132369299</v>
      </c>
      <c r="O15" s="940">
        <v>5.7589285714285712</v>
      </c>
      <c r="P15" s="940">
        <v>5.7589285714285712</v>
      </c>
      <c r="Q15" s="758">
        <v>10.86</v>
      </c>
      <c r="R15" s="759">
        <v>15.37</v>
      </c>
      <c r="S15" s="763" t="s">
        <v>840</v>
      </c>
      <c r="AC15" s="364">
        <f>HLOOKUP(Start!$B$14,$C$2:$R$338,+AD15, FALSE)</f>
        <v>2.8297872340425534</v>
      </c>
      <c r="AD15" s="373">
        <f t="shared" si="0"/>
        <v>14</v>
      </c>
      <c r="AX15" s="897"/>
      <c r="AY15" s="897"/>
      <c r="AZ15" s="897"/>
      <c r="BA15" s="897"/>
      <c r="BB15" s="897"/>
      <c r="BC15" s="897"/>
      <c r="BD15" s="897"/>
      <c r="BE15" s="897"/>
      <c r="BF15" s="897"/>
      <c r="BG15" s="897"/>
      <c r="BH15" s="897"/>
      <c r="BI15" s="897"/>
      <c r="BJ15" s="897"/>
    </row>
    <row r="16" spans="1:72" s="339" customFormat="1" x14ac:dyDescent="0.25">
      <c r="A16" s="884" t="s">
        <v>373</v>
      </c>
      <c r="B16" s="792"/>
      <c r="C16" s="945">
        <v>3.1030112731578616E-2</v>
      </c>
      <c r="D16" s="939">
        <v>3.5406227166273091E-2</v>
      </c>
      <c r="E16" s="758"/>
      <c r="F16" s="939">
        <v>1.8970684432515299E-2</v>
      </c>
      <c r="G16" s="939">
        <v>2.1904930555555618E-2</v>
      </c>
      <c r="H16" s="758">
        <v>3.1E-4</v>
      </c>
      <c r="I16" s="939">
        <v>1.1614992081447962E-2</v>
      </c>
      <c r="J16" s="939">
        <v>1.3924380686231308E-2</v>
      </c>
      <c r="K16" s="758"/>
      <c r="L16" s="938">
        <v>4.2560216814252101E-3</v>
      </c>
      <c r="M16" s="938">
        <v>8.4457226666666638E-3</v>
      </c>
      <c r="N16" s="938">
        <v>1.64164474972191E-3</v>
      </c>
      <c r="O16" s="939">
        <v>0.22221488095238096</v>
      </c>
      <c r="P16" s="939">
        <v>0.22221488095238096</v>
      </c>
      <c r="Q16" s="758"/>
      <c r="R16" s="759">
        <v>6.6500000000000004E-2</v>
      </c>
      <c r="S16" s="763" t="s">
        <v>840</v>
      </c>
      <c r="T16" s="301"/>
      <c r="U16" s="301"/>
      <c r="V16" s="301"/>
      <c r="W16" s="301"/>
      <c r="X16" s="301"/>
      <c r="Y16" s="301"/>
      <c r="Z16" s="301"/>
      <c r="AA16" s="301"/>
      <c r="AB16" s="301"/>
      <c r="AC16" s="364">
        <f>HLOOKUP(Start!$B$14,$C$2:$R$338,+AD16, FALSE)</f>
        <v>3.1030112731578616E-2</v>
      </c>
      <c r="AD16" s="373">
        <f t="shared" si="0"/>
        <v>15</v>
      </c>
    </row>
    <row r="17" spans="1:44" s="339" customFormat="1" ht="15.75" thickBot="1" x14ac:dyDescent="0.3">
      <c r="A17" s="885" t="s">
        <v>372</v>
      </c>
      <c r="B17" s="792"/>
      <c r="C17" s="911">
        <v>9.0822161548259103E-2</v>
      </c>
      <c r="D17" s="943">
        <v>0.10368417933724224</v>
      </c>
      <c r="E17" s="880"/>
      <c r="F17" s="943">
        <v>6.7676318059815901E-2</v>
      </c>
      <c r="G17" s="944">
        <v>7.1316708333333534E-2</v>
      </c>
      <c r="H17" s="880">
        <v>1.1000000000000001E-3</v>
      </c>
      <c r="I17" s="944">
        <v>2.2197602234162894E-2</v>
      </c>
      <c r="J17" s="944">
        <v>2.6858583190330611E-2</v>
      </c>
      <c r="K17" s="880"/>
      <c r="L17" s="943">
        <v>2.6296133960234301E-2</v>
      </c>
      <c r="M17" s="943">
        <v>2.5200946666666654E-2</v>
      </c>
      <c r="N17" s="943">
        <v>5.7153557953281402E-3</v>
      </c>
      <c r="O17" s="944">
        <v>0.74159285714285705</v>
      </c>
      <c r="P17" s="944">
        <v>0.74159285714285705</v>
      </c>
      <c r="Q17" s="880"/>
      <c r="R17" s="881">
        <v>0.2261</v>
      </c>
      <c r="S17" s="763" t="s">
        <v>840</v>
      </c>
      <c r="T17" s="301"/>
      <c r="U17" s="301"/>
      <c r="V17" s="301"/>
      <c r="W17" s="301"/>
      <c r="X17" s="301"/>
      <c r="Y17" s="301"/>
      <c r="Z17" s="301"/>
      <c r="AA17" s="301"/>
      <c r="AB17" s="301"/>
      <c r="AC17" s="364">
        <f>HLOOKUP(Start!$B$14,$C$2:$R$338,+AD17, FALSE)</f>
        <v>9.0822161548259103E-2</v>
      </c>
      <c r="AD17" s="373">
        <f t="shared" si="0"/>
        <v>16</v>
      </c>
    </row>
    <row r="18" spans="1:44" s="502" customFormat="1" ht="15.75" thickBot="1" x14ac:dyDescent="0.3">
      <c r="A18" s="875"/>
      <c r="B18" s="792"/>
      <c r="C18" s="876"/>
      <c r="D18" s="876"/>
      <c r="E18" s="876"/>
      <c r="F18" s="876"/>
      <c r="G18" s="876"/>
      <c r="H18" s="876"/>
      <c r="I18" s="876"/>
      <c r="J18" s="876"/>
      <c r="K18" s="876"/>
      <c r="L18" s="876"/>
      <c r="M18" s="876"/>
      <c r="N18" s="876"/>
      <c r="O18" s="876"/>
      <c r="P18" s="876"/>
      <c r="Q18" s="876"/>
      <c r="R18" s="876"/>
      <c r="S18" s="877"/>
      <c r="AC18" s="364">
        <f>HLOOKUP(Start!$B$14,$C$2:$R$338,+AD18, FALSE)</f>
        <v>0</v>
      </c>
      <c r="AD18" s="373">
        <f t="shared" si="0"/>
        <v>17</v>
      </c>
    </row>
    <row r="19" spans="1:44" s="339" customFormat="1" ht="24" x14ac:dyDescent="0.25">
      <c r="A19" s="882" t="s">
        <v>868</v>
      </c>
      <c r="B19" s="792"/>
      <c r="C19" s="769" t="s">
        <v>383</v>
      </c>
      <c r="D19" s="770" t="s">
        <v>383</v>
      </c>
      <c r="E19" s="770" t="s">
        <v>383</v>
      </c>
      <c r="F19" s="770" t="s">
        <v>383</v>
      </c>
      <c r="G19" s="770" t="s">
        <v>383</v>
      </c>
      <c r="H19" s="770" t="s">
        <v>383</v>
      </c>
      <c r="I19" s="770" t="s">
        <v>383</v>
      </c>
      <c r="J19" s="770" t="s">
        <v>383</v>
      </c>
      <c r="K19" s="770" t="s">
        <v>383</v>
      </c>
      <c r="L19" s="770" t="s">
        <v>383</v>
      </c>
      <c r="M19" s="770" t="s">
        <v>383</v>
      </c>
      <c r="N19" s="770" t="s">
        <v>383</v>
      </c>
      <c r="O19" s="770" t="s">
        <v>383</v>
      </c>
      <c r="P19" s="770" t="s">
        <v>383</v>
      </c>
      <c r="Q19" s="770" t="s">
        <v>383</v>
      </c>
      <c r="R19" s="771" t="s">
        <v>383</v>
      </c>
      <c r="S19" s="762"/>
      <c r="V19" s="320"/>
      <c r="W19" s="320"/>
      <c r="X19" s="361"/>
      <c r="Y19" s="371"/>
      <c r="Z19" s="361"/>
      <c r="AC19" s="364" t="str">
        <f>HLOOKUP(Start!$B$14,$C$2:$R$338,+AD19, FALSE)</f>
        <v>ex-
housing</v>
      </c>
      <c r="AD19" s="373">
        <f t="shared" si="0"/>
        <v>18</v>
      </c>
    </row>
    <row r="20" spans="1:44" s="339" customFormat="1" x14ac:dyDescent="0.25">
      <c r="A20" s="886" t="s">
        <v>381</v>
      </c>
      <c r="B20" s="792"/>
      <c r="C20" s="755">
        <v>1</v>
      </c>
      <c r="D20" s="374">
        <v>1</v>
      </c>
      <c r="E20" s="374">
        <v>1</v>
      </c>
      <c r="F20" s="374">
        <v>1</v>
      </c>
      <c r="G20" s="374">
        <v>1</v>
      </c>
      <c r="H20" s="374">
        <v>1</v>
      </c>
      <c r="I20" s="374">
        <v>1</v>
      </c>
      <c r="J20" s="374">
        <v>1</v>
      </c>
      <c r="K20" s="374">
        <v>1</v>
      </c>
      <c r="L20" s="374">
        <v>1</v>
      </c>
      <c r="M20" s="374">
        <v>1</v>
      </c>
      <c r="N20" s="374">
        <v>1</v>
      </c>
      <c r="O20" s="374">
        <v>1</v>
      </c>
      <c r="P20" s="374">
        <v>1</v>
      </c>
      <c r="Q20" s="374">
        <v>1</v>
      </c>
      <c r="R20" s="756">
        <v>1</v>
      </c>
      <c r="S20" s="763" t="s">
        <v>841</v>
      </c>
      <c r="V20" s="320"/>
      <c r="W20" s="320"/>
      <c r="X20" s="361"/>
      <c r="Y20" s="371"/>
      <c r="Z20" s="361"/>
      <c r="AC20" s="364">
        <f>HLOOKUP(Start!$B$14,$C$2:$R$338,+AD20, FALSE)</f>
        <v>1</v>
      </c>
      <c r="AD20" s="373">
        <f t="shared" si="0"/>
        <v>19</v>
      </c>
    </row>
    <row r="21" spans="1:44" s="339" customFormat="1" x14ac:dyDescent="0.25">
      <c r="A21" s="887" t="s">
        <v>380</v>
      </c>
      <c r="B21" s="792"/>
      <c r="C21" s="764">
        <f>+C22+C23</f>
        <v>72.629503771866126</v>
      </c>
      <c r="D21" s="765">
        <f t="shared" ref="D21:R21" si="1">+D22+D23</f>
        <v>71.579878699169029</v>
      </c>
      <c r="E21" s="765">
        <f t="shared" si="1"/>
        <v>69.253184906022582</v>
      </c>
      <c r="F21" s="765">
        <f t="shared" si="1"/>
        <v>95.482239012044232</v>
      </c>
      <c r="G21" s="765">
        <f t="shared" si="1"/>
        <v>71.808496403244646</v>
      </c>
      <c r="H21" s="765">
        <f t="shared" si="1"/>
        <v>127.43319890202287</v>
      </c>
      <c r="I21" s="765">
        <f t="shared" si="1"/>
        <v>111.78450088842042</v>
      </c>
      <c r="J21" s="765">
        <f t="shared" si="1"/>
        <v>114.82043996352064</v>
      </c>
      <c r="K21" s="765">
        <f t="shared" si="1"/>
        <v>103.7948282410435</v>
      </c>
      <c r="L21" s="765">
        <f t="shared" si="1"/>
        <v>121.14562862099956</v>
      </c>
      <c r="M21" s="765">
        <f t="shared" si="1"/>
        <v>112.96403478846572</v>
      </c>
      <c r="N21" s="765">
        <f t="shared" si="1"/>
        <v>230.00255021640001</v>
      </c>
      <c r="O21" s="765">
        <f t="shared" si="1"/>
        <v>305.7426610794663</v>
      </c>
      <c r="P21" s="765">
        <f t="shared" ref="P21" si="2">+P22+P23</f>
        <v>305.7426610794663</v>
      </c>
      <c r="Q21" s="765">
        <f t="shared" si="1"/>
        <v>297.40262954036939</v>
      </c>
      <c r="R21" s="766">
        <f t="shared" si="1"/>
        <v>694.97110673696727</v>
      </c>
      <c r="S21" s="762"/>
      <c r="T21" s="320"/>
      <c r="U21" s="361"/>
      <c r="V21" s="320"/>
      <c r="W21" s="320"/>
      <c r="X21" s="361"/>
      <c r="Y21" s="371"/>
      <c r="Z21" s="361"/>
      <c r="AA21" s="371"/>
      <c r="AB21" s="369"/>
      <c r="AC21" s="364">
        <f>HLOOKUP(Start!$B$14,$C$2:$R$338,+AD21, FALSE)</f>
        <v>72.629503771866126</v>
      </c>
      <c r="AD21" s="373">
        <f t="shared" si="0"/>
        <v>20</v>
      </c>
    </row>
    <row r="22" spans="1:44" x14ac:dyDescent="0.25">
      <c r="A22" s="886" t="s">
        <v>379</v>
      </c>
      <c r="B22" s="792"/>
      <c r="C22" s="936">
        <f t="shared" ref="C22:R22" si="3">+C9</f>
        <v>14.154893617021273</v>
      </c>
      <c r="D22" s="947">
        <f t="shared" si="3"/>
        <v>15.360619161072911</v>
      </c>
      <c r="E22" s="947">
        <f t="shared" si="3"/>
        <v>13.730026071623193</v>
      </c>
      <c r="F22" s="947">
        <f t="shared" si="3"/>
        <v>19.898325414110417</v>
      </c>
      <c r="G22" s="947">
        <f t="shared" si="3"/>
        <v>14.36388888888893</v>
      </c>
      <c r="H22" s="947">
        <f t="shared" si="3"/>
        <v>43.404255319148987</v>
      </c>
      <c r="I22" s="947">
        <f t="shared" si="3"/>
        <v>16.543058823529421</v>
      </c>
      <c r="J22" s="947">
        <f t="shared" si="3"/>
        <v>22.279009097970089</v>
      </c>
      <c r="K22" s="947">
        <f t="shared" si="3"/>
        <v>19.28442208769286</v>
      </c>
      <c r="L22" s="947">
        <f t="shared" si="3"/>
        <v>22.266176278464158</v>
      </c>
      <c r="M22" s="947">
        <f t="shared" si="3"/>
        <v>22.703555555555539</v>
      </c>
      <c r="N22" s="947">
        <f t="shared" si="3"/>
        <v>56.870619999999974</v>
      </c>
      <c r="O22" s="947">
        <f t="shared" si="3"/>
        <v>75.535714285714334</v>
      </c>
      <c r="P22" s="947">
        <f t="shared" ref="P22" si="4">+P9</f>
        <v>75.535714285714334</v>
      </c>
      <c r="Q22" s="947">
        <f t="shared" si="3"/>
        <v>50.923431182331512</v>
      </c>
      <c r="R22" s="986">
        <f t="shared" si="3"/>
        <v>110.58447456250008</v>
      </c>
      <c r="S22" s="762"/>
      <c r="T22" s="320"/>
      <c r="U22" s="361"/>
      <c r="V22" s="320"/>
      <c r="W22" s="320"/>
      <c r="X22" s="361"/>
      <c r="Y22" s="371"/>
      <c r="Z22" s="361"/>
      <c r="AA22" s="371"/>
      <c r="AB22" s="369"/>
      <c r="AC22" s="364">
        <f>HLOOKUP(Start!$B$14,$C$2:$R$338,+AD22, FALSE)</f>
        <v>14.154893617021273</v>
      </c>
      <c r="AD22" s="373">
        <f t="shared" si="0"/>
        <v>21</v>
      </c>
    </row>
    <row r="23" spans="1:44" s="339" customFormat="1" x14ac:dyDescent="0.25">
      <c r="A23" s="888" t="s">
        <v>378</v>
      </c>
      <c r="B23" s="792"/>
      <c r="C23" s="768">
        <f>+'Reference Systems'!C133</f>
        <v>58.474610154844854</v>
      </c>
      <c r="D23" s="622">
        <f>+'Reference Systems'!D133</f>
        <v>56.219259538096125</v>
      </c>
      <c r="E23" s="622">
        <f>+'Reference Systems'!E133</f>
        <v>55.523158834399389</v>
      </c>
      <c r="F23" s="622">
        <f>+'Reference Systems'!F133</f>
        <v>75.583913597933815</v>
      </c>
      <c r="G23" s="622">
        <f>+'Reference Systems'!G133</f>
        <v>57.444607514355724</v>
      </c>
      <c r="H23" s="622">
        <f>+'Reference Systems'!H133</f>
        <v>84.028943582873879</v>
      </c>
      <c r="I23" s="622">
        <f>+'Reference Systems'!I133</f>
        <v>95.241442064891004</v>
      </c>
      <c r="J23" s="622">
        <f>+'Reference Systems'!J133</f>
        <v>92.541430865550552</v>
      </c>
      <c r="K23" s="622">
        <f>+'Reference Systems'!K133</f>
        <v>84.510406153350644</v>
      </c>
      <c r="L23" s="622">
        <f>+'Reference Systems'!L133</f>
        <v>98.879452342535401</v>
      </c>
      <c r="M23" s="622">
        <f>+'Reference Systems'!M133</f>
        <v>90.260479232910185</v>
      </c>
      <c r="N23" s="622">
        <f>+'Reference Systems'!N133</f>
        <v>173.13193021640004</v>
      </c>
      <c r="O23" s="622">
        <f>+'Reference Systems'!O133</f>
        <v>230.20694679375197</v>
      </c>
      <c r="P23" s="622">
        <f>+'Reference Systems'!P133</f>
        <v>230.20694679375197</v>
      </c>
      <c r="Q23" s="622">
        <f>+'Reference Systems'!Q133</f>
        <v>246.47919835803785</v>
      </c>
      <c r="R23" s="772">
        <f>+'Reference Systems'!R133</f>
        <v>584.3866321744672</v>
      </c>
      <c r="S23" s="873" t="s">
        <v>863</v>
      </c>
      <c r="T23" s="320"/>
      <c r="U23" s="361"/>
      <c r="V23" s="320"/>
      <c r="W23" s="320"/>
      <c r="X23" s="361"/>
      <c r="Y23" s="371"/>
      <c r="Z23" s="361"/>
      <c r="AA23" s="371"/>
      <c r="AB23" s="369"/>
      <c r="AC23" s="364">
        <f>HLOOKUP(Start!$B$14,$C$2:$R$338,+AD23, FALSE)</f>
        <v>58.474610154844854</v>
      </c>
      <c r="AD23" s="373">
        <f t="shared" si="0"/>
        <v>22</v>
      </c>
    </row>
    <row r="24" spans="1:44" s="339" customFormat="1" x14ac:dyDescent="0.25">
      <c r="A24" s="888" t="s">
        <v>950</v>
      </c>
      <c r="B24" s="792"/>
      <c r="C24" s="768">
        <f>+C119</f>
        <v>32.800720090634442</v>
      </c>
      <c r="D24" s="622">
        <f t="shared" ref="D24:R24" si="5">+D119</f>
        <v>39.452525958872563</v>
      </c>
      <c r="E24" s="622">
        <f t="shared" si="5"/>
        <v>33.018459114000379</v>
      </c>
      <c r="F24" s="622">
        <f t="shared" si="5"/>
        <v>39.339088769938641</v>
      </c>
      <c r="G24" s="622">
        <f t="shared" si="5"/>
        <v>12.193124403698199</v>
      </c>
      <c r="H24" s="622">
        <f t="shared" si="5"/>
        <v>33.039844068219708</v>
      </c>
      <c r="I24" s="622">
        <f t="shared" si="5"/>
        <v>46.611483577571306</v>
      </c>
      <c r="J24" s="622">
        <f t="shared" si="5"/>
        <v>59.603134252971948</v>
      </c>
      <c r="K24" s="622">
        <f t="shared" si="5"/>
        <v>46.200769359891325</v>
      </c>
      <c r="L24" s="622">
        <f t="shared" si="5"/>
        <v>53.846540066625529</v>
      </c>
      <c r="M24" s="622">
        <f t="shared" si="5"/>
        <v>19.888706726134696</v>
      </c>
      <c r="N24" s="622">
        <f t="shared" si="5"/>
        <v>51.325614496833495</v>
      </c>
      <c r="O24" s="622">
        <f t="shared" si="5"/>
        <v>41.329558898114342</v>
      </c>
      <c r="P24" s="622">
        <f t="shared" ref="P24" si="6">+P119</f>
        <v>78.646320261750702</v>
      </c>
      <c r="Q24" s="622">
        <f t="shared" si="5"/>
        <v>106.79177137504965</v>
      </c>
      <c r="R24" s="772">
        <f t="shared" si="5"/>
        <v>235.66522459659086</v>
      </c>
      <c r="S24" s="873"/>
      <c r="T24" s="320"/>
      <c r="U24" s="705"/>
      <c r="V24" s="320"/>
      <c r="W24" s="320"/>
      <c r="X24" s="705"/>
      <c r="Y24" s="371"/>
      <c r="Z24" s="705"/>
      <c r="AA24" s="371"/>
      <c r="AB24" s="705"/>
      <c r="AC24" s="364">
        <f>HLOOKUP(Start!$B$14,$C$2:$R$338,+AD24, FALSE)</f>
        <v>32.800720090634442</v>
      </c>
      <c r="AD24" s="373">
        <f t="shared" si="0"/>
        <v>23</v>
      </c>
    </row>
    <row r="25" spans="1:44" s="342" customFormat="1" x14ac:dyDescent="0.25">
      <c r="A25" s="888" t="s">
        <v>951</v>
      </c>
      <c r="B25" s="792"/>
      <c r="C25" s="934">
        <f>+'Reference Systems'!C97</f>
        <v>5.2642039999999994</v>
      </c>
      <c r="D25" s="622">
        <f>+'Reference Systems'!D97</f>
        <v>6.2275055019607848</v>
      </c>
      <c r="E25" s="622">
        <f>+'Reference Systems'!E97</f>
        <v>4.8589674810810806</v>
      </c>
      <c r="F25" s="622">
        <f>+'Reference Systems'!F97</f>
        <v>5.9629507926584875</v>
      </c>
      <c r="G25" s="622">
        <f>+'Reference Systems'!G97</f>
        <v>3.8032530440571959</v>
      </c>
      <c r="H25" s="622">
        <f>+'Reference Systems'!H97</f>
        <v>6.4817234042553196</v>
      </c>
      <c r="I25" s="622">
        <f>+'Reference Systems'!I97</f>
        <v>5.7626706244343886</v>
      </c>
      <c r="J25" s="622">
        <f>+'Reference Systems'!J97</f>
        <v>5.5159530352941184</v>
      </c>
      <c r="K25" s="622">
        <f>+'Reference Systems'!K97</f>
        <v>5.7907736486486483</v>
      </c>
      <c r="L25" s="622">
        <f>+'Reference Systems'!L97</f>
        <v>6.8019010746492237</v>
      </c>
      <c r="M25" s="622">
        <f>+'Reference Systems'!M97</f>
        <v>5.9351672418406531</v>
      </c>
      <c r="N25" s="622">
        <f>+'Reference Systems'!N97</f>
        <v>4.8754561140682204</v>
      </c>
      <c r="O25" s="622">
        <f>+'Reference Systems'!O97</f>
        <v>7.3879947916666637</v>
      </c>
      <c r="P25" s="622">
        <f>+'Reference Systems'!P97</f>
        <v>9.5598697916666637</v>
      </c>
      <c r="Q25" s="622">
        <f>+'Reference Systems'!Q97</f>
        <v>15.008548965517244</v>
      </c>
      <c r="R25" s="772">
        <f>+'Reference Systems'!R97</f>
        <v>31.987527413333332</v>
      </c>
      <c r="S25" s="873" t="s">
        <v>863</v>
      </c>
      <c r="T25" s="320"/>
      <c r="U25" s="361"/>
      <c r="V25" s="320"/>
      <c r="W25" s="320"/>
      <c r="X25" s="361"/>
      <c r="Y25" s="371"/>
      <c r="Z25" s="361"/>
      <c r="AA25" s="371"/>
      <c r="AB25" s="369"/>
      <c r="AC25" s="364">
        <f>HLOOKUP(Start!$B$14,$C$2:$R$338,+AD25, FALSE)</f>
        <v>5.2642039999999994</v>
      </c>
      <c r="AD25" s="373">
        <f t="shared" si="0"/>
        <v>24</v>
      </c>
      <c r="AE25" s="339"/>
      <c r="AF25" s="339"/>
      <c r="AG25" s="339"/>
      <c r="AH25" s="339"/>
      <c r="AI25" s="339"/>
      <c r="AJ25" s="339"/>
      <c r="AK25" s="339"/>
      <c r="AL25" s="339"/>
      <c r="AM25" s="339"/>
      <c r="AN25" s="339"/>
      <c r="AO25" s="339"/>
      <c r="AP25" s="339"/>
      <c r="AQ25" s="339"/>
      <c r="AR25" s="339"/>
    </row>
    <row r="26" spans="1:44" x14ac:dyDescent="0.25">
      <c r="A26" s="883" t="s">
        <v>376</v>
      </c>
      <c r="B26" s="792"/>
      <c r="C26" s="755"/>
      <c r="D26" s="374"/>
      <c r="E26" s="374"/>
      <c r="F26" s="374"/>
      <c r="G26" s="374"/>
      <c r="H26" s="374"/>
      <c r="I26" s="374"/>
      <c r="J26" s="374"/>
      <c r="K26" s="374"/>
      <c r="L26" s="374"/>
      <c r="M26" s="374"/>
      <c r="N26" s="374"/>
      <c r="O26" s="374"/>
      <c r="P26" s="374"/>
      <c r="Q26" s="374"/>
      <c r="R26" s="756"/>
      <c r="S26" s="339"/>
      <c r="T26" s="320"/>
      <c r="U26" s="361"/>
      <c r="V26" s="320"/>
      <c r="W26" s="320"/>
      <c r="X26" s="361"/>
      <c r="Y26" s="371"/>
      <c r="Z26" s="361"/>
      <c r="AA26" s="371"/>
      <c r="AB26" s="369"/>
      <c r="AC26" s="364">
        <f>HLOOKUP(Start!$B$14,$C$2:$R$338,+AD26, FALSE)</f>
        <v>0</v>
      </c>
      <c r="AD26" s="373">
        <f t="shared" si="0"/>
        <v>25</v>
      </c>
      <c r="AM26" s="339"/>
      <c r="AN26" s="339"/>
      <c r="AO26" s="339"/>
      <c r="AP26" s="339"/>
      <c r="AQ26" s="339"/>
      <c r="AR26" s="339"/>
    </row>
    <row r="27" spans="1:44" x14ac:dyDescent="0.25">
      <c r="A27" s="883" t="s">
        <v>375</v>
      </c>
      <c r="B27" s="792"/>
      <c r="C27" s="936">
        <f>+C14</f>
        <v>1.2127659574468084</v>
      </c>
      <c r="D27" s="947">
        <f t="shared" ref="D27:R27" si="7">+D14</f>
        <v>1.2</v>
      </c>
      <c r="E27" s="947">
        <f t="shared" si="7"/>
        <v>1.28</v>
      </c>
      <c r="F27" s="947">
        <f t="shared" si="7"/>
        <v>2.4768021472392601</v>
      </c>
      <c r="G27" s="947">
        <f t="shared" si="7"/>
        <v>1.5476372083333378</v>
      </c>
      <c r="H27" s="947">
        <f t="shared" si="7"/>
        <v>1.3439716312056738</v>
      </c>
      <c r="I27" s="947">
        <f t="shared" si="7"/>
        <v>0.91855203619909498</v>
      </c>
      <c r="J27" s="947">
        <f t="shared" si="7"/>
        <v>1.3</v>
      </c>
      <c r="K27" s="947">
        <f t="shared" si="7"/>
        <v>0.96</v>
      </c>
      <c r="L27" s="947">
        <f t="shared" si="7"/>
        <v>0.90725219923230105</v>
      </c>
      <c r="M27" s="947">
        <f t="shared" si="7"/>
        <v>0.91824530444444408</v>
      </c>
      <c r="N27" s="947">
        <f t="shared" si="7"/>
        <v>1.0813959955506101</v>
      </c>
      <c r="O27" s="947">
        <f t="shared" si="7"/>
        <v>3.5044642857142851</v>
      </c>
      <c r="P27" s="947">
        <f t="shared" ref="P27" si="8">+P14</f>
        <v>3.5044642857142851</v>
      </c>
      <c r="Q27" s="947">
        <f t="shared" si="7"/>
        <v>5.95</v>
      </c>
      <c r="R27" s="756">
        <f t="shared" si="7"/>
        <v>8.1300000000000008</v>
      </c>
      <c r="S27" s="339"/>
      <c r="T27" s="320"/>
      <c r="U27" s="361"/>
      <c r="V27" s="320"/>
      <c r="W27" s="320"/>
      <c r="X27" s="361"/>
      <c r="Y27" s="371"/>
      <c r="Z27" s="361"/>
      <c r="AA27" s="371"/>
      <c r="AB27" s="369"/>
      <c r="AC27" s="364">
        <f>HLOOKUP(Start!$B$14,$C$2:$R$338,+AD27, FALSE)</f>
        <v>1.2127659574468084</v>
      </c>
      <c r="AD27" s="373">
        <f t="shared" si="0"/>
        <v>26</v>
      </c>
      <c r="AM27" s="339"/>
      <c r="AN27" s="339"/>
      <c r="AO27" s="339"/>
      <c r="AP27" s="339"/>
      <c r="AQ27" s="339"/>
      <c r="AR27" s="339"/>
    </row>
    <row r="28" spans="1:44" x14ac:dyDescent="0.25">
      <c r="A28" s="883" t="s">
        <v>374</v>
      </c>
      <c r="B28" s="792"/>
      <c r="C28" s="936">
        <f>+C15</f>
        <v>2.8297872340425534</v>
      </c>
      <c r="D28" s="947">
        <f t="shared" ref="D28:R28" si="9">+D15</f>
        <v>2.8</v>
      </c>
      <c r="E28" s="947">
        <f t="shared" si="9"/>
        <v>2.14</v>
      </c>
      <c r="F28" s="947">
        <f t="shared" si="9"/>
        <v>2.74290644171779</v>
      </c>
      <c r="G28" s="947">
        <f t="shared" si="9"/>
        <v>2.6725451666666746</v>
      </c>
      <c r="H28" s="947">
        <f t="shared" si="9"/>
        <v>4.3971631205673765</v>
      </c>
      <c r="I28" s="947">
        <f t="shared" si="9"/>
        <v>4.615384615384615</v>
      </c>
      <c r="J28" s="947">
        <f t="shared" si="9"/>
        <v>4.4000000000000004</v>
      </c>
      <c r="K28" s="947">
        <f t="shared" si="9"/>
        <v>6.18</v>
      </c>
      <c r="L28" s="947">
        <f t="shared" si="9"/>
        <v>5.4510889140510299</v>
      </c>
      <c r="M28" s="947">
        <f t="shared" si="9"/>
        <v>4.92</v>
      </c>
      <c r="N28" s="947">
        <f t="shared" si="9"/>
        <v>6.82669132369299</v>
      </c>
      <c r="O28" s="947">
        <f t="shared" si="9"/>
        <v>5.7589285714285712</v>
      </c>
      <c r="P28" s="947">
        <f t="shared" ref="P28" si="10">+P15</f>
        <v>5.7589285714285712</v>
      </c>
      <c r="Q28" s="947">
        <f t="shared" si="9"/>
        <v>10.86</v>
      </c>
      <c r="R28" s="756">
        <f t="shared" si="9"/>
        <v>15.37</v>
      </c>
      <c r="S28" s="339"/>
      <c r="T28" s="320"/>
      <c r="U28" s="361"/>
      <c r="V28" s="320"/>
      <c r="W28" s="320"/>
      <c r="X28" s="361"/>
      <c r="Y28" s="371"/>
      <c r="Z28" s="361"/>
      <c r="AA28" s="371"/>
      <c r="AB28" s="369"/>
      <c r="AC28" s="364">
        <f>HLOOKUP(Start!$B$14,$C$2:$R$338,+AD28, FALSE)</f>
        <v>2.8297872340425534</v>
      </c>
      <c r="AD28" s="373">
        <f t="shared" si="0"/>
        <v>27</v>
      </c>
      <c r="AM28" s="339"/>
      <c r="AN28" s="339"/>
      <c r="AO28" s="339"/>
      <c r="AP28" s="339"/>
      <c r="AQ28" s="339"/>
      <c r="AR28" s="339"/>
    </row>
    <row r="29" spans="1:44" x14ac:dyDescent="0.25">
      <c r="A29" s="883" t="s">
        <v>373</v>
      </c>
      <c r="B29" s="792"/>
      <c r="C29" s="935">
        <f>+C16</f>
        <v>3.1030112731578616E-2</v>
      </c>
      <c r="D29" s="946">
        <f t="shared" ref="D29:R29" si="11">+D16</f>
        <v>3.5406227166273091E-2</v>
      </c>
      <c r="E29" s="946">
        <f t="shared" si="11"/>
        <v>0</v>
      </c>
      <c r="F29" s="946">
        <f t="shared" si="11"/>
        <v>1.8970684432515299E-2</v>
      </c>
      <c r="G29" s="946">
        <f t="shared" si="11"/>
        <v>2.1904930555555618E-2</v>
      </c>
      <c r="H29" s="946">
        <f t="shared" si="11"/>
        <v>3.1E-4</v>
      </c>
      <c r="I29" s="946">
        <f t="shared" si="11"/>
        <v>1.1614992081447962E-2</v>
      </c>
      <c r="J29" s="946">
        <f t="shared" si="11"/>
        <v>1.3924380686231308E-2</v>
      </c>
      <c r="K29" s="946">
        <f t="shared" si="11"/>
        <v>0</v>
      </c>
      <c r="L29" s="946">
        <f t="shared" si="11"/>
        <v>4.2560216814252101E-3</v>
      </c>
      <c r="M29" s="946">
        <f t="shared" si="11"/>
        <v>8.4457226666666638E-3</v>
      </c>
      <c r="N29" s="946">
        <f t="shared" si="11"/>
        <v>1.64164474972191E-3</v>
      </c>
      <c r="O29" s="946">
        <f t="shared" si="11"/>
        <v>0.22221488095238096</v>
      </c>
      <c r="P29" s="946">
        <f t="shared" ref="P29" si="12">+P16</f>
        <v>0.22221488095238096</v>
      </c>
      <c r="Q29" s="946">
        <f t="shared" si="11"/>
        <v>0</v>
      </c>
      <c r="R29" s="756">
        <f t="shared" si="11"/>
        <v>6.6500000000000004E-2</v>
      </c>
      <c r="S29" s="339"/>
      <c r="T29" s="320"/>
      <c r="U29" s="361"/>
      <c r="V29" s="320"/>
      <c r="W29" s="320"/>
      <c r="X29" s="361"/>
      <c r="Y29" s="371"/>
      <c r="Z29" s="361"/>
      <c r="AA29" s="371"/>
      <c r="AB29" s="369"/>
      <c r="AC29" s="364">
        <f>HLOOKUP(Start!$B$14,$C$2:$R$338,+AD29, FALSE)</f>
        <v>3.1030112731578616E-2</v>
      </c>
      <c r="AD29" s="373">
        <f t="shared" si="0"/>
        <v>28</v>
      </c>
      <c r="AM29" s="339"/>
      <c r="AN29" s="339"/>
      <c r="AO29" s="339"/>
      <c r="AP29" s="339"/>
      <c r="AQ29" s="339"/>
      <c r="AR29" s="339"/>
    </row>
    <row r="30" spans="1:44" ht="15.75" thickBot="1" x14ac:dyDescent="0.3">
      <c r="A30" s="889" t="s">
        <v>372</v>
      </c>
      <c r="B30" s="792"/>
      <c r="C30" s="937">
        <f>+C17</f>
        <v>9.0822161548259103E-2</v>
      </c>
      <c r="D30" s="948">
        <f t="shared" ref="D30:R30" si="13">+D17</f>
        <v>0.10368417933724224</v>
      </c>
      <c r="E30" s="948">
        <f t="shared" si="13"/>
        <v>0</v>
      </c>
      <c r="F30" s="948">
        <f t="shared" si="13"/>
        <v>6.7676318059815901E-2</v>
      </c>
      <c r="G30" s="948">
        <f t="shared" si="13"/>
        <v>7.1316708333333534E-2</v>
      </c>
      <c r="H30" s="948">
        <f t="shared" si="13"/>
        <v>1.1000000000000001E-3</v>
      </c>
      <c r="I30" s="948">
        <f t="shared" si="13"/>
        <v>2.2197602234162894E-2</v>
      </c>
      <c r="J30" s="948">
        <f t="shared" si="13"/>
        <v>2.6858583190330611E-2</v>
      </c>
      <c r="K30" s="948">
        <f t="shared" si="13"/>
        <v>0</v>
      </c>
      <c r="L30" s="948">
        <f t="shared" si="13"/>
        <v>2.6296133960234301E-2</v>
      </c>
      <c r="M30" s="948">
        <f t="shared" si="13"/>
        <v>2.5200946666666654E-2</v>
      </c>
      <c r="N30" s="948">
        <f t="shared" si="13"/>
        <v>5.7153557953281402E-3</v>
      </c>
      <c r="O30" s="948">
        <f t="shared" si="13"/>
        <v>0.74159285714285705</v>
      </c>
      <c r="P30" s="948">
        <f t="shared" ref="P30" si="14">+P17</f>
        <v>0.74159285714285705</v>
      </c>
      <c r="Q30" s="948">
        <f t="shared" si="13"/>
        <v>0</v>
      </c>
      <c r="R30" s="773">
        <f t="shared" si="13"/>
        <v>0.2261</v>
      </c>
      <c r="S30" s="339"/>
      <c r="T30" s="320"/>
      <c r="U30" s="361"/>
      <c r="V30" s="320"/>
      <c r="W30" s="320"/>
      <c r="X30" s="361"/>
      <c r="Y30" s="371"/>
      <c r="Z30" s="361"/>
      <c r="AA30" s="371"/>
      <c r="AB30" s="369"/>
      <c r="AC30" s="364">
        <f>HLOOKUP(Start!$B$14,$C$2:$R$338,+AD30, FALSE)</f>
        <v>9.0822161548259103E-2</v>
      </c>
      <c r="AD30" s="373">
        <f t="shared" si="0"/>
        <v>29</v>
      </c>
      <c r="AM30" s="339"/>
      <c r="AN30" s="339"/>
      <c r="AO30" s="339"/>
    </row>
    <row r="31" spans="1:44" s="502" customFormat="1" ht="15.75" thickBot="1" x14ac:dyDescent="0.3">
      <c r="A31" s="875"/>
      <c r="B31" s="792"/>
      <c r="C31" s="876"/>
      <c r="D31" s="876"/>
      <c r="E31" s="876"/>
      <c r="F31" s="876"/>
      <c r="G31" s="876"/>
      <c r="H31" s="876"/>
      <c r="I31" s="876"/>
      <c r="J31" s="876"/>
      <c r="K31" s="876"/>
      <c r="L31" s="876"/>
      <c r="M31" s="876"/>
      <c r="N31" s="876"/>
      <c r="O31" s="876"/>
      <c r="P31" s="876"/>
      <c r="Q31" s="876"/>
      <c r="R31" s="876"/>
      <c r="T31" s="878"/>
      <c r="U31" s="876"/>
      <c r="V31" s="878"/>
      <c r="W31" s="878"/>
      <c r="X31" s="876"/>
      <c r="Y31" s="879"/>
      <c r="Z31" s="876"/>
      <c r="AA31" s="879"/>
      <c r="AB31" s="876"/>
      <c r="AC31" s="364">
        <f>HLOOKUP(Start!$B$14,$C$2:$R$338,+AD31, FALSE)</f>
        <v>0</v>
      </c>
      <c r="AD31" s="373">
        <f t="shared" si="0"/>
        <v>30</v>
      </c>
    </row>
    <row r="32" spans="1:44" ht="24" x14ac:dyDescent="0.25">
      <c r="A32" s="882" t="s">
        <v>869</v>
      </c>
      <c r="B32" s="792"/>
      <c r="C32" s="769" t="s">
        <v>382</v>
      </c>
      <c r="D32" s="770" t="s">
        <v>382</v>
      </c>
      <c r="E32" s="770" t="s">
        <v>382</v>
      </c>
      <c r="F32" s="770" t="s">
        <v>382</v>
      </c>
      <c r="G32" s="770" t="s">
        <v>382</v>
      </c>
      <c r="H32" s="770" t="s">
        <v>382</v>
      </c>
      <c r="I32" s="770" t="s">
        <v>382</v>
      </c>
      <c r="J32" s="770" t="s">
        <v>382</v>
      </c>
      <c r="K32" s="770" t="s">
        <v>382</v>
      </c>
      <c r="L32" s="770" t="s">
        <v>382</v>
      </c>
      <c r="M32" s="770" t="s">
        <v>382</v>
      </c>
      <c r="N32" s="770" t="s">
        <v>382</v>
      </c>
      <c r="O32" s="770" t="s">
        <v>382</v>
      </c>
      <c r="P32" s="770" t="s">
        <v>382</v>
      </c>
      <c r="Q32" s="770" t="s">
        <v>382</v>
      </c>
      <c r="R32" s="771" t="s">
        <v>382</v>
      </c>
      <c r="S32" s="339"/>
      <c r="T32" s="320"/>
      <c r="U32" s="361"/>
      <c r="V32" s="320"/>
      <c r="W32" s="320"/>
      <c r="X32" s="361"/>
      <c r="Y32" s="371"/>
      <c r="Z32" s="361"/>
      <c r="AA32" s="371"/>
      <c r="AB32" s="369"/>
      <c r="AC32" s="364" t="str">
        <f>HLOOKUP(Start!$B$14,$C$2:$R$338,+AD32, FALSE)</f>
        <v>ex-
storage</v>
      </c>
      <c r="AD32" s="373">
        <f t="shared" si="0"/>
        <v>31</v>
      </c>
      <c r="AM32" s="339"/>
      <c r="AN32" s="339"/>
      <c r="AO32" s="339"/>
    </row>
    <row r="33" spans="1:53" x14ac:dyDescent="0.25">
      <c r="A33" s="886" t="s">
        <v>381</v>
      </c>
      <c r="B33" s="792"/>
      <c r="C33" s="755">
        <v>1</v>
      </c>
      <c r="D33" s="374">
        <v>1</v>
      </c>
      <c r="E33" s="374">
        <v>1</v>
      </c>
      <c r="F33" s="374">
        <v>1</v>
      </c>
      <c r="G33" s="374">
        <v>1</v>
      </c>
      <c r="H33" s="374">
        <v>1</v>
      </c>
      <c r="I33" s="374">
        <v>1</v>
      </c>
      <c r="J33" s="374">
        <v>1</v>
      </c>
      <c r="K33" s="374">
        <v>1</v>
      </c>
      <c r="L33" s="374">
        <v>1</v>
      </c>
      <c r="M33" s="374">
        <v>1</v>
      </c>
      <c r="N33" s="374">
        <v>1</v>
      </c>
      <c r="O33" s="374">
        <v>1</v>
      </c>
      <c r="P33" s="374">
        <v>1</v>
      </c>
      <c r="Q33" s="374">
        <v>1</v>
      </c>
      <c r="R33" s="756">
        <v>1</v>
      </c>
      <c r="S33" s="763" t="s">
        <v>841</v>
      </c>
      <c r="T33" s="320"/>
      <c r="U33" s="361"/>
      <c r="V33" s="320"/>
      <c r="W33" s="320"/>
      <c r="X33" s="361"/>
      <c r="Y33" s="371"/>
      <c r="Z33" s="361"/>
      <c r="AA33" s="371"/>
      <c r="AB33" s="369"/>
      <c r="AC33" s="364">
        <f>HLOOKUP(Start!$B$14,$C$2:$R$338,+AD33, FALSE)</f>
        <v>1</v>
      </c>
      <c r="AD33" s="373">
        <f t="shared" si="0"/>
        <v>32</v>
      </c>
      <c r="AM33" s="339"/>
      <c r="AN33" s="339"/>
      <c r="AO33" s="339"/>
    </row>
    <row r="34" spans="1:53" x14ac:dyDescent="0.25">
      <c r="A34" s="887" t="s">
        <v>380</v>
      </c>
      <c r="B34" s="792"/>
      <c r="C34" s="764">
        <f>+C35+C36</f>
        <v>66.963930920909903</v>
      </c>
      <c r="D34" s="765">
        <f t="shared" ref="D34:R34" si="15">+D35+D36</f>
        <v>65.098682541173446</v>
      </c>
      <c r="E34" s="765">
        <f t="shared" si="15"/>
        <v>62.818684141499453</v>
      </c>
      <c r="F34" s="765">
        <f t="shared" si="15"/>
        <v>86.17172622209101</v>
      </c>
      <c r="G34" s="765">
        <f t="shared" si="15"/>
        <v>71.686391143215332</v>
      </c>
      <c r="H34" s="765">
        <f t="shared" si="15"/>
        <v>125.86137704225332</v>
      </c>
      <c r="I34" s="765">
        <f t="shared" si="15"/>
        <v>102.79114863650901</v>
      </c>
      <c r="J34" s="765">
        <f t="shared" si="15"/>
        <v>103.53607258862876</v>
      </c>
      <c r="K34" s="765">
        <f t="shared" si="15"/>
        <v>92.736409182163143</v>
      </c>
      <c r="L34" s="765">
        <f t="shared" si="15"/>
        <v>115.47533395108836</v>
      </c>
      <c r="M34" s="765">
        <f t="shared" si="15"/>
        <v>112.88855187225471</v>
      </c>
      <c r="N34" s="765">
        <f t="shared" si="15"/>
        <v>228.82746267652348</v>
      </c>
      <c r="O34" s="765">
        <f t="shared" si="15"/>
        <v>304.30814953988505</v>
      </c>
      <c r="P34" s="765">
        <f t="shared" ref="P34" si="16">+P35+P36</f>
        <v>304.30814953988505</v>
      </c>
      <c r="Q34" s="765">
        <f t="shared" si="15"/>
        <v>294.32009153488139</v>
      </c>
      <c r="R34" s="766">
        <f t="shared" si="15"/>
        <v>689.34216943953459</v>
      </c>
      <c r="S34" s="339"/>
      <c r="T34" s="320"/>
      <c r="U34" s="361"/>
      <c r="V34" s="320"/>
      <c r="W34" s="320"/>
      <c r="X34" s="361"/>
      <c r="Y34" s="371"/>
      <c r="Z34" s="361"/>
      <c r="AA34" s="371"/>
      <c r="AB34" s="369"/>
      <c r="AC34" s="364">
        <f>HLOOKUP(Start!$B$14,$C$2:$R$338,+AD34, FALSE)</f>
        <v>66.963930920909903</v>
      </c>
      <c r="AD34" s="373">
        <f t="shared" si="0"/>
        <v>33</v>
      </c>
      <c r="AM34" s="339"/>
      <c r="AN34" s="339"/>
      <c r="AO34" s="339"/>
    </row>
    <row r="35" spans="1:53" x14ac:dyDescent="0.25">
      <c r="A35" s="886" t="s">
        <v>379</v>
      </c>
      <c r="B35" s="792"/>
      <c r="C35" s="936">
        <f>+C22</f>
        <v>14.154893617021273</v>
      </c>
      <c r="D35" s="947">
        <f t="shared" ref="D35:R35" si="17">+D22</f>
        <v>15.360619161072911</v>
      </c>
      <c r="E35" s="947">
        <f t="shared" si="17"/>
        <v>13.730026071623193</v>
      </c>
      <c r="F35" s="947">
        <f>+F22</f>
        <v>19.898325414110417</v>
      </c>
      <c r="G35" s="947">
        <f t="shared" si="17"/>
        <v>14.36388888888893</v>
      </c>
      <c r="H35" s="947">
        <f t="shared" si="17"/>
        <v>43.404255319148987</v>
      </c>
      <c r="I35" s="947">
        <f t="shared" si="17"/>
        <v>16.543058823529421</v>
      </c>
      <c r="J35" s="947">
        <f t="shared" si="17"/>
        <v>22.279009097970089</v>
      </c>
      <c r="K35" s="947">
        <f t="shared" si="17"/>
        <v>19.28442208769286</v>
      </c>
      <c r="L35" s="947">
        <f t="shared" si="17"/>
        <v>22.266176278464158</v>
      </c>
      <c r="M35" s="947">
        <f t="shared" si="17"/>
        <v>22.703555555555539</v>
      </c>
      <c r="N35" s="947">
        <f t="shared" si="17"/>
        <v>56.870619999999974</v>
      </c>
      <c r="O35" s="947">
        <f t="shared" si="17"/>
        <v>75.535714285714334</v>
      </c>
      <c r="P35" s="947">
        <f t="shared" ref="P35" si="18">+P22</f>
        <v>75.535714285714334</v>
      </c>
      <c r="Q35" s="947">
        <f t="shared" si="17"/>
        <v>50.923431182331512</v>
      </c>
      <c r="R35" s="766">
        <f t="shared" si="17"/>
        <v>110.58447456250008</v>
      </c>
      <c r="S35" s="339"/>
      <c r="T35" s="320"/>
      <c r="U35" s="361"/>
      <c r="V35" s="320"/>
      <c r="W35" s="320"/>
      <c r="X35" s="361"/>
      <c r="Y35" s="371"/>
      <c r="Z35" s="361"/>
      <c r="AA35" s="371"/>
      <c r="AB35" s="369"/>
      <c r="AC35" s="364">
        <f>HLOOKUP(Start!$B$14,$C$2:$R$338,+AD35, FALSE)</f>
        <v>14.154893617021273</v>
      </c>
      <c r="AD35" s="373">
        <f t="shared" si="0"/>
        <v>34</v>
      </c>
      <c r="AM35" s="339"/>
      <c r="AN35" s="339"/>
      <c r="AO35" s="339"/>
    </row>
    <row r="36" spans="1:53" x14ac:dyDescent="0.25">
      <c r="A36" s="888" t="s">
        <v>378</v>
      </c>
      <c r="B36" s="792"/>
      <c r="C36" s="768">
        <f>+'Reference Systems'!C138</f>
        <v>52.80903730388863</v>
      </c>
      <c r="D36" s="622">
        <f>+'Reference Systems'!D138</f>
        <v>49.738063380100527</v>
      </c>
      <c r="E36" s="622">
        <f>+'Reference Systems'!E138</f>
        <v>49.08865806987626</v>
      </c>
      <c r="F36" s="622">
        <f>+'Reference Systems'!F138</f>
        <v>66.273400807980593</v>
      </c>
      <c r="G36" s="622">
        <f>+'Reference Systems'!G138</f>
        <v>57.322502254326402</v>
      </c>
      <c r="H36" s="622">
        <f>+'Reference Systems'!H138</f>
        <v>82.457121723104336</v>
      </c>
      <c r="I36" s="622">
        <f>+'Reference Systems'!I138</f>
        <v>86.248089812979586</v>
      </c>
      <c r="J36" s="622">
        <f>+'Reference Systems'!J138</f>
        <v>81.257063490658666</v>
      </c>
      <c r="K36" s="622">
        <f>+'Reference Systems'!K138</f>
        <v>73.451987094470283</v>
      </c>
      <c r="L36" s="622">
        <f>+'Reference Systems'!L138</f>
        <v>93.209157672624201</v>
      </c>
      <c r="M36" s="622">
        <f>+'Reference Systems'!M138</f>
        <v>90.18499631669917</v>
      </c>
      <c r="N36" s="622">
        <f>+'Reference Systems'!N138</f>
        <v>171.95684267652351</v>
      </c>
      <c r="O36" s="622">
        <f>+'Reference Systems'!O138</f>
        <v>228.77243525417072</v>
      </c>
      <c r="P36" s="622">
        <f>+'Reference Systems'!P138</f>
        <v>228.77243525417072</v>
      </c>
      <c r="Q36" s="622">
        <f>+'Reference Systems'!Q138</f>
        <v>243.39666035254984</v>
      </c>
      <c r="R36" s="772">
        <f>+'Reference Systems'!R138</f>
        <v>578.75769487703451</v>
      </c>
      <c r="S36" s="873" t="s">
        <v>863</v>
      </c>
      <c r="T36" s="320"/>
      <c r="U36" s="361"/>
      <c r="V36" s="320"/>
      <c r="W36" s="320"/>
      <c r="X36" s="361"/>
      <c r="Y36" s="371"/>
      <c r="Z36" s="361"/>
      <c r="AA36" s="371"/>
      <c r="AB36" s="369"/>
      <c r="AC36" s="364">
        <f>HLOOKUP(Start!$B$14,$C$2:$R$338,+AD36, FALSE)</f>
        <v>52.80903730388863</v>
      </c>
      <c r="AD36" s="373">
        <f t="shared" si="0"/>
        <v>35</v>
      </c>
      <c r="AM36" s="339"/>
      <c r="AN36" s="339"/>
      <c r="AO36" s="339"/>
    </row>
    <row r="37" spans="1:53" s="339" customFormat="1" x14ac:dyDescent="0.25">
      <c r="A37" s="888" t="s">
        <v>950</v>
      </c>
      <c r="B37" s="792"/>
      <c r="C37" s="768">
        <f>+C124</f>
        <v>30.561221501102263</v>
      </c>
      <c r="D37" s="622">
        <f t="shared" ref="D37:R37" si="19">+D124</f>
        <v>36.890626211724708</v>
      </c>
      <c r="E37" s="622">
        <f t="shared" si="19"/>
        <v>30.475017212258496</v>
      </c>
      <c r="F37" s="622">
        <f t="shared" si="19"/>
        <v>35.377567361325056</v>
      </c>
      <c r="G37" s="622">
        <f t="shared" si="19"/>
        <v>-15.801206835951755</v>
      </c>
      <c r="H37" s="622">
        <f t="shared" si="19"/>
        <v>28.314748500360459</v>
      </c>
      <c r="I37" s="622">
        <f t="shared" si="19"/>
        <v>42.823719568135651</v>
      </c>
      <c r="J37" s="622">
        <f t="shared" si="19"/>
        <v>54.85045478322462</v>
      </c>
      <c r="K37" s="622">
        <f t="shared" si="19"/>
        <v>41.543253392629858</v>
      </c>
      <c r="L37" s="622">
        <f t="shared" si="19"/>
        <v>51.546449305815749</v>
      </c>
      <c r="M37" s="622">
        <f t="shared" si="19"/>
        <v>12.546784220774825</v>
      </c>
      <c r="N37" s="622">
        <f t="shared" si="19"/>
        <v>24.067715895564444</v>
      </c>
      <c r="O37" s="622">
        <f t="shared" si="19"/>
        <v>34.64213022520596</v>
      </c>
      <c r="P37" s="622">
        <f t="shared" ref="P37" si="20">+P124</f>
        <v>70.093053520660504</v>
      </c>
      <c r="Q37" s="622">
        <f t="shared" si="19"/>
        <v>47.1637516090966</v>
      </c>
      <c r="R37" s="772">
        <f t="shared" si="19"/>
        <v>164.5033782568172</v>
      </c>
      <c r="S37" s="873"/>
      <c r="T37" s="320"/>
      <c r="U37" s="705"/>
      <c r="V37" s="320"/>
      <c r="W37" s="320"/>
      <c r="X37" s="705"/>
      <c r="Y37" s="371"/>
      <c r="Z37" s="705"/>
      <c r="AA37" s="371"/>
      <c r="AB37" s="705"/>
      <c r="AC37" s="364">
        <f>HLOOKUP(Start!$B$14,$C$2:$R$338,+AD37, FALSE)</f>
        <v>30.561221501102263</v>
      </c>
      <c r="AD37" s="373">
        <f t="shared" si="0"/>
        <v>36</v>
      </c>
    </row>
    <row r="38" spans="1:53" s="339" customFormat="1" x14ac:dyDescent="0.25">
      <c r="A38" s="888" t="s">
        <v>951</v>
      </c>
      <c r="B38" s="792"/>
      <c r="C38" s="934">
        <f>+'Reference Systems'!C103</f>
        <v>5.1324714688599995</v>
      </c>
      <c r="D38" s="622">
        <f>+'Reference Systems'!D103</f>
        <v>5.6759222576096811</v>
      </c>
      <c r="E38" s="622">
        <f>+'Reference Systems'!E103</f>
        <v>4.344708362642792</v>
      </c>
      <c r="F38" s="622">
        <f>+'Reference Systems'!F103</f>
        <v>5.6864429628694504</v>
      </c>
      <c r="G38" s="622">
        <f>+'Reference Systems'!G103</f>
        <v>1.597696464790253</v>
      </c>
      <c r="H38" s="622">
        <f>+'Reference Systems'!H103</f>
        <v>5.885659265420311</v>
      </c>
      <c r="I38" s="622">
        <f>+'Reference Systems'!I103</f>
        <v>5.612353907589779</v>
      </c>
      <c r="J38" s="622">
        <f>+'Reference Systems'!J103</f>
        <v>5.0309649172978501</v>
      </c>
      <c r="K38" s="622">
        <f>+'Reference Systems'!K103</f>
        <v>5.353547044248498</v>
      </c>
      <c r="L38" s="622">
        <f>+'Reference Systems'!L103</f>
        <v>6.5605251118440666</v>
      </c>
      <c r="M38" s="622">
        <f>+'Reference Systems'!M103</f>
        <v>5.1679086774587457</v>
      </c>
      <c r="N38" s="622">
        <f>+'Reference Systems'!N103</f>
        <v>3.256025477510355</v>
      </c>
      <c r="O38" s="622">
        <f>+'Reference Systems'!O103</f>
        <v>6.3355756316964262</v>
      </c>
      <c r="P38" s="622">
        <f>+'Reference Systems'!P103</f>
        <v>8.2003475066964242</v>
      </c>
      <c r="Q38" s="622">
        <f>+'Reference Systems'!Q103</f>
        <v>10.341621365413056</v>
      </c>
      <c r="R38" s="772">
        <f>+'Reference Systems'!R103</f>
        <v>25.20506411815467</v>
      </c>
      <c r="S38" s="873" t="s">
        <v>863</v>
      </c>
      <c r="T38" s="320"/>
      <c r="U38" s="361"/>
      <c r="V38" s="320"/>
      <c r="W38" s="320"/>
      <c r="X38" s="361"/>
      <c r="Y38" s="371"/>
      <c r="Z38" s="361"/>
      <c r="AA38" s="371"/>
      <c r="AB38" s="369"/>
      <c r="AC38" s="364">
        <f>HLOOKUP(Start!$B$14,$C$2:$R$338,+AD38, FALSE)</f>
        <v>5.1324714688599995</v>
      </c>
      <c r="AD38" s="373">
        <f t="shared" si="0"/>
        <v>37</v>
      </c>
      <c r="AP38" s="321"/>
      <c r="AQ38" s="320"/>
      <c r="AR38" s="319"/>
      <c r="AS38" s="320"/>
      <c r="AT38" s="320"/>
      <c r="AU38" s="361"/>
      <c r="AV38" s="321"/>
      <c r="AW38" s="320"/>
      <c r="AX38" s="371"/>
      <c r="AY38" s="321"/>
      <c r="AZ38" s="320"/>
      <c r="BA38" s="319"/>
    </row>
    <row r="39" spans="1:53" s="339" customFormat="1" x14ac:dyDescent="0.25">
      <c r="A39" s="883" t="s">
        <v>376</v>
      </c>
      <c r="B39" s="792"/>
      <c r="C39" s="755"/>
      <c r="D39" s="374"/>
      <c r="E39" s="374"/>
      <c r="F39" s="374"/>
      <c r="G39" s="374"/>
      <c r="H39" s="374"/>
      <c r="I39" s="374"/>
      <c r="J39" s="374"/>
      <c r="K39" s="374"/>
      <c r="L39" s="374"/>
      <c r="M39" s="374"/>
      <c r="N39" s="374"/>
      <c r="O39" s="374"/>
      <c r="P39" s="374"/>
      <c r="Q39" s="374"/>
      <c r="R39" s="756"/>
      <c r="T39" s="320"/>
      <c r="U39" s="361"/>
      <c r="V39" s="320"/>
      <c r="W39" s="320"/>
      <c r="X39" s="361"/>
      <c r="Y39" s="371"/>
      <c r="Z39" s="361"/>
      <c r="AA39" s="371"/>
      <c r="AB39" s="369"/>
      <c r="AC39" s="364">
        <f>HLOOKUP(Start!$B$14,$C$2:$R$338,+AD39, FALSE)</f>
        <v>0</v>
      </c>
      <c r="AD39" s="373">
        <f t="shared" si="0"/>
        <v>38</v>
      </c>
      <c r="AP39" s="321"/>
      <c r="AQ39" s="320"/>
      <c r="AR39" s="319"/>
      <c r="AS39" s="320"/>
      <c r="AT39" s="320"/>
      <c r="AU39" s="361"/>
      <c r="AV39" s="321"/>
      <c r="AW39" s="320"/>
      <c r="AX39" s="371"/>
      <c r="AY39" s="321"/>
      <c r="AZ39" s="320"/>
      <c r="BA39" s="319"/>
    </row>
    <row r="40" spans="1:53" s="339" customFormat="1" x14ac:dyDescent="0.25">
      <c r="A40" s="883" t="s">
        <v>375</v>
      </c>
      <c r="B40" s="792"/>
      <c r="C40" s="936">
        <f>+C27</f>
        <v>1.2127659574468084</v>
      </c>
      <c r="D40" s="947">
        <f t="shared" ref="D40:R40" si="21">+D27</f>
        <v>1.2</v>
      </c>
      <c r="E40" s="947">
        <f t="shared" si="21"/>
        <v>1.28</v>
      </c>
      <c r="F40" s="947">
        <f t="shared" si="21"/>
        <v>2.4768021472392601</v>
      </c>
      <c r="G40" s="947">
        <f t="shared" si="21"/>
        <v>1.5476372083333378</v>
      </c>
      <c r="H40" s="947">
        <f t="shared" si="21"/>
        <v>1.3439716312056738</v>
      </c>
      <c r="I40" s="947">
        <f t="shared" si="21"/>
        <v>0.91855203619909498</v>
      </c>
      <c r="J40" s="947">
        <f t="shared" si="21"/>
        <v>1.3</v>
      </c>
      <c r="K40" s="947">
        <f t="shared" si="21"/>
        <v>0.96</v>
      </c>
      <c r="L40" s="947">
        <f t="shared" si="21"/>
        <v>0.90725219923230105</v>
      </c>
      <c r="M40" s="947">
        <f t="shared" si="21"/>
        <v>0.91824530444444408</v>
      </c>
      <c r="N40" s="947">
        <f t="shared" si="21"/>
        <v>1.0813959955506101</v>
      </c>
      <c r="O40" s="947">
        <f t="shared" si="21"/>
        <v>3.5044642857142851</v>
      </c>
      <c r="P40" s="947">
        <f t="shared" ref="P40" si="22">+P27</f>
        <v>3.5044642857142851</v>
      </c>
      <c r="Q40" s="947">
        <f t="shared" si="21"/>
        <v>5.95</v>
      </c>
      <c r="R40" s="756">
        <f t="shared" si="21"/>
        <v>8.1300000000000008</v>
      </c>
      <c r="T40" s="320"/>
      <c r="U40" s="361"/>
      <c r="V40" s="320"/>
      <c r="W40" s="320"/>
      <c r="X40" s="361"/>
      <c r="Y40" s="371"/>
      <c r="Z40" s="361"/>
      <c r="AA40" s="371"/>
      <c r="AB40" s="369"/>
      <c r="AC40" s="364">
        <f>HLOOKUP(Start!$B$14,$C$2:$R$338,+AD40, FALSE)</f>
        <v>1.2127659574468084</v>
      </c>
      <c r="AD40" s="373">
        <f t="shared" si="0"/>
        <v>39</v>
      </c>
      <c r="AP40" s="321"/>
      <c r="AQ40" s="320"/>
      <c r="AR40" s="319"/>
      <c r="AS40" s="320"/>
      <c r="AT40" s="320"/>
      <c r="AU40" s="361"/>
      <c r="AV40" s="321"/>
      <c r="AW40" s="320"/>
      <c r="AX40" s="371"/>
      <c r="AY40" s="321"/>
      <c r="AZ40" s="320"/>
      <c r="BA40" s="319"/>
    </row>
    <row r="41" spans="1:53" s="339" customFormat="1" x14ac:dyDescent="0.25">
      <c r="A41" s="883" t="s">
        <v>374</v>
      </c>
      <c r="B41" s="792"/>
      <c r="C41" s="936">
        <f>+C28</f>
        <v>2.8297872340425534</v>
      </c>
      <c r="D41" s="947">
        <f t="shared" ref="D41:R41" si="23">+D28</f>
        <v>2.8</v>
      </c>
      <c r="E41" s="947">
        <f t="shared" si="23"/>
        <v>2.14</v>
      </c>
      <c r="F41" s="947">
        <f t="shared" si="23"/>
        <v>2.74290644171779</v>
      </c>
      <c r="G41" s="947">
        <f t="shared" si="23"/>
        <v>2.6725451666666746</v>
      </c>
      <c r="H41" s="947">
        <f t="shared" si="23"/>
        <v>4.3971631205673765</v>
      </c>
      <c r="I41" s="947">
        <f t="shared" si="23"/>
        <v>4.615384615384615</v>
      </c>
      <c r="J41" s="947">
        <f t="shared" si="23"/>
        <v>4.4000000000000004</v>
      </c>
      <c r="K41" s="947">
        <f t="shared" si="23"/>
        <v>6.18</v>
      </c>
      <c r="L41" s="947">
        <f t="shared" si="23"/>
        <v>5.4510889140510299</v>
      </c>
      <c r="M41" s="947">
        <f t="shared" si="23"/>
        <v>4.92</v>
      </c>
      <c r="N41" s="947">
        <f t="shared" si="23"/>
        <v>6.82669132369299</v>
      </c>
      <c r="O41" s="947">
        <f t="shared" si="23"/>
        <v>5.7589285714285712</v>
      </c>
      <c r="P41" s="947">
        <f t="shared" ref="P41" si="24">+P28</f>
        <v>5.7589285714285712</v>
      </c>
      <c r="Q41" s="947">
        <f t="shared" si="23"/>
        <v>10.86</v>
      </c>
      <c r="R41" s="756">
        <f t="shared" si="23"/>
        <v>15.37</v>
      </c>
      <c r="T41" s="320"/>
      <c r="U41" s="361"/>
      <c r="V41" s="320"/>
      <c r="W41" s="320"/>
      <c r="X41" s="361"/>
      <c r="Y41" s="371"/>
      <c r="Z41" s="361"/>
      <c r="AA41" s="371"/>
      <c r="AB41" s="369"/>
      <c r="AC41" s="364">
        <f>HLOOKUP(Start!$B$14,$C$2:$R$338,+AD41, FALSE)</f>
        <v>2.8297872340425534</v>
      </c>
      <c r="AD41" s="373">
        <f t="shared" si="0"/>
        <v>40</v>
      </c>
      <c r="AE41" s="705"/>
      <c r="AF41" s="705"/>
      <c r="AG41" s="705"/>
      <c r="AH41" s="705"/>
      <c r="AI41" s="705"/>
      <c r="AJ41" s="705"/>
      <c r="AK41" s="705"/>
      <c r="AL41" s="705"/>
      <c r="AM41" s="321"/>
      <c r="AN41" s="320"/>
      <c r="AO41" s="371"/>
      <c r="AP41" s="321"/>
      <c r="AQ41" s="320"/>
      <c r="AR41" s="319"/>
      <c r="AS41" s="320"/>
      <c r="AT41" s="320"/>
      <c r="AU41" s="361"/>
      <c r="AV41" s="321"/>
      <c r="AW41" s="320"/>
      <c r="AX41" s="371"/>
      <c r="AY41" s="321"/>
      <c r="AZ41" s="320"/>
      <c r="BA41" s="319"/>
    </row>
    <row r="42" spans="1:53" s="339" customFormat="1" x14ac:dyDescent="0.25">
      <c r="A42" s="883" t="s">
        <v>373</v>
      </c>
      <c r="B42" s="792"/>
      <c r="C42" s="935">
        <f t="shared" ref="C42:R42" si="25">+C29</f>
        <v>3.1030112731578616E-2</v>
      </c>
      <c r="D42" s="946">
        <f t="shared" si="25"/>
        <v>3.5406227166273091E-2</v>
      </c>
      <c r="E42" s="946">
        <f t="shared" si="25"/>
        <v>0</v>
      </c>
      <c r="F42" s="946">
        <f t="shared" si="25"/>
        <v>1.8970684432515299E-2</v>
      </c>
      <c r="G42" s="946">
        <f t="shared" si="25"/>
        <v>2.1904930555555618E-2</v>
      </c>
      <c r="H42" s="946">
        <f t="shared" si="25"/>
        <v>3.1E-4</v>
      </c>
      <c r="I42" s="946">
        <f t="shared" si="25"/>
        <v>1.1614992081447962E-2</v>
      </c>
      <c r="J42" s="946">
        <f t="shared" si="25"/>
        <v>1.3924380686231308E-2</v>
      </c>
      <c r="K42" s="946">
        <f t="shared" si="25"/>
        <v>0</v>
      </c>
      <c r="L42" s="946">
        <f t="shared" si="25"/>
        <v>4.2560216814252101E-3</v>
      </c>
      <c r="M42" s="946">
        <f t="shared" si="25"/>
        <v>8.4457226666666638E-3</v>
      </c>
      <c r="N42" s="946">
        <f t="shared" si="25"/>
        <v>1.64164474972191E-3</v>
      </c>
      <c r="O42" s="946">
        <f t="shared" si="25"/>
        <v>0.22221488095238096</v>
      </c>
      <c r="P42" s="946">
        <f t="shared" ref="P42" si="26">+P29</f>
        <v>0.22221488095238096</v>
      </c>
      <c r="Q42" s="946">
        <f t="shared" si="25"/>
        <v>0</v>
      </c>
      <c r="R42" s="756">
        <f t="shared" si="25"/>
        <v>6.6500000000000004E-2</v>
      </c>
      <c r="T42" s="320"/>
      <c r="U42" s="361"/>
      <c r="V42" s="320"/>
      <c r="W42" s="320"/>
      <c r="X42" s="361"/>
      <c r="Y42" s="371"/>
      <c r="Z42" s="361"/>
      <c r="AA42" s="371"/>
      <c r="AB42" s="369"/>
      <c r="AC42" s="364">
        <f>HLOOKUP(Start!$B$14,$C$2:$R$338,+AD42, FALSE)</f>
        <v>3.1030112731578616E-2</v>
      </c>
      <c r="AD42" s="373">
        <f t="shared" si="0"/>
        <v>41</v>
      </c>
      <c r="AE42" s="705"/>
      <c r="AF42" s="705"/>
      <c r="AG42" s="705"/>
      <c r="AH42" s="705"/>
      <c r="AI42" s="705"/>
      <c r="AJ42" s="705"/>
      <c r="AK42" s="705"/>
      <c r="AL42" s="705"/>
      <c r="AM42" s="321"/>
      <c r="AN42" s="320"/>
      <c r="AO42" s="371"/>
      <c r="AP42" s="321"/>
      <c r="AQ42" s="320"/>
      <c r="AR42" s="319"/>
      <c r="AS42" s="320"/>
      <c r="AT42" s="320"/>
      <c r="AU42" s="361"/>
      <c r="AV42" s="321"/>
      <c r="AW42" s="320"/>
      <c r="AX42" s="371"/>
      <c r="AY42" s="321"/>
      <c r="AZ42" s="320"/>
      <c r="BA42" s="319"/>
    </row>
    <row r="43" spans="1:53" s="339" customFormat="1" ht="15.75" thickBot="1" x14ac:dyDescent="0.3">
      <c r="A43" s="889" t="s">
        <v>372</v>
      </c>
      <c r="B43" s="792"/>
      <c r="C43" s="937">
        <f t="shared" ref="C43:R43" si="27">+C30</f>
        <v>9.0822161548259103E-2</v>
      </c>
      <c r="D43" s="948">
        <f t="shared" si="27"/>
        <v>0.10368417933724224</v>
      </c>
      <c r="E43" s="948">
        <f t="shared" si="27"/>
        <v>0</v>
      </c>
      <c r="F43" s="948">
        <f t="shared" si="27"/>
        <v>6.7676318059815901E-2</v>
      </c>
      <c r="G43" s="948">
        <f t="shared" si="27"/>
        <v>7.1316708333333534E-2</v>
      </c>
      <c r="H43" s="948">
        <f t="shared" si="27"/>
        <v>1.1000000000000001E-3</v>
      </c>
      <c r="I43" s="948">
        <f t="shared" si="27"/>
        <v>2.2197602234162894E-2</v>
      </c>
      <c r="J43" s="948">
        <f t="shared" si="27"/>
        <v>2.6858583190330611E-2</v>
      </c>
      <c r="K43" s="948">
        <f t="shared" si="27"/>
        <v>0</v>
      </c>
      <c r="L43" s="948">
        <f t="shared" si="27"/>
        <v>2.6296133960234301E-2</v>
      </c>
      <c r="M43" s="948">
        <f t="shared" si="27"/>
        <v>2.5200946666666654E-2</v>
      </c>
      <c r="N43" s="948">
        <f t="shared" si="27"/>
        <v>5.7153557953281402E-3</v>
      </c>
      <c r="O43" s="948">
        <f t="shared" si="27"/>
        <v>0.74159285714285705</v>
      </c>
      <c r="P43" s="948">
        <f t="shared" ref="P43" si="28">+P30</f>
        <v>0.74159285714285705</v>
      </c>
      <c r="Q43" s="948">
        <f t="shared" si="27"/>
        <v>0</v>
      </c>
      <c r="R43" s="773">
        <f t="shared" si="27"/>
        <v>0.2261</v>
      </c>
      <c r="T43" s="320"/>
      <c r="U43" s="361"/>
      <c r="V43" s="320"/>
      <c r="W43" s="320"/>
      <c r="X43" s="361"/>
      <c r="Y43" s="371"/>
      <c r="Z43" s="361"/>
      <c r="AA43" s="371"/>
      <c r="AB43" s="369"/>
      <c r="AC43" s="364">
        <f>HLOOKUP(Start!$B$14,$C$2:$R$338,+AD43, FALSE)</f>
        <v>9.0822161548259103E-2</v>
      </c>
      <c r="AD43" s="373">
        <f t="shared" si="0"/>
        <v>42</v>
      </c>
      <c r="AE43" s="705"/>
      <c r="AF43" s="705"/>
      <c r="AG43" s="705"/>
      <c r="AH43" s="705"/>
      <c r="AI43" s="705"/>
      <c r="AJ43" s="705"/>
      <c r="AK43" s="705"/>
      <c r="AL43" s="705"/>
      <c r="AM43" s="321"/>
      <c r="AN43" s="320"/>
      <c r="AO43" s="371"/>
      <c r="AP43" s="321"/>
      <c r="AQ43" s="320"/>
      <c r="AR43" s="319"/>
      <c r="AS43" s="320"/>
      <c r="AT43" s="320"/>
      <c r="AU43" s="361"/>
      <c r="AV43" s="321"/>
      <c r="AW43" s="320"/>
      <c r="AX43" s="371"/>
      <c r="AY43" s="321"/>
      <c r="AZ43" s="320"/>
      <c r="BA43" s="319"/>
    </row>
    <row r="44" spans="1:53" s="339" customFormat="1" x14ac:dyDescent="0.25">
      <c r="A44" s="502"/>
      <c r="B44" s="792"/>
      <c r="C44" s="502"/>
      <c r="D44" s="502"/>
      <c r="E44" s="897"/>
      <c r="F44" s="502"/>
      <c r="G44" s="502"/>
      <c r="H44" s="897"/>
      <c r="I44" s="502"/>
      <c r="J44" s="502"/>
      <c r="K44" s="897"/>
      <c r="L44" s="502"/>
      <c r="M44" s="502"/>
      <c r="N44" s="897"/>
      <c r="O44" s="502"/>
      <c r="P44" s="502"/>
      <c r="Q44" s="502"/>
      <c r="R44" s="502"/>
      <c r="S44" s="502"/>
      <c r="AC44" s="364">
        <f>HLOOKUP(Start!$B$14,$C$2:$R$338,+AD44, FALSE)</f>
        <v>0</v>
      </c>
      <c r="AD44" s="373">
        <f t="shared" si="0"/>
        <v>43</v>
      </c>
      <c r="AE44" s="705"/>
      <c r="AF44" s="705"/>
      <c r="AG44" s="705"/>
      <c r="AH44" s="705"/>
      <c r="AI44" s="705"/>
      <c r="AJ44" s="705"/>
      <c r="AK44" s="705"/>
      <c r="AL44" s="705"/>
      <c r="AM44" s="321"/>
      <c r="AN44" s="320"/>
      <c r="AO44" s="371"/>
      <c r="AP44" s="321"/>
      <c r="AQ44" s="320"/>
      <c r="AR44" s="319"/>
      <c r="AS44" s="320"/>
      <c r="AT44" s="320"/>
      <c r="AU44" s="361"/>
      <c r="AV44" s="321"/>
      <c r="AW44" s="320"/>
      <c r="AX44" s="371"/>
      <c r="AY44" s="321"/>
      <c r="AZ44" s="320"/>
      <c r="BA44" s="319"/>
    </row>
    <row r="45" spans="1:53" s="569" customFormat="1" ht="18" x14ac:dyDescent="0.25">
      <c r="A45" s="874" t="s">
        <v>864</v>
      </c>
      <c r="B45" s="999"/>
      <c r="C45" s="578"/>
      <c r="D45" s="578"/>
      <c r="E45" s="578"/>
      <c r="F45" s="578"/>
      <c r="G45" s="578"/>
      <c r="H45" s="578"/>
      <c r="I45" s="578"/>
      <c r="J45" s="578"/>
      <c r="K45" s="578"/>
      <c r="L45" s="578"/>
      <c r="M45" s="578"/>
      <c r="N45" s="578"/>
      <c r="O45" s="578"/>
      <c r="P45" s="578"/>
      <c r="Q45" s="578"/>
      <c r="R45" s="578"/>
      <c r="S45" s="586"/>
      <c r="T45" s="579"/>
      <c r="U45" s="467"/>
      <c r="V45" s="467"/>
      <c r="W45" s="467"/>
      <c r="X45" s="467"/>
      <c r="Y45" s="467"/>
      <c r="Z45" s="467"/>
      <c r="AA45" s="467"/>
      <c r="AC45" s="364">
        <f>HLOOKUP(Start!$B$14,$C$2:$R$338,+AD45, FALSE)</f>
        <v>0</v>
      </c>
      <c r="AD45" s="373">
        <f t="shared" si="0"/>
        <v>44</v>
      </c>
    </row>
    <row r="46" spans="1:53" s="569" customFormat="1" x14ac:dyDescent="0.25">
      <c r="A46" s="576"/>
      <c r="B46" s="999"/>
      <c r="C46" s="578"/>
      <c r="D46" s="578"/>
      <c r="E46" s="578"/>
      <c r="F46" s="578"/>
      <c r="G46" s="578"/>
      <c r="H46" s="578"/>
      <c r="I46" s="578"/>
      <c r="J46" s="578"/>
      <c r="K46" s="578"/>
      <c r="L46" s="578"/>
      <c r="M46" s="578"/>
      <c r="N46" s="578"/>
      <c r="O46" s="578"/>
      <c r="P46" s="578"/>
      <c r="Q46" s="578"/>
      <c r="R46" s="578"/>
      <c r="S46" s="586"/>
      <c r="T46" s="579"/>
      <c r="U46" s="467"/>
      <c r="V46" s="467"/>
      <c r="W46" s="467"/>
      <c r="X46" s="467"/>
      <c r="Y46" s="467"/>
      <c r="Z46" s="467"/>
      <c r="AA46" s="467"/>
      <c r="AC46" s="364">
        <f>HLOOKUP(Start!$B$14,$C$2:$R$338,+AD46, FALSE)</f>
        <v>0</v>
      </c>
      <c r="AD46" s="373">
        <f t="shared" si="0"/>
        <v>45</v>
      </c>
    </row>
    <row r="47" spans="1:53" s="569" customFormat="1" ht="18.75" x14ac:dyDescent="0.25">
      <c r="A47" s="561" t="s">
        <v>924</v>
      </c>
      <c r="B47" s="1000"/>
      <c r="C47" s="559"/>
      <c r="D47" s="559"/>
      <c r="E47" s="559"/>
      <c r="F47" s="559"/>
      <c r="G47" s="559"/>
      <c r="H47" s="559"/>
      <c r="I47" s="559"/>
      <c r="J47" s="559"/>
      <c r="K47" s="559"/>
      <c r="L47" s="559"/>
      <c r="M47" s="559"/>
      <c r="N47" s="559"/>
      <c r="O47" s="559"/>
      <c r="P47" s="559"/>
      <c r="Q47" s="559"/>
      <c r="R47" s="560"/>
      <c r="S47" s="586"/>
      <c r="T47" s="579"/>
      <c r="U47" s="467"/>
      <c r="V47" s="467"/>
      <c r="W47" s="467"/>
      <c r="X47" s="467"/>
      <c r="Y47" s="467"/>
      <c r="Z47" s="467"/>
      <c r="AA47" s="467"/>
      <c r="AC47" s="364">
        <f>HLOOKUP(Start!$B$14,$C$2:$R$338,+AD47, FALSE)</f>
        <v>0</v>
      </c>
      <c r="AD47" s="373">
        <f t="shared" si="0"/>
        <v>46</v>
      </c>
    </row>
    <row r="48" spans="1:53" customFormat="1" ht="25.5" customHeight="1" x14ac:dyDescent="0.25">
      <c r="A48" s="568" t="s">
        <v>865</v>
      </c>
      <c r="B48" s="1001" t="s">
        <v>692</v>
      </c>
      <c r="C48" s="989">
        <f>0.17*C64</f>
        <v>0.11899999999999999</v>
      </c>
      <c r="D48" s="949">
        <f>0.13*0.823529411764706</f>
        <v>0.10705882352941176</v>
      </c>
      <c r="E48" s="949">
        <v>0.09</v>
      </c>
      <c r="F48" s="717">
        <v>0.14000000000000001</v>
      </c>
      <c r="G48" s="717">
        <v>0.15</v>
      </c>
      <c r="H48" s="717">
        <v>6.0000000000000005E-2</v>
      </c>
      <c r="I48" s="1027">
        <f>0.16*I64</f>
        <v>9.6000000000000002E-2</v>
      </c>
      <c r="J48" s="720">
        <v>6.1764705882352944E-2</v>
      </c>
      <c r="K48" s="1027">
        <v>7.0000000000000007E-2</v>
      </c>
      <c r="L48" s="949">
        <v>4.0000000000000008E-2</v>
      </c>
      <c r="M48" s="717">
        <v>0.15</v>
      </c>
      <c r="N48" s="949">
        <v>4.0000000000000008E-2</v>
      </c>
      <c r="O48" s="1027">
        <v>0.31</v>
      </c>
      <c r="P48" s="1028">
        <v>0.17</v>
      </c>
      <c r="Q48" s="949">
        <v>0.16633858267716536</v>
      </c>
      <c r="R48" s="1056">
        <v>0.1</v>
      </c>
      <c r="S48" s="590"/>
      <c r="T48" s="557"/>
      <c r="U48" s="318"/>
      <c r="V48" s="318"/>
      <c r="W48" s="318"/>
      <c r="X48" s="318"/>
      <c r="Y48" s="318"/>
      <c r="Z48" s="318"/>
      <c r="AA48" s="318"/>
      <c r="AC48" s="364">
        <f>HLOOKUP(Start!$B$14,$C$2:$R$338,+AD48, FALSE)</f>
        <v>0.11899999999999999</v>
      </c>
      <c r="AD48" s="373">
        <f t="shared" si="0"/>
        <v>47</v>
      </c>
    </row>
    <row r="49" spans="1:30" customFormat="1" ht="25.5" customHeight="1" x14ac:dyDescent="0.25">
      <c r="A49" s="988" t="s">
        <v>925</v>
      </c>
      <c r="B49" s="1002" t="s">
        <v>693</v>
      </c>
      <c r="C49" s="990"/>
      <c r="D49" s="1023"/>
      <c r="E49" s="1023"/>
      <c r="F49" s="1023"/>
      <c r="G49" s="1023"/>
      <c r="H49" s="1023"/>
      <c r="I49" s="1029"/>
      <c r="J49" s="1023"/>
      <c r="K49" s="1030"/>
      <c r="L49" s="1029"/>
      <c r="M49" s="1023"/>
      <c r="N49" s="1029"/>
      <c r="O49" s="1029"/>
      <c r="P49" s="1029"/>
      <c r="Q49" s="1030"/>
      <c r="R49" s="1031"/>
      <c r="S49" s="590"/>
      <c r="T49" s="557"/>
      <c r="U49" s="318"/>
      <c r="V49" s="318"/>
      <c r="W49" s="318"/>
      <c r="X49" s="318"/>
      <c r="Y49" s="318"/>
      <c r="Z49" s="318"/>
      <c r="AA49" s="318"/>
      <c r="AC49" s="364">
        <f>HLOOKUP(Start!$B$14,$C$2:$R$338,+AD49, FALSE)</f>
        <v>0</v>
      </c>
      <c r="AD49" s="373">
        <f t="shared" si="0"/>
        <v>48</v>
      </c>
    </row>
    <row r="50" spans="1:30" customFormat="1" ht="25.5" customHeight="1" x14ac:dyDescent="0.25">
      <c r="A50" s="571" t="s">
        <v>926</v>
      </c>
      <c r="B50" s="1002" t="s">
        <v>693</v>
      </c>
      <c r="C50" s="991">
        <f>0.025*C65</f>
        <v>1.8750000000000003E-2</v>
      </c>
      <c r="D50" s="949">
        <f>0.1*0.823529411764706</f>
        <v>8.2352941176470587E-2</v>
      </c>
      <c r="E50" s="949">
        <v>0.1</v>
      </c>
      <c r="F50" s="949">
        <v>0.04</v>
      </c>
      <c r="G50" s="949">
        <v>0.49597185094147017</v>
      </c>
      <c r="H50" s="718">
        <v>2.4380247324704934E-2</v>
      </c>
      <c r="I50" s="949">
        <v>2.0370570770959908E-2</v>
      </c>
      <c r="J50" s="949">
        <v>8.2352941176470601E-2</v>
      </c>
      <c r="K50" s="949">
        <v>7.0000000000000007E-2</v>
      </c>
      <c r="L50" s="949">
        <v>0.03</v>
      </c>
      <c r="M50" s="718">
        <v>6.53288101079737E-2</v>
      </c>
      <c r="N50" s="949">
        <v>0.25</v>
      </c>
      <c r="O50" s="1026">
        <v>0.05</v>
      </c>
      <c r="P50" s="1026">
        <v>0.05</v>
      </c>
      <c r="Q50" s="949">
        <v>0.21572261422770977</v>
      </c>
      <c r="R50" s="1057">
        <v>0.12000000000000001</v>
      </c>
      <c r="S50" s="585" t="s">
        <v>976</v>
      </c>
      <c r="T50" s="557"/>
      <c r="U50" s="318"/>
      <c r="V50" s="318"/>
      <c r="W50" s="318"/>
      <c r="X50" s="318"/>
      <c r="Y50" s="318"/>
      <c r="Z50" s="318"/>
      <c r="AA50" s="318"/>
      <c r="AC50" s="364">
        <f>HLOOKUP(Start!$B$14,$C$2:$R$338,+AD50, FALSE)</f>
        <v>1.8750000000000003E-2</v>
      </c>
      <c r="AD50" s="373">
        <f t="shared" si="0"/>
        <v>49</v>
      </c>
    </row>
    <row r="51" spans="1:30" customFormat="1" ht="51" x14ac:dyDescent="0.25">
      <c r="A51" s="571" t="s">
        <v>927</v>
      </c>
      <c r="B51" s="1002" t="s">
        <v>694</v>
      </c>
      <c r="C51" s="992">
        <f>0.12+0.005*C66</f>
        <v>0.123053760456726</v>
      </c>
      <c r="D51" s="1026">
        <f>0.12+0.005*D66</f>
        <v>0.12349124179859146</v>
      </c>
      <c r="E51" s="1024">
        <v>0.16393954316159215</v>
      </c>
      <c r="F51" s="1026">
        <v>0.17734140435835355</v>
      </c>
      <c r="G51" s="1026">
        <v>0.16721897135817676</v>
      </c>
      <c r="H51" s="1025">
        <v>7.3209655085599193E-2</v>
      </c>
      <c r="I51" s="1049">
        <v>0.16325492424242427</v>
      </c>
      <c r="J51" s="1024">
        <v>0.16325492424242424</v>
      </c>
      <c r="K51" s="1026">
        <v>0.14020096537050458</v>
      </c>
      <c r="L51" s="1032">
        <v>0.20737715877437327</v>
      </c>
      <c r="M51" s="1026">
        <v>0.13376470588235295</v>
      </c>
      <c r="N51" s="1032">
        <v>9.9783132530120458E-2</v>
      </c>
      <c r="O51" s="1033">
        <v>0.1525</v>
      </c>
      <c r="P51" s="1033">
        <v>0.1525</v>
      </c>
      <c r="Q51" s="1026">
        <v>6.7556650956457923E-2</v>
      </c>
      <c r="R51" s="1036">
        <v>0.20212121212121215</v>
      </c>
      <c r="S51" s="590" t="s">
        <v>968</v>
      </c>
      <c r="T51" s="557"/>
      <c r="U51" s="318"/>
      <c r="V51" s="318"/>
      <c r="W51" s="318"/>
      <c r="X51" s="318"/>
      <c r="Y51" s="318"/>
      <c r="Z51" s="318"/>
      <c r="AA51" s="318"/>
      <c r="AC51" s="364">
        <f>HLOOKUP(Start!$B$14,$C$2:$R$338,+AD51, FALSE)</f>
        <v>0.123053760456726</v>
      </c>
      <c r="AD51" s="373">
        <f t="shared" si="0"/>
        <v>50</v>
      </c>
    </row>
    <row r="52" spans="1:30" s="569" customFormat="1" x14ac:dyDescent="0.25">
      <c r="A52" s="576"/>
      <c r="B52" s="999"/>
      <c r="C52" s="558"/>
      <c r="D52" s="558"/>
      <c r="E52" s="558"/>
      <c r="F52" s="558"/>
      <c r="G52" s="558"/>
      <c r="H52" s="558"/>
      <c r="I52" s="558"/>
      <c r="J52" s="558"/>
      <c r="K52" s="558"/>
      <c r="L52" s="558"/>
      <c r="M52" s="558"/>
      <c r="N52" s="558"/>
      <c r="O52" s="558"/>
      <c r="P52" s="558"/>
      <c r="Q52" s="558"/>
      <c r="R52" s="558"/>
      <c r="S52" s="586"/>
      <c r="T52" s="579"/>
      <c r="U52" s="467"/>
      <c r="V52" s="467"/>
      <c r="W52" s="467"/>
      <c r="X52" s="467"/>
      <c r="Y52" s="467"/>
      <c r="Z52" s="467"/>
      <c r="AA52" s="467"/>
      <c r="AC52" s="364">
        <f>HLOOKUP(Start!$B$14,$C$2:$R$338,+AD52, FALSE)</f>
        <v>0</v>
      </c>
      <c r="AD52" s="373">
        <f t="shared" si="0"/>
        <v>51</v>
      </c>
    </row>
    <row r="53" spans="1:30" s="569" customFormat="1" ht="18.75" x14ac:dyDescent="0.25">
      <c r="A53" s="561" t="s">
        <v>928</v>
      </c>
      <c r="B53" s="1000"/>
      <c r="C53" s="993"/>
      <c r="D53" s="993"/>
      <c r="E53" s="993"/>
      <c r="F53" s="993"/>
      <c r="G53" s="993"/>
      <c r="H53" s="993"/>
      <c r="I53" s="993"/>
      <c r="J53" s="993"/>
      <c r="K53" s="993"/>
      <c r="L53" s="993"/>
      <c r="M53" s="993"/>
      <c r="N53" s="993"/>
      <c r="O53" s="993"/>
      <c r="P53" s="993"/>
      <c r="Q53" s="993"/>
      <c r="R53" s="1034"/>
      <c r="S53" s="586"/>
      <c r="T53" s="579"/>
      <c r="U53" s="467"/>
      <c r="V53" s="467"/>
      <c r="W53" s="467"/>
      <c r="X53" s="467"/>
      <c r="Y53" s="467"/>
      <c r="Z53" s="467"/>
      <c r="AA53" s="467"/>
      <c r="AC53" s="364">
        <f>HLOOKUP(Start!$B$14,$C$2:$R$338,+AD53, FALSE)</f>
        <v>0</v>
      </c>
      <c r="AD53" s="373">
        <f t="shared" si="0"/>
        <v>52</v>
      </c>
    </row>
    <row r="54" spans="1:30" customFormat="1" ht="25.5" x14ac:dyDescent="0.25">
      <c r="A54" s="567" t="s">
        <v>929</v>
      </c>
      <c r="B54" s="1003" t="s">
        <v>692</v>
      </c>
      <c r="C54" s="994">
        <f>0.3*0.005</f>
        <v>1.5E-3</v>
      </c>
      <c r="D54" s="1021">
        <f>0.3*0.005</f>
        <v>1.5E-3</v>
      </c>
      <c r="E54" s="1021">
        <f>0.3*0.005</f>
        <v>1.5E-3</v>
      </c>
      <c r="F54" s="1021">
        <f>0.3*0.005</f>
        <v>1.5E-3</v>
      </c>
      <c r="G54" s="1046">
        <f>0.01*0.005</f>
        <v>5.0000000000000002E-5</v>
      </c>
      <c r="H54" s="1021">
        <f>0.01*0.5</f>
        <v>5.0000000000000001E-3</v>
      </c>
      <c r="I54" s="1021">
        <f>0.3*0.005</f>
        <v>1.5E-3</v>
      </c>
      <c r="J54" s="1021">
        <f>0.3*0.005</f>
        <v>1.5E-3</v>
      </c>
      <c r="K54" s="1021">
        <f>0.3*0.005</f>
        <v>1.5E-3</v>
      </c>
      <c r="L54" s="1021">
        <f>0.3*0.005</f>
        <v>1.5E-3</v>
      </c>
      <c r="M54" s="1021">
        <f>0.6*0.005</f>
        <v>3.0000000000000001E-3</v>
      </c>
      <c r="N54" s="1021">
        <f>0.5*0.01</f>
        <v>5.0000000000000001E-3</v>
      </c>
      <c r="O54" s="1021">
        <f t="shared" ref="O54:R55" si="29">0.001*0.5</f>
        <v>5.0000000000000001E-4</v>
      </c>
      <c r="P54" s="1021">
        <f t="shared" si="29"/>
        <v>5.0000000000000001E-4</v>
      </c>
      <c r="Q54" s="1021">
        <f t="shared" si="29"/>
        <v>5.0000000000000001E-4</v>
      </c>
      <c r="R54" s="1022">
        <f t="shared" si="29"/>
        <v>5.0000000000000001E-4</v>
      </c>
      <c r="S54" s="1188" t="s">
        <v>955</v>
      </c>
      <c r="T54" s="557"/>
      <c r="U54" s="318"/>
      <c r="V54" s="318"/>
      <c r="W54" s="318"/>
      <c r="X54" s="318"/>
      <c r="Y54" s="318"/>
      <c r="Z54" s="318"/>
      <c r="AA54" s="318"/>
      <c r="AC54" s="364">
        <f>HLOOKUP(Start!$B$14,$C$2:$R$338,+AD54, FALSE)</f>
        <v>1.5E-3</v>
      </c>
      <c r="AD54" s="373">
        <f t="shared" si="0"/>
        <v>53</v>
      </c>
    </row>
    <row r="55" spans="1:30" customFormat="1" ht="25.5" x14ac:dyDescent="0.25">
      <c r="A55" s="572" t="s">
        <v>930</v>
      </c>
      <c r="B55" s="1002" t="s">
        <v>693</v>
      </c>
      <c r="C55" s="991">
        <f>0.7*0.005</f>
        <v>3.4999999999999996E-3</v>
      </c>
      <c r="D55" s="1025">
        <f>0.7*0.005</f>
        <v>3.4999999999999996E-3</v>
      </c>
      <c r="E55" s="1025">
        <f>0.7*0.005</f>
        <v>3.4999999999999996E-3</v>
      </c>
      <c r="F55" s="1025">
        <f>0.7*0.005</f>
        <v>3.4999999999999996E-3</v>
      </c>
      <c r="G55" s="1025">
        <f>0.99*0.005</f>
        <v>4.9500000000000004E-3</v>
      </c>
      <c r="H55" s="1025">
        <f>0.01*0.5</f>
        <v>5.0000000000000001E-3</v>
      </c>
      <c r="I55" s="1025">
        <f>0.7*0.005</f>
        <v>3.4999999999999996E-3</v>
      </c>
      <c r="J55" s="1025">
        <f>0.7*0.005</f>
        <v>3.4999999999999996E-3</v>
      </c>
      <c r="K55" s="1025">
        <f>0.7*0.005</f>
        <v>3.4999999999999996E-3</v>
      </c>
      <c r="L55" s="1025">
        <f>0.7*0.005</f>
        <v>3.4999999999999996E-3</v>
      </c>
      <c r="M55" s="1025">
        <f>0.4*0.005</f>
        <v>2E-3</v>
      </c>
      <c r="N55" s="1025">
        <f>0.5*0.01</f>
        <v>5.0000000000000001E-3</v>
      </c>
      <c r="O55" s="1025">
        <f t="shared" si="29"/>
        <v>5.0000000000000001E-4</v>
      </c>
      <c r="P55" s="1025">
        <f t="shared" si="29"/>
        <v>5.0000000000000001E-4</v>
      </c>
      <c r="Q55" s="1025">
        <f t="shared" si="29"/>
        <v>5.0000000000000001E-4</v>
      </c>
      <c r="R55" s="1035">
        <f t="shared" si="29"/>
        <v>5.0000000000000001E-4</v>
      </c>
      <c r="S55" s="1189"/>
      <c r="T55" s="557"/>
      <c r="U55" s="318"/>
      <c r="V55" s="318"/>
      <c r="W55" s="318"/>
      <c r="X55" s="318"/>
      <c r="Y55" s="318"/>
      <c r="Z55" s="318"/>
      <c r="AA55" s="318"/>
      <c r="AC55" s="364">
        <f>HLOOKUP(Start!$B$14,$C$2:$R$338,+AD55, FALSE)</f>
        <v>3.4999999999999996E-3</v>
      </c>
      <c r="AD55" s="373">
        <f t="shared" si="0"/>
        <v>54</v>
      </c>
    </row>
    <row r="56" spans="1:30" customFormat="1" ht="25.5" x14ac:dyDescent="0.25">
      <c r="A56" s="565" t="s">
        <v>931</v>
      </c>
      <c r="B56" s="1002" t="s">
        <v>693</v>
      </c>
      <c r="C56" s="574">
        <f t="shared" ref="C56:R56" si="30">+C55*C91/C97</f>
        <v>3.9892071051957712E-3</v>
      </c>
      <c r="D56" s="575">
        <f t="shared" si="30"/>
        <v>3.9341595109447852E-3</v>
      </c>
      <c r="E56" s="575">
        <f t="shared" si="30"/>
        <v>3.8609025627448844E-3</v>
      </c>
      <c r="F56" s="575">
        <f t="shared" si="30"/>
        <v>4.0859729299577005E-3</v>
      </c>
      <c r="G56" s="575">
        <f t="shared" si="30"/>
        <v>7.7746655846705585E-3</v>
      </c>
      <c r="H56" s="575">
        <f t="shared" si="30"/>
        <v>6.6471683063015147E-3</v>
      </c>
      <c r="I56" s="591">
        <f t="shared" si="30"/>
        <v>3.8859873516663107E-3</v>
      </c>
      <c r="J56" s="575">
        <f t="shared" si="30"/>
        <v>3.7436866970893112E-3</v>
      </c>
      <c r="K56" s="591">
        <f t="shared" si="30"/>
        <v>3.7775608799879117E-3</v>
      </c>
      <c r="L56" s="591">
        <f t="shared" si="30"/>
        <v>3.658544152305954E-3</v>
      </c>
      <c r="M56" s="591">
        <f t="shared" si="30"/>
        <v>3.0111412225233367E-3</v>
      </c>
      <c r="N56" s="591">
        <f t="shared" si="30"/>
        <v>5.9931556492326876E-3</v>
      </c>
      <c r="O56" s="591">
        <f>+O55*O91/O97</f>
        <v>1.0499055085042349E-3</v>
      </c>
      <c r="P56" s="591">
        <f t="shared" ref="P56" si="31">+P55*P91/P97</f>
        <v>8.113809704116408E-4</v>
      </c>
      <c r="Q56" s="591">
        <f t="shared" si="30"/>
        <v>6.7694751993300725E-4</v>
      </c>
      <c r="R56" s="592">
        <f t="shared" si="30"/>
        <v>6.3462235569787648E-4</v>
      </c>
      <c r="S56" s="594" t="s">
        <v>698</v>
      </c>
      <c r="T56" s="557"/>
      <c r="U56" s="318"/>
      <c r="V56" s="318"/>
      <c r="W56" s="318"/>
      <c r="X56" s="318"/>
      <c r="Y56" s="318"/>
      <c r="Z56" s="318"/>
      <c r="AA56" s="318"/>
      <c r="AC56" s="364">
        <f>HLOOKUP(Start!$B$14,$C$2:$R$338,+AD56, FALSE)</f>
        <v>3.9892071051957712E-3</v>
      </c>
      <c r="AD56" s="373">
        <f t="shared" si="0"/>
        <v>55</v>
      </c>
    </row>
    <row r="57" spans="1:30" customFormat="1" ht="38.25" x14ac:dyDescent="0.25">
      <c r="A57" s="571" t="s">
        <v>932</v>
      </c>
      <c r="B57" s="1002" t="s">
        <v>694</v>
      </c>
      <c r="C57" s="995">
        <v>0.01</v>
      </c>
      <c r="D57" s="1024">
        <v>0.01</v>
      </c>
      <c r="E57" s="1024">
        <v>0.01</v>
      </c>
      <c r="F57" s="1041">
        <v>2.5000000000000001E-2</v>
      </c>
      <c r="G57" s="1024">
        <v>0.01</v>
      </c>
      <c r="H57" s="1024">
        <v>0.01</v>
      </c>
      <c r="I57" s="1024">
        <v>0.01</v>
      </c>
      <c r="J57" s="1024">
        <v>0.01</v>
      </c>
      <c r="K57" s="1024">
        <v>0.01</v>
      </c>
      <c r="L57" s="1041">
        <v>2.5000000000000001E-2</v>
      </c>
      <c r="M57" s="1024">
        <v>0.01</v>
      </c>
      <c r="N57" s="1041">
        <v>2.5000000000000001E-2</v>
      </c>
      <c r="O57" s="1024">
        <v>0.01</v>
      </c>
      <c r="P57" s="1024">
        <v>0.01</v>
      </c>
      <c r="Q57" s="1024">
        <v>0.01</v>
      </c>
      <c r="R57" s="1062">
        <v>2.5000000000000001E-2</v>
      </c>
      <c r="S57" s="593" t="s">
        <v>957</v>
      </c>
      <c r="T57" s="557"/>
      <c r="U57" s="318"/>
      <c r="V57" s="318"/>
      <c r="W57" s="318"/>
      <c r="X57" s="318"/>
      <c r="Y57" s="318"/>
      <c r="Z57" s="318"/>
      <c r="AA57" s="318"/>
      <c r="AC57" s="364">
        <f>HLOOKUP(Start!$B$14,$C$2:$R$338,+AD57, FALSE)</f>
        <v>0.01</v>
      </c>
      <c r="AD57" s="373">
        <f t="shared" si="0"/>
        <v>56</v>
      </c>
    </row>
    <row r="58" spans="1:30" s="569" customFormat="1" ht="18.75" x14ac:dyDescent="0.25">
      <c r="A58" s="561" t="s">
        <v>699</v>
      </c>
      <c r="B58" s="1000"/>
      <c r="C58" s="559"/>
      <c r="D58" s="993"/>
      <c r="E58" s="993"/>
      <c r="F58" s="993"/>
      <c r="G58" s="993"/>
      <c r="H58" s="993"/>
      <c r="I58" s="993"/>
      <c r="J58" s="993"/>
      <c r="K58" s="993"/>
      <c r="L58" s="993"/>
      <c r="M58" s="993"/>
      <c r="N58" s="993"/>
      <c r="O58" s="993"/>
      <c r="P58" s="993"/>
      <c r="Q58" s="993"/>
      <c r="R58" s="1034"/>
      <c r="S58" s="586"/>
      <c r="T58" s="579"/>
      <c r="U58" s="467"/>
      <c r="V58" s="467"/>
      <c r="W58" s="467"/>
      <c r="X58" s="467"/>
      <c r="Y58" s="467"/>
      <c r="Z58" s="467"/>
      <c r="AA58" s="467"/>
      <c r="AC58" s="364">
        <f>HLOOKUP(Start!$B$14,$C$2:$R$338,+AD58, FALSE)</f>
        <v>0</v>
      </c>
      <c r="AD58" s="373">
        <f t="shared" si="0"/>
        <v>57</v>
      </c>
    </row>
    <row r="59" spans="1:30" customFormat="1" ht="25.5" customHeight="1" x14ac:dyDescent="0.25">
      <c r="A59" s="567" t="s">
        <v>717</v>
      </c>
      <c r="B59" s="1003" t="s">
        <v>692</v>
      </c>
      <c r="C59" s="996">
        <f>0.25*0.0396026</f>
        <v>9.9006500000000004E-3</v>
      </c>
      <c r="D59" s="1021">
        <v>2.3473028266686432E-3</v>
      </c>
      <c r="E59" s="1021">
        <v>4.2000000000000006E-3</v>
      </c>
      <c r="F59" s="1021">
        <v>1.0756567227341958E-3</v>
      </c>
      <c r="G59" s="1048">
        <v>6.0300000000000029E-5</v>
      </c>
      <c r="H59" s="1020">
        <v>8.5886741250000009E-3</v>
      </c>
      <c r="I59" s="1021">
        <v>9.3665774999999989E-3</v>
      </c>
      <c r="J59" s="1021">
        <v>2.7183067778455415E-4</v>
      </c>
      <c r="K59" s="1021">
        <v>2.2500000000000003E-3</v>
      </c>
      <c r="L59" s="1021">
        <v>5.9115516782338984E-4</v>
      </c>
      <c r="M59" s="1021">
        <v>1.9296000000000001E-3</v>
      </c>
      <c r="N59" s="1021">
        <v>4.5000000000000005E-3</v>
      </c>
      <c r="O59" s="1021">
        <v>1.9597500000000001E-3</v>
      </c>
      <c r="P59" s="1021">
        <v>1.9597500000000001E-3</v>
      </c>
      <c r="Q59" s="1021">
        <v>3.3E-3</v>
      </c>
      <c r="R59" s="1022">
        <v>2.7000000000000001E-3</v>
      </c>
      <c r="S59" s="1188" t="s">
        <v>890</v>
      </c>
      <c r="T59" s="557"/>
      <c r="U59" s="318"/>
      <c r="V59" s="318"/>
      <c r="W59" s="318"/>
      <c r="X59" s="318"/>
      <c r="Y59" s="318"/>
      <c r="Z59" s="318"/>
      <c r="AA59" s="318"/>
      <c r="AC59" s="364">
        <f>HLOOKUP(Start!$B$14,$C$2:$R$338,+AD59, FALSE)</f>
        <v>9.9006500000000004E-3</v>
      </c>
      <c r="AD59" s="373">
        <f t="shared" si="0"/>
        <v>58</v>
      </c>
    </row>
    <row r="60" spans="1:30" customFormat="1" ht="25.5" customHeight="1" x14ac:dyDescent="0.25">
      <c r="A60" s="572" t="s">
        <v>718</v>
      </c>
      <c r="B60" s="1002" t="s">
        <v>693</v>
      </c>
      <c r="C60" s="992">
        <f>0.75*0.0396026</f>
        <v>2.9701950000000001E-2</v>
      </c>
      <c r="D60" s="1039"/>
      <c r="E60" s="1039"/>
      <c r="F60" s="1039"/>
      <c r="G60" s="1039"/>
      <c r="H60" s="1039"/>
      <c r="I60" s="1039"/>
      <c r="J60" s="1039"/>
      <c r="K60" s="1039"/>
      <c r="L60" s="1053"/>
      <c r="M60" s="1053"/>
      <c r="N60" s="1053"/>
      <c r="O60" s="1025">
        <v>1.9597500000000001E-3</v>
      </c>
      <c r="P60" s="1025">
        <v>1.9597500000000001E-3</v>
      </c>
      <c r="Q60" s="1053"/>
      <c r="R60" s="1035"/>
      <c r="S60" s="1189"/>
      <c r="T60" s="557"/>
      <c r="U60" s="318"/>
      <c r="V60" s="318"/>
      <c r="W60" s="318"/>
      <c r="X60" s="318"/>
      <c r="Y60" s="318"/>
      <c r="Z60" s="318"/>
      <c r="AA60" s="318"/>
      <c r="AC60" s="364">
        <f>HLOOKUP(Start!$B$14,$C$2:$R$338,+AD60, FALSE)</f>
        <v>2.9701950000000001E-2</v>
      </c>
      <c r="AD60" s="373">
        <f t="shared" si="0"/>
        <v>59</v>
      </c>
    </row>
    <row r="61" spans="1:30" s="569" customFormat="1" ht="25.5" customHeight="1" x14ac:dyDescent="0.25">
      <c r="A61" s="565" t="s">
        <v>719</v>
      </c>
      <c r="B61" s="1002" t="s">
        <v>693</v>
      </c>
      <c r="C61" s="574">
        <f>+C60*C128/C133</f>
        <v>3.0661218538914275E-2</v>
      </c>
      <c r="D61" s="1025">
        <v>3.6482363148412404E-2</v>
      </c>
      <c r="E61" s="1025">
        <v>3.6673605426990559E-2</v>
      </c>
      <c r="F61" s="1025">
        <v>3.8981374034431658E-2</v>
      </c>
      <c r="G61" s="1047">
        <v>6.7266374938525816E-4</v>
      </c>
      <c r="H61" s="1025">
        <v>5.9195315296229328E-3</v>
      </c>
      <c r="I61" s="1025">
        <v>2.9881924153712058E-2</v>
      </c>
      <c r="J61" s="1025">
        <v>3.858814695673659E-2</v>
      </c>
      <c r="K61" s="1025">
        <v>4.1409098139076728E-2</v>
      </c>
      <c r="L61" s="1025">
        <v>1.814731984178225E-2</v>
      </c>
      <c r="M61" s="1025">
        <v>2.6464515814627487E-4</v>
      </c>
      <c r="N61" s="1025">
        <v>2.1478599878471355E-3</v>
      </c>
      <c r="O61" s="575">
        <f t="shared" ref="O61:P61" si="32">+O60*O128/O133</f>
        <v>1.9719619859059384E-3</v>
      </c>
      <c r="P61" s="575">
        <f t="shared" si="32"/>
        <v>1.9719619859059384E-3</v>
      </c>
      <c r="Q61" s="1025">
        <v>3.957683719745253E-3</v>
      </c>
      <c r="R61" s="1035">
        <v>3.0481690943396458E-3</v>
      </c>
      <c r="S61" s="593" t="s">
        <v>698</v>
      </c>
      <c r="T61" s="579"/>
      <c r="U61" s="467"/>
      <c r="V61" s="467"/>
      <c r="W61" s="467"/>
      <c r="X61" s="467"/>
      <c r="Y61" s="467"/>
      <c r="Z61" s="467"/>
      <c r="AA61" s="467"/>
      <c r="AC61" s="364">
        <f>HLOOKUP(Start!$B$14,$C$2:$R$338,+AD61, FALSE)</f>
        <v>3.0661218538914275E-2</v>
      </c>
      <c r="AD61" s="373">
        <f t="shared" si="0"/>
        <v>60</v>
      </c>
    </row>
    <row r="62" spans="1:30" s="339" customFormat="1" ht="25.5" customHeight="1" x14ac:dyDescent="0.25">
      <c r="A62" s="571" t="s">
        <v>720</v>
      </c>
      <c r="B62" s="1002" t="s">
        <v>694</v>
      </c>
      <c r="C62" s="997">
        <v>0</v>
      </c>
      <c r="D62" s="1037">
        <v>0</v>
      </c>
      <c r="E62" s="1037">
        <v>0</v>
      </c>
      <c r="F62" s="1037">
        <v>0</v>
      </c>
      <c r="G62" s="1037">
        <v>0</v>
      </c>
      <c r="H62" s="1037">
        <v>0</v>
      </c>
      <c r="I62" s="1037">
        <v>0</v>
      </c>
      <c r="J62" s="1037">
        <v>0</v>
      </c>
      <c r="K62" s="1037">
        <v>0</v>
      </c>
      <c r="L62" s="1037">
        <v>0</v>
      </c>
      <c r="M62" s="1037">
        <v>0</v>
      </c>
      <c r="N62" s="1037">
        <v>2.1478599878471355E-3</v>
      </c>
      <c r="O62" s="1037">
        <v>0</v>
      </c>
      <c r="P62" s="1037">
        <v>0</v>
      </c>
      <c r="Q62" s="1037">
        <v>0</v>
      </c>
      <c r="R62" s="1038">
        <v>0</v>
      </c>
      <c r="S62" s="593" t="s">
        <v>716</v>
      </c>
      <c r="T62" s="557"/>
      <c r="U62" s="318"/>
      <c r="V62" s="318"/>
      <c r="W62" s="318"/>
      <c r="X62" s="318"/>
      <c r="Y62" s="318"/>
      <c r="Z62" s="318"/>
      <c r="AA62" s="318"/>
      <c r="AC62" s="364">
        <f>HLOOKUP(Start!$B$14,$C$2:$R$338,+AD62, FALSE)</f>
        <v>0</v>
      </c>
      <c r="AD62" s="373">
        <f t="shared" si="0"/>
        <v>61</v>
      </c>
    </row>
    <row r="63" spans="1:30" s="569" customFormat="1" ht="18.75" x14ac:dyDescent="0.25">
      <c r="A63" s="561" t="s">
        <v>13</v>
      </c>
      <c r="B63" s="1000"/>
      <c r="C63" s="559"/>
      <c r="D63" s="559"/>
      <c r="E63" s="559"/>
      <c r="F63" s="559"/>
      <c r="G63" s="559"/>
      <c r="H63" s="559"/>
      <c r="I63" s="559"/>
      <c r="J63" s="559"/>
      <c r="K63" s="559"/>
      <c r="L63" s="559"/>
      <c r="M63" s="559"/>
      <c r="N63" s="559"/>
      <c r="O63" s="559"/>
      <c r="P63" s="559"/>
      <c r="Q63" s="559"/>
      <c r="R63" s="560"/>
      <c r="S63" s="586"/>
      <c r="T63" s="579"/>
      <c r="U63" s="467"/>
      <c r="V63" s="467"/>
      <c r="W63" s="467"/>
      <c r="X63" s="467"/>
      <c r="Y63" s="467"/>
      <c r="Z63" s="467"/>
      <c r="AA63" s="467"/>
      <c r="AC63" s="364">
        <f>HLOOKUP(Start!$B$14,$C$2:$R$338,+AD63, FALSE)</f>
        <v>0</v>
      </c>
      <c r="AD63" s="373">
        <f t="shared" si="0"/>
        <v>62</v>
      </c>
    </row>
    <row r="64" spans="1:30" s="569" customFormat="1" ht="27" customHeight="1" x14ac:dyDescent="0.25">
      <c r="A64" s="567" t="s">
        <v>759</v>
      </c>
      <c r="B64" s="1003" t="s">
        <v>748</v>
      </c>
      <c r="C64" s="712">
        <v>0.7</v>
      </c>
      <c r="D64" s="1040">
        <v>0.59</v>
      </c>
      <c r="E64" s="1040">
        <v>0.64864864864864857</v>
      </c>
      <c r="F64" s="1040">
        <v>0.62719999999999998</v>
      </c>
      <c r="G64" s="913">
        <v>0.7</v>
      </c>
      <c r="H64" s="713">
        <v>0.6</v>
      </c>
      <c r="I64" s="713">
        <v>0.6</v>
      </c>
      <c r="J64" s="713">
        <v>0.6</v>
      </c>
      <c r="K64" s="1051">
        <v>0.64864864864864857</v>
      </c>
      <c r="L64" s="1040">
        <v>0.60240000000000005</v>
      </c>
      <c r="M64" s="713">
        <v>0.6</v>
      </c>
      <c r="N64" s="1040">
        <v>0.39621983624789109</v>
      </c>
      <c r="O64" s="713">
        <v>0.7</v>
      </c>
      <c r="P64" s="713">
        <v>0.7</v>
      </c>
      <c r="Q64" s="1051">
        <v>0.31034482758620696</v>
      </c>
      <c r="R64" s="1058">
        <v>0.3664</v>
      </c>
      <c r="S64" s="630" t="s">
        <v>958</v>
      </c>
      <c r="T64" s="579"/>
      <c r="U64" s="467"/>
      <c r="V64" s="467"/>
      <c r="W64" s="467"/>
      <c r="X64" s="467"/>
      <c r="Y64" s="467"/>
      <c r="Z64" s="467"/>
      <c r="AA64" s="467"/>
      <c r="AC64" s="364">
        <f>HLOOKUP(Start!$B$14,$C$2:$R$338,+AD64, FALSE)</f>
        <v>0.7</v>
      </c>
      <c r="AD64" s="373">
        <f t="shared" si="0"/>
        <v>63</v>
      </c>
    </row>
    <row r="65" spans="1:30" s="569" customFormat="1" ht="25.5" customHeight="1" x14ac:dyDescent="0.25">
      <c r="A65" s="567" t="s">
        <v>760</v>
      </c>
      <c r="B65" s="1003" t="s">
        <v>749</v>
      </c>
      <c r="C65" s="714">
        <v>0.75</v>
      </c>
      <c r="D65" s="715">
        <v>0.75</v>
      </c>
      <c r="E65" s="715">
        <v>0.64864864864864857</v>
      </c>
      <c r="F65" s="715">
        <v>0.75</v>
      </c>
      <c r="G65" s="914">
        <v>0.25</v>
      </c>
      <c r="H65" s="715">
        <v>0.2</v>
      </c>
      <c r="I65" s="715">
        <v>0.6</v>
      </c>
      <c r="J65" s="715">
        <v>0.6</v>
      </c>
      <c r="K65" s="1020">
        <v>0.56666666666666665</v>
      </c>
      <c r="L65" s="715">
        <v>0.6</v>
      </c>
      <c r="M65" s="715">
        <v>0.2</v>
      </c>
      <c r="N65" s="715">
        <v>0.25</v>
      </c>
      <c r="O65" s="715">
        <v>0.3</v>
      </c>
      <c r="P65" s="715">
        <v>0.3</v>
      </c>
      <c r="Q65" s="1020">
        <v>0.31034482758620696</v>
      </c>
      <c r="R65" s="1059">
        <v>0.3</v>
      </c>
      <c r="S65" s="630" t="s">
        <v>889</v>
      </c>
      <c r="T65" s="579"/>
      <c r="U65" s="467"/>
      <c r="V65" s="467"/>
      <c r="W65" s="467"/>
      <c r="X65" s="467"/>
      <c r="Y65" s="467"/>
      <c r="Z65" s="467"/>
      <c r="AA65" s="467"/>
      <c r="AC65" s="364">
        <f>HLOOKUP(Start!$B$14,$C$2:$R$338,+AD65, FALSE)</f>
        <v>0.75</v>
      </c>
      <c r="AD65" s="373">
        <f t="shared" si="0"/>
        <v>64</v>
      </c>
    </row>
    <row r="66" spans="1:30" s="569" customFormat="1" ht="25.5" customHeight="1" x14ac:dyDescent="0.25">
      <c r="A66" s="567" t="s">
        <v>761</v>
      </c>
      <c r="B66" s="1003" t="s">
        <v>750</v>
      </c>
      <c r="C66" s="716">
        <f>3.081/5.0446</f>
        <v>0.61075209134520081</v>
      </c>
      <c r="D66" s="717">
        <f>3.48/4.9839</f>
        <v>0.69824835971829291</v>
      </c>
      <c r="E66" s="717">
        <v>0.64864864864864857</v>
      </c>
      <c r="F66" s="717">
        <v>0.6295399515738499</v>
      </c>
      <c r="G66" s="717">
        <v>0.2513089005235602</v>
      </c>
      <c r="H66" s="717">
        <v>0.2</v>
      </c>
      <c r="I66" s="718">
        <v>0.41098484848484851</v>
      </c>
      <c r="J66" s="718">
        <v>0.41098484848484845</v>
      </c>
      <c r="K66" s="949">
        <v>0.56666666666666665</v>
      </c>
      <c r="L66" s="717">
        <v>0.57381615598885793</v>
      </c>
      <c r="M66" s="717">
        <v>0.2</v>
      </c>
      <c r="N66" s="717">
        <v>9.8795180722891549E-2</v>
      </c>
      <c r="O66" s="717">
        <v>0.25</v>
      </c>
      <c r="P66" s="717">
        <v>0.25</v>
      </c>
      <c r="Q66" s="949">
        <v>0.31034482758620696</v>
      </c>
      <c r="R66" s="1057">
        <v>0.20012001200120014</v>
      </c>
      <c r="S66" s="630"/>
      <c r="T66" s="579"/>
      <c r="U66" s="467"/>
      <c r="V66" s="467"/>
      <c r="W66" s="467"/>
      <c r="X66" s="467"/>
      <c r="Y66" s="467"/>
      <c r="Z66" s="467"/>
      <c r="AA66" s="467"/>
      <c r="AC66" s="364">
        <f>HLOOKUP(Start!$B$14,$C$2:$R$338,+AD66, FALSE)</f>
        <v>0.61075209134520081</v>
      </c>
      <c r="AD66" s="373">
        <f t="shared" si="0"/>
        <v>65</v>
      </c>
    </row>
    <row r="67" spans="1:30" s="569" customFormat="1" ht="25.5" customHeight="1" x14ac:dyDescent="0.25">
      <c r="A67" s="561" t="s">
        <v>935</v>
      </c>
      <c r="B67" s="1000"/>
      <c r="C67" s="559"/>
      <c r="D67" s="559"/>
      <c r="E67" s="559"/>
      <c r="F67" s="559"/>
      <c r="G67" s="559"/>
      <c r="H67" s="559"/>
      <c r="I67" s="559"/>
      <c r="J67" s="559"/>
      <c r="K67" s="559"/>
      <c r="L67" s="559"/>
      <c r="M67" s="559"/>
      <c r="N67" s="559"/>
      <c r="O67" s="559"/>
      <c r="P67" s="559"/>
      <c r="Q67" s="559"/>
      <c r="R67" s="560"/>
      <c r="S67" s="630"/>
      <c r="T67" s="579"/>
      <c r="U67" s="467"/>
      <c r="V67" s="467"/>
      <c r="W67" s="467"/>
      <c r="X67" s="467"/>
      <c r="Y67" s="467"/>
      <c r="Z67" s="467"/>
      <c r="AA67" s="467"/>
      <c r="AC67" s="364">
        <f>HLOOKUP(Start!$B$14,$C$2:$R$338,+AD67, FALSE)</f>
        <v>0</v>
      </c>
      <c r="AD67" s="373">
        <f t="shared" si="0"/>
        <v>66</v>
      </c>
    </row>
    <row r="68" spans="1:30" s="339" customFormat="1" ht="25.5" customHeight="1" x14ac:dyDescent="0.25">
      <c r="A68" s="567" t="s">
        <v>751</v>
      </c>
      <c r="B68" s="1004" t="s">
        <v>753</v>
      </c>
      <c r="C68" s="915">
        <v>1E-4</v>
      </c>
      <c r="D68" s="916">
        <v>1E-4</v>
      </c>
      <c r="E68" s="916">
        <v>1E-4</v>
      </c>
      <c r="F68" s="916">
        <v>1E-4</v>
      </c>
      <c r="G68" s="917">
        <v>0.01</v>
      </c>
      <c r="H68" s="917">
        <v>0.01</v>
      </c>
      <c r="I68" s="916">
        <v>1E-4</v>
      </c>
      <c r="J68" s="916">
        <v>1E-4</v>
      </c>
      <c r="K68" s="916">
        <v>1E-4</v>
      </c>
      <c r="L68" s="916">
        <v>1E-4</v>
      </c>
      <c r="M68" s="917">
        <v>0.01</v>
      </c>
      <c r="N68" s="917">
        <v>0.01</v>
      </c>
      <c r="O68" s="917">
        <v>0.01</v>
      </c>
      <c r="P68" s="917">
        <v>0.01</v>
      </c>
      <c r="Q68" s="917">
        <v>0.01</v>
      </c>
      <c r="R68" s="918">
        <v>0.01</v>
      </c>
      <c r="S68" s="630" t="s">
        <v>938</v>
      </c>
      <c r="T68" s="557"/>
      <c r="U68" s="318"/>
      <c r="V68" s="318"/>
      <c r="W68" s="318"/>
      <c r="X68" s="318"/>
      <c r="Y68" s="318"/>
      <c r="Z68" s="318"/>
      <c r="AA68" s="318"/>
      <c r="AC68" s="364">
        <f>HLOOKUP(Start!$B$14,$C$2:$R$338,+AD68, FALSE)</f>
        <v>1E-4</v>
      </c>
      <c r="AD68" s="373">
        <f t="shared" si="0"/>
        <v>67</v>
      </c>
    </row>
    <row r="69" spans="1:30" s="339" customFormat="1" ht="25.5" customHeight="1" x14ac:dyDescent="0.25">
      <c r="A69" s="570" t="s">
        <v>933</v>
      </c>
      <c r="B69" s="1006" t="s">
        <v>771</v>
      </c>
      <c r="C69" s="921">
        <f t="shared" ref="C69:R69" si="33">+C68*C64*14/30</f>
        <v>3.2666666666666663E-5</v>
      </c>
      <c r="D69" s="922">
        <f t="shared" si="33"/>
        <v>2.7533333333333329E-5</v>
      </c>
      <c r="E69" s="922">
        <f t="shared" si="33"/>
        <v>3.0270270270270265E-5</v>
      </c>
      <c r="F69" s="922">
        <f t="shared" si="33"/>
        <v>2.9269333333333331E-5</v>
      </c>
      <c r="G69" s="922">
        <f t="shared" si="33"/>
        <v>3.2666666666666664E-3</v>
      </c>
      <c r="H69" s="922">
        <f t="shared" si="33"/>
        <v>2.8E-3</v>
      </c>
      <c r="I69" s="922">
        <f t="shared" si="33"/>
        <v>2.8E-5</v>
      </c>
      <c r="J69" s="922">
        <f t="shared" si="33"/>
        <v>2.8E-5</v>
      </c>
      <c r="K69" s="922">
        <f>+K68*K64*14/30</f>
        <v>3.0270270270270265E-5</v>
      </c>
      <c r="L69" s="922">
        <f t="shared" si="33"/>
        <v>2.8112000000000001E-5</v>
      </c>
      <c r="M69" s="922">
        <f t="shared" si="33"/>
        <v>2.8E-3</v>
      </c>
      <c r="N69" s="923">
        <f t="shared" si="33"/>
        <v>1.8490259024901584E-3</v>
      </c>
      <c r="O69" s="923">
        <f t="shared" si="33"/>
        <v>3.2666666666666664E-3</v>
      </c>
      <c r="P69" s="923">
        <f t="shared" ref="P69" si="34">+P68*P64*14/30</f>
        <v>3.2666666666666664E-3</v>
      </c>
      <c r="Q69" s="923">
        <f t="shared" si="33"/>
        <v>1.4482758620689659E-3</v>
      </c>
      <c r="R69" s="924">
        <f t="shared" si="33"/>
        <v>1.7098666666666667E-3</v>
      </c>
      <c r="S69" s="629" t="s">
        <v>755</v>
      </c>
      <c r="T69" s="557"/>
      <c r="U69" s="318"/>
      <c r="V69" s="318"/>
      <c r="W69" s="318"/>
      <c r="X69" s="318"/>
      <c r="Y69" s="318"/>
      <c r="Z69" s="318"/>
      <c r="AA69" s="318"/>
      <c r="AC69" s="364">
        <f>HLOOKUP(Start!$B$14,$C$2:$R$338,+AD69, FALSE)</f>
        <v>3.2666666666666663E-5</v>
      </c>
      <c r="AD69" s="373">
        <f t="shared" si="0"/>
        <v>68</v>
      </c>
    </row>
    <row r="70" spans="1:30" s="569" customFormat="1" ht="25.5" customHeight="1" x14ac:dyDescent="0.25">
      <c r="A70" s="570" t="s">
        <v>934</v>
      </c>
      <c r="B70" s="1007" t="s">
        <v>772</v>
      </c>
      <c r="C70" s="925">
        <f t="shared" ref="C70:R70" si="35">+C68*C65*14/30</f>
        <v>3.5000000000000004E-5</v>
      </c>
      <c r="D70" s="926">
        <f t="shared" si="35"/>
        <v>3.5000000000000004E-5</v>
      </c>
      <c r="E70" s="926">
        <f t="shared" si="35"/>
        <v>3.0270270270270265E-5</v>
      </c>
      <c r="F70" s="926">
        <f t="shared" si="35"/>
        <v>3.5000000000000004E-5</v>
      </c>
      <c r="G70" s="926">
        <f t="shared" si="35"/>
        <v>1.1666666666666668E-3</v>
      </c>
      <c r="H70" s="926">
        <f t="shared" si="35"/>
        <v>9.3333333333333332E-4</v>
      </c>
      <c r="I70" s="926">
        <f t="shared" si="35"/>
        <v>2.8E-5</v>
      </c>
      <c r="J70" s="926">
        <f t="shared" si="35"/>
        <v>2.8E-5</v>
      </c>
      <c r="K70" s="926">
        <f t="shared" si="35"/>
        <v>2.6444444444444446E-5</v>
      </c>
      <c r="L70" s="926">
        <f t="shared" si="35"/>
        <v>2.8E-5</v>
      </c>
      <c r="M70" s="927">
        <f t="shared" si="35"/>
        <v>9.3333333333333332E-4</v>
      </c>
      <c r="N70" s="927">
        <f t="shared" si="35"/>
        <v>1.1666666666666668E-3</v>
      </c>
      <c r="O70" s="927">
        <f t="shared" si="35"/>
        <v>1.4E-3</v>
      </c>
      <c r="P70" s="927">
        <f t="shared" ref="P70" si="36">+P68*P65*14/30</f>
        <v>1.4E-3</v>
      </c>
      <c r="Q70" s="927">
        <f t="shared" si="35"/>
        <v>1.4482758620689659E-3</v>
      </c>
      <c r="R70" s="928">
        <f t="shared" si="35"/>
        <v>1.4E-3</v>
      </c>
      <c r="S70" s="629" t="s">
        <v>755</v>
      </c>
      <c r="T70" s="467"/>
      <c r="U70" s="467"/>
      <c r="V70" s="467"/>
      <c r="W70" s="467"/>
      <c r="X70" s="467"/>
      <c r="Y70" s="467"/>
      <c r="Z70" s="467"/>
      <c r="AA70" s="467"/>
      <c r="AC70" s="364">
        <f>HLOOKUP(Start!$B$14,$C$2:$R$338,+AD70, FALSE)</f>
        <v>3.5000000000000004E-5</v>
      </c>
      <c r="AD70" s="373">
        <f t="shared" si="0"/>
        <v>69</v>
      </c>
    </row>
    <row r="71" spans="1:30" s="569" customFormat="1" ht="25.5" customHeight="1" x14ac:dyDescent="0.25">
      <c r="A71" s="570" t="s">
        <v>762</v>
      </c>
      <c r="B71" s="1005" t="s">
        <v>773</v>
      </c>
      <c r="C71" s="919">
        <f>0.1*C57</f>
        <v>1E-3</v>
      </c>
      <c r="D71" s="920">
        <f t="shared" ref="D71:R71" si="37">0.1*D57</f>
        <v>1E-3</v>
      </c>
      <c r="E71" s="920">
        <f t="shared" si="37"/>
        <v>1E-3</v>
      </c>
      <c r="F71" s="1060">
        <f t="shared" si="37"/>
        <v>2.5000000000000005E-3</v>
      </c>
      <c r="G71" s="920">
        <f t="shared" si="37"/>
        <v>1E-3</v>
      </c>
      <c r="H71" s="920">
        <f t="shared" si="37"/>
        <v>1E-3</v>
      </c>
      <c r="I71" s="1050">
        <f t="shared" si="37"/>
        <v>1E-3</v>
      </c>
      <c r="J71" s="920">
        <f t="shared" si="37"/>
        <v>1E-3</v>
      </c>
      <c r="K71" s="920">
        <f t="shared" si="37"/>
        <v>1E-3</v>
      </c>
      <c r="L71" s="1060">
        <f t="shared" si="37"/>
        <v>2.5000000000000005E-3</v>
      </c>
      <c r="M71" s="920">
        <f t="shared" si="37"/>
        <v>1E-3</v>
      </c>
      <c r="N71" s="1060">
        <f t="shared" si="37"/>
        <v>2.5000000000000005E-3</v>
      </c>
      <c r="O71" s="920">
        <f t="shared" si="37"/>
        <v>1E-3</v>
      </c>
      <c r="P71" s="920">
        <f t="shared" ref="P71" si="38">0.1*P57</f>
        <v>1E-3</v>
      </c>
      <c r="Q71" s="920">
        <f t="shared" si="37"/>
        <v>1E-3</v>
      </c>
      <c r="R71" s="1061">
        <f t="shared" si="37"/>
        <v>2.5000000000000005E-3</v>
      </c>
      <c r="S71" s="607" t="s">
        <v>775</v>
      </c>
      <c r="T71" s="467"/>
      <c r="U71" s="467"/>
      <c r="V71" s="467"/>
      <c r="W71" s="467"/>
      <c r="X71" s="467"/>
      <c r="Y71" s="467"/>
      <c r="Z71" s="467"/>
      <c r="AA71" s="467"/>
      <c r="AC71" s="364">
        <f>HLOOKUP(Start!$B$14,$C$2:$R$338,+AD71, FALSE)</f>
        <v>1E-3</v>
      </c>
      <c r="AD71" s="373">
        <f t="shared" ref="AD71:AD134" si="39">+AD70+1</f>
        <v>70</v>
      </c>
    </row>
    <row r="72" spans="1:30" s="569" customFormat="1" ht="25.5" customHeight="1" x14ac:dyDescent="0.25">
      <c r="A72" s="561" t="s">
        <v>936</v>
      </c>
      <c r="B72" s="1000"/>
      <c r="C72" s="559"/>
      <c r="D72" s="559"/>
      <c r="E72" s="559"/>
      <c r="F72" s="559"/>
      <c r="G72" s="559"/>
      <c r="H72" s="559"/>
      <c r="I72" s="559"/>
      <c r="J72" s="559"/>
      <c r="K72" s="559"/>
      <c r="L72" s="559"/>
      <c r="M72" s="559"/>
      <c r="N72" s="559"/>
      <c r="O72" s="559"/>
      <c r="P72" s="559"/>
      <c r="Q72" s="559"/>
      <c r="R72" s="560"/>
      <c r="S72" s="630"/>
      <c r="T72" s="579"/>
      <c r="U72" s="467"/>
      <c r="V72" s="467"/>
      <c r="W72" s="467"/>
      <c r="X72" s="467"/>
      <c r="Y72" s="467"/>
      <c r="Z72" s="467"/>
      <c r="AA72" s="467"/>
      <c r="AC72" s="364">
        <f>HLOOKUP(Start!$B$14,$C$2:$R$338,+AD72, FALSE)</f>
        <v>0</v>
      </c>
      <c r="AD72" s="373">
        <f t="shared" si="39"/>
        <v>71</v>
      </c>
    </row>
    <row r="73" spans="1:30" s="628" customFormat="1" ht="25.5" customHeight="1" x14ac:dyDescent="0.25">
      <c r="A73" s="567" t="s">
        <v>752</v>
      </c>
      <c r="B73" s="1005" t="s">
        <v>754</v>
      </c>
      <c r="C73" s="719">
        <v>3.0000000000000001E-3</v>
      </c>
      <c r="D73" s="720">
        <v>3.0000000000000001E-3</v>
      </c>
      <c r="E73" s="720">
        <v>3.0000000000000001E-3</v>
      </c>
      <c r="F73" s="720">
        <v>3.0000000000000001E-3</v>
      </c>
      <c r="G73" s="721">
        <v>0.3</v>
      </c>
      <c r="H73" s="721">
        <v>0.3</v>
      </c>
      <c r="I73" s="720">
        <v>3.0000000000000001E-3</v>
      </c>
      <c r="J73" s="720">
        <v>3.0000000000000001E-3</v>
      </c>
      <c r="K73" s="720">
        <v>3.0000000000000001E-3</v>
      </c>
      <c r="L73" s="720">
        <v>3.0000000000000001E-3</v>
      </c>
      <c r="M73" s="721">
        <v>0.3</v>
      </c>
      <c r="N73" s="721">
        <v>0.3</v>
      </c>
      <c r="O73" s="721">
        <v>0.3</v>
      </c>
      <c r="P73" s="721">
        <v>0.3</v>
      </c>
      <c r="Q73" s="721">
        <v>0.3</v>
      </c>
      <c r="R73" s="722">
        <v>0.3</v>
      </c>
      <c r="S73" s="630" t="s">
        <v>937</v>
      </c>
      <c r="T73" s="576"/>
      <c r="U73" s="627"/>
      <c r="V73" s="627"/>
      <c r="W73" s="627"/>
      <c r="X73" s="627"/>
      <c r="Y73" s="627"/>
      <c r="Z73" s="627"/>
      <c r="AA73" s="627"/>
      <c r="AC73" s="364">
        <f>HLOOKUP(Start!$B$14,$C$2:$R$338,+AD73, FALSE)</f>
        <v>3.0000000000000001E-3</v>
      </c>
      <c r="AD73" s="373">
        <f t="shared" si="39"/>
        <v>72</v>
      </c>
    </row>
    <row r="74" spans="1:30" s="569" customFormat="1" ht="25.5" customHeight="1" x14ac:dyDescent="0.25">
      <c r="A74" s="570" t="s">
        <v>766</v>
      </c>
      <c r="B74" s="1006" t="s">
        <v>774</v>
      </c>
      <c r="C74" s="929">
        <f t="shared" ref="C74:R74" si="40">+C73*C64</f>
        <v>2.0999999999999999E-3</v>
      </c>
      <c r="D74" s="930">
        <f t="shared" si="40"/>
        <v>1.7699999999999999E-3</v>
      </c>
      <c r="E74" s="930">
        <f t="shared" si="40"/>
        <v>1.9459459459459458E-3</v>
      </c>
      <c r="F74" s="930">
        <f t="shared" si="40"/>
        <v>1.8816E-3</v>
      </c>
      <c r="G74" s="930">
        <f t="shared" si="40"/>
        <v>0.21</v>
      </c>
      <c r="H74" s="930">
        <f t="shared" si="40"/>
        <v>0.18</v>
      </c>
      <c r="I74" s="930">
        <f t="shared" si="40"/>
        <v>1.8E-3</v>
      </c>
      <c r="J74" s="930">
        <f t="shared" si="40"/>
        <v>1.8E-3</v>
      </c>
      <c r="K74" s="1052">
        <f t="shared" si="40"/>
        <v>1.9459459459459458E-3</v>
      </c>
      <c r="L74" s="930">
        <f t="shared" si="40"/>
        <v>1.8072000000000001E-3</v>
      </c>
      <c r="M74" s="930">
        <f t="shared" si="40"/>
        <v>0.18</v>
      </c>
      <c r="N74" s="1054">
        <f t="shared" si="40"/>
        <v>0.11886595087436733</v>
      </c>
      <c r="O74" s="930">
        <f t="shared" si="40"/>
        <v>0.21</v>
      </c>
      <c r="P74" s="930">
        <f t="shared" ref="P74" si="41">+P73*P64</f>
        <v>0.21</v>
      </c>
      <c r="Q74" s="1054">
        <f t="shared" si="40"/>
        <v>9.3103448275862088E-2</v>
      </c>
      <c r="R74" s="931">
        <f t="shared" si="40"/>
        <v>0.10992</v>
      </c>
      <c r="S74" s="590" t="s">
        <v>769</v>
      </c>
      <c r="T74" s="467"/>
      <c r="U74" s="467"/>
      <c r="V74" s="467"/>
      <c r="W74" s="467"/>
      <c r="X74" s="467"/>
      <c r="Y74" s="467"/>
      <c r="Z74" s="467"/>
      <c r="AA74" s="467"/>
      <c r="AC74" s="364">
        <f>HLOOKUP(Start!$B$14,$C$2:$R$338,+AD74, FALSE)</f>
        <v>2.0999999999999999E-3</v>
      </c>
      <c r="AD74" s="373">
        <f t="shared" si="39"/>
        <v>73</v>
      </c>
    </row>
    <row r="75" spans="1:30" s="569" customFormat="1" ht="25.5" customHeight="1" x14ac:dyDescent="0.25">
      <c r="A75" s="570" t="s">
        <v>767</v>
      </c>
      <c r="B75" s="1007" t="s">
        <v>763</v>
      </c>
      <c r="C75" s="929">
        <f t="shared" ref="C75:R75" si="42">+C73*C65</f>
        <v>2.2500000000000003E-3</v>
      </c>
      <c r="D75" s="930">
        <f t="shared" si="42"/>
        <v>2.2500000000000003E-3</v>
      </c>
      <c r="E75" s="930">
        <f t="shared" si="42"/>
        <v>1.9459459459459458E-3</v>
      </c>
      <c r="F75" s="930">
        <f t="shared" si="42"/>
        <v>2.2500000000000003E-3</v>
      </c>
      <c r="G75" s="930">
        <f t="shared" si="42"/>
        <v>7.4999999999999997E-2</v>
      </c>
      <c r="H75" s="930">
        <f t="shared" si="42"/>
        <v>0.06</v>
      </c>
      <c r="I75" s="930">
        <f t="shared" si="42"/>
        <v>1.8E-3</v>
      </c>
      <c r="J75" s="930">
        <f t="shared" si="42"/>
        <v>1.8E-3</v>
      </c>
      <c r="K75" s="930">
        <f t="shared" si="42"/>
        <v>1.6999999999999999E-3</v>
      </c>
      <c r="L75" s="930">
        <f t="shared" si="42"/>
        <v>1.8E-3</v>
      </c>
      <c r="M75" s="930">
        <f t="shared" si="42"/>
        <v>0.06</v>
      </c>
      <c r="N75" s="930">
        <f t="shared" si="42"/>
        <v>7.4999999999999997E-2</v>
      </c>
      <c r="O75" s="930">
        <f t="shared" si="42"/>
        <v>0.09</v>
      </c>
      <c r="P75" s="930">
        <f t="shared" ref="P75" si="43">+P73*P65</f>
        <v>0.09</v>
      </c>
      <c r="Q75" s="1054">
        <f t="shared" si="42"/>
        <v>9.3103448275862088E-2</v>
      </c>
      <c r="R75" s="931">
        <f t="shared" si="42"/>
        <v>0.09</v>
      </c>
      <c r="S75" s="590" t="s">
        <v>769</v>
      </c>
      <c r="T75" s="467"/>
      <c r="U75" s="467"/>
      <c r="V75" s="467"/>
      <c r="W75" s="467"/>
      <c r="X75" s="467"/>
      <c r="Y75" s="467"/>
      <c r="Z75" s="467"/>
      <c r="AA75" s="467"/>
      <c r="AC75" s="364">
        <f>HLOOKUP(Start!$B$14,$C$2:$R$338,+AD75, FALSE)</f>
        <v>2.2500000000000003E-3</v>
      </c>
      <c r="AD75" s="373">
        <f t="shared" si="39"/>
        <v>74</v>
      </c>
    </row>
    <row r="76" spans="1:30" s="569" customFormat="1" ht="25.5" x14ac:dyDescent="0.25">
      <c r="A76" s="570" t="s">
        <v>768</v>
      </c>
      <c r="B76" s="1005" t="s">
        <v>764</v>
      </c>
      <c r="C76" s="631" t="s">
        <v>770</v>
      </c>
      <c r="D76" s="632" t="s">
        <v>770</v>
      </c>
      <c r="E76" s="632" t="s">
        <v>770</v>
      </c>
      <c r="F76" s="632" t="s">
        <v>770</v>
      </c>
      <c r="G76" s="632" t="s">
        <v>770</v>
      </c>
      <c r="H76" s="632" t="s">
        <v>770</v>
      </c>
      <c r="I76" s="632" t="s">
        <v>770</v>
      </c>
      <c r="J76" s="632" t="s">
        <v>770</v>
      </c>
      <c r="K76" s="632" t="s">
        <v>770</v>
      </c>
      <c r="L76" s="632" t="s">
        <v>770</v>
      </c>
      <c r="M76" s="632" t="s">
        <v>770</v>
      </c>
      <c r="N76" s="632" t="s">
        <v>770</v>
      </c>
      <c r="O76" s="632" t="s">
        <v>770</v>
      </c>
      <c r="P76" s="632" t="s">
        <v>770</v>
      </c>
      <c r="Q76" s="632" t="s">
        <v>770</v>
      </c>
      <c r="R76" s="633" t="s">
        <v>770</v>
      </c>
      <c r="S76" s="590" t="s">
        <v>765</v>
      </c>
      <c r="T76" s="467"/>
      <c r="U76" s="467"/>
      <c r="V76" s="467"/>
      <c r="W76" s="467"/>
      <c r="X76" s="467"/>
      <c r="Y76" s="467"/>
      <c r="Z76" s="467"/>
      <c r="AA76" s="467"/>
      <c r="AC76" s="364" t="str">
        <f>HLOOKUP(Start!$B$14,$C$2:$R$338,+AD76, FALSE)</f>
        <v>Not relevant</v>
      </c>
      <c r="AD76" s="373">
        <f t="shared" si="39"/>
        <v>75</v>
      </c>
    </row>
    <row r="77" spans="1:30" s="569" customFormat="1" ht="18.75" x14ac:dyDescent="0.25">
      <c r="A77" s="561" t="s">
        <v>747</v>
      </c>
      <c r="B77" s="1000"/>
      <c r="C77" s="559"/>
      <c r="D77" s="559"/>
      <c r="E77" s="559"/>
      <c r="F77" s="559"/>
      <c r="G77" s="559"/>
      <c r="H77" s="559"/>
      <c r="I77" s="559"/>
      <c r="J77" s="559"/>
      <c r="K77" s="559"/>
      <c r="L77" s="559"/>
      <c r="M77" s="559"/>
      <c r="N77" s="559"/>
      <c r="O77" s="559"/>
      <c r="P77" s="559"/>
      <c r="Q77" s="559"/>
      <c r="R77" s="560"/>
      <c r="S77" s="586"/>
      <c r="T77" s="467"/>
      <c r="U77" s="467"/>
      <c r="V77" s="467"/>
      <c r="W77" s="467"/>
      <c r="X77" s="467"/>
      <c r="Y77" s="467"/>
      <c r="Z77" s="467"/>
      <c r="AA77" s="467"/>
      <c r="AC77" s="364">
        <f>HLOOKUP(Start!$B$14,$C$2:$R$338,+AD77, FALSE)</f>
        <v>0</v>
      </c>
      <c r="AD77" s="373">
        <f t="shared" si="39"/>
        <v>76</v>
      </c>
    </row>
    <row r="78" spans="1:30" s="569" customFormat="1" ht="25.5" customHeight="1" x14ac:dyDescent="0.25">
      <c r="A78" s="950" t="s">
        <v>923</v>
      </c>
      <c r="B78" s="1008"/>
      <c r="C78" s="706">
        <v>0.45</v>
      </c>
      <c r="D78" s="1055">
        <v>0.5</v>
      </c>
      <c r="E78" s="953">
        <v>0.14810000000000001</v>
      </c>
      <c r="F78" s="953">
        <v>0.36866520991825869</v>
      </c>
      <c r="G78" s="707">
        <v>0.26</v>
      </c>
      <c r="H78" s="707">
        <v>0.45</v>
      </c>
      <c r="I78" s="707">
        <v>0.45</v>
      </c>
      <c r="J78" s="1055">
        <v>0.5</v>
      </c>
      <c r="K78" s="707">
        <v>7.85E-2</v>
      </c>
      <c r="L78" s="953">
        <v>0.11906971292272893</v>
      </c>
      <c r="M78" s="707">
        <v>0.26</v>
      </c>
      <c r="N78" s="953">
        <v>0.18955789160156455</v>
      </c>
      <c r="O78" s="707">
        <v>0.4</v>
      </c>
      <c r="P78" s="707">
        <v>0.4</v>
      </c>
      <c r="Q78" s="707">
        <v>0.15939999999999999</v>
      </c>
      <c r="R78" s="1063">
        <v>0.21683540267981222</v>
      </c>
      <c r="S78" s="593" t="s">
        <v>892</v>
      </c>
      <c r="T78" s="467"/>
      <c r="U78" s="467"/>
      <c r="V78" s="467"/>
      <c r="W78" s="467"/>
      <c r="X78" s="467"/>
      <c r="Y78" s="467"/>
      <c r="Z78" s="467"/>
      <c r="AA78" s="467"/>
      <c r="AC78" s="364">
        <f>HLOOKUP(Start!$B$14,$C$2:$R$338,+AD78, FALSE)</f>
        <v>0.45</v>
      </c>
      <c r="AD78" s="373">
        <f t="shared" si="39"/>
        <v>77</v>
      </c>
    </row>
    <row r="79" spans="1:30" s="569" customFormat="1" ht="18.75" x14ac:dyDescent="0.25">
      <c r="A79" s="561" t="s">
        <v>820</v>
      </c>
      <c r="B79" s="1000"/>
      <c r="C79" s="559"/>
      <c r="D79" s="559"/>
      <c r="E79" s="559"/>
      <c r="F79" s="559"/>
      <c r="G79" s="559"/>
      <c r="H79" s="559"/>
      <c r="I79" s="559"/>
      <c r="J79" s="559"/>
      <c r="K79" s="559"/>
      <c r="L79" s="559"/>
      <c r="M79" s="559"/>
      <c r="N79" s="559"/>
      <c r="O79" s="559"/>
      <c r="P79" s="559"/>
      <c r="Q79" s="559"/>
      <c r="R79" s="560"/>
      <c r="S79" s="586"/>
      <c r="T79" s="467"/>
      <c r="U79" s="467"/>
      <c r="V79" s="467"/>
      <c r="W79" s="467"/>
      <c r="X79" s="467"/>
      <c r="Y79" s="467"/>
      <c r="Z79" s="467"/>
      <c r="AA79" s="467"/>
      <c r="AC79" s="364">
        <f>HLOOKUP(Start!$B$14,$C$2:$R$338,+AD79, FALSE)</f>
        <v>0</v>
      </c>
      <c r="AD79" s="373">
        <f t="shared" si="39"/>
        <v>78</v>
      </c>
    </row>
    <row r="80" spans="1:30" s="569" customFormat="1" ht="25.5" customHeight="1" x14ac:dyDescent="0.25">
      <c r="A80" s="951" t="s">
        <v>956</v>
      </c>
      <c r="B80" s="1008"/>
      <c r="C80" s="706">
        <v>2.7E-2</v>
      </c>
      <c r="D80" s="707">
        <v>1.2800000000000001E-2</v>
      </c>
      <c r="E80" s="707">
        <v>1.4999999999999999E-2</v>
      </c>
      <c r="F80" s="707">
        <v>2.5000000000000001E-2</v>
      </c>
      <c r="G80" s="953">
        <v>0.11386570700381862</v>
      </c>
      <c r="H80" s="707">
        <v>2.7E-2</v>
      </c>
      <c r="I80" s="707">
        <v>2.7E-2</v>
      </c>
      <c r="J80" s="707">
        <v>1.2800000000000001E-2</v>
      </c>
      <c r="K80" s="707">
        <v>2.4E-2</v>
      </c>
      <c r="L80" s="953">
        <v>0.49837257844268967</v>
      </c>
      <c r="M80" s="953">
        <v>0.11386570700381862</v>
      </c>
      <c r="N80" s="953">
        <v>2.0267870847995594E-2</v>
      </c>
      <c r="O80" s="707">
        <v>2.7E-2</v>
      </c>
      <c r="P80" s="707">
        <v>2.7E-2</v>
      </c>
      <c r="Q80" s="707">
        <v>1.5000000000000001E-2</v>
      </c>
      <c r="R80" s="1063">
        <v>1.9098358103913794E-2</v>
      </c>
      <c r="S80" s="593" t="s">
        <v>891</v>
      </c>
      <c r="T80" s="467"/>
      <c r="U80" s="467"/>
      <c r="V80" s="467"/>
      <c r="W80" s="467"/>
      <c r="X80" s="467"/>
      <c r="Y80" s="467"/>
      <c r="Z80" s="467"/>
      <c r="AA80" s="467"/>
      <c r="AC80" s="364">
        <f>HLOOKUP(Start!$B$14,$C$2:$R$338,+AD80, FALSE)</f>
        <v>2.7E-2</v>
      </c>
      <c r="AD80" s="373">
        <f t="shared" si="39"/>
        <v>79</v>
      </c>
    </row>
    <row r="81" spans="1:30" s="569" customFormat="1" ht="18.75" x14ac:dyDescent="0.25">
      <c r="A81" s="561" t="s">
        <v>746</v>
      </c>
      <c r="B81" s="1000"/>
      <c r="C81" s="559"/>
      <c r="D81" s="559"/>
      <c r="E81" s="559"/>
      <c r="F81" s="559"/>
      <c r="G81" s="559"/>
      <c r="H81" s="559"/>
      <c r="I81" s="559"/>
      <c r="J81" s="559"/>
      <c r="K81" s="559"/>
      <c r="L81" s="559"/>
      <c r="M81" s="559"/>
      <c r="N81" s="559"/>
      <c r="O81" s="559"/>
      <c r="P81" s="559"/>
      <c r="Q81" s="559"/>
      <c r="R81" s="560"/>
      <c r="S81" s="586"/>
      <c r="T81" s="467"/>
      <c r="U81" s="467"/>
      <c r="V81" s="467"/>
      <c r="W81" s="467"/>
      <c r="X81" s="467"/>
      <c r="Y81" s="467"/>
      <c r="Z81" s="467"/>
      <c r="AA81" s="467"/>
      <c r="AC81" s="364">
        <f>HLOOKUP(Start!$B$14,$C$2:$R$338,+AD81, FALSE)</f>
        <v>0</v>
      </c>
      <c r="AD81" s="373">
        <f t="shared" si="39"/>
        <v>80</v>
      </c>
    </row>
    <row r="82" spans="1:30" s="569" customFormat="1" ht="27" customHeight="1" x14ac:dyDescent="0.25">
      <c r="A82" s="626" t="s">
        <v>776</v>
      </c>
      <c r="B82" s="1009"/>
      <c r="C82" s="706">
        <v>0.01</v>
      </c>
      <c r="D82" s="707">
        <v>0.01</v>
      </c>
      <c r="E82" s="707">
        <v>0.01</v>
      </c>
      <c r="F82" s="707">
        <v>0.01</v>
      </c>
      <c r="G82" s="707">
        <v>0.01</v>
      </c>
      <c r="H82" s="707">
        <v>0.01</v>
      </c>
      <c r="I82" s="707">
        <v>0.01</v>
      </c>
      <c r="J82" s="707">
        <v>0.01</v>
      </c>
      <c r="K82" s="707">
        <v>0.01</v>
      </c>
      <c r="L82" s="707">
        <v>0.01</v>
      </c>
      <c r="M82" s="707">
        <v>0.01</v>
      </c>
      <c r="N82" s="707">
        <v>0.01</v>
      </c>
      <c r="O82" s="707">
        <v>0.01</v>
      </c>
      <c r="P82" s="707">
        <v>0.01</v>
      </c>
      <c r="Q82" s="707">
        <v>0.01</v>
      </c>
      <c r="R82" s="708">
        <v>0.01</v>
      </c>
      <c r="S82" s="607" t="s">
        <v>778</v>
      </c>
      <c r="T82" s="467"/>
      <c r="U82" s="467"/>
      <c r="V82" s="467"/>
      <c r="W82" s="467"/>
      <c r="X82" s="467"/>
      <c r="Y82" s="467"/>
      <c r="Z82" s="467"/>
      <c r="AA82" s="467"/>
      <c r="AC82" s="364">
        <f>HLOOKUP(Start!$B$14,$C$2:$R$338,+AD82, FALSE)</f>
        <v>0.01</v>
      </c>
      <c r="AD82" s="373">
        <f t="shared" si="39"/>
        <v>81</v>
      </c>
    </row>
    <row r="83" spans="1:30" s="569" customFormat="1" ht="27" customHeight="1" x14ac:dyDescent="0.25">
      <c r="A83" s="626" t="s">
        <v>777</v>
      </c>
      <c r="B83" s="1002" t="s">
        <v>694</v>
      </c>
      <c r="C83" s="709">
        <v>7.4999999999999997E-3</v>
      </c>
      <c r="D83" s="710">
        <v>7.4999999999999997E-3</v>
      </c>
      <c r="E83" s="710">
        <v>7.4999999999999997E-3</v>
      </c>
      <c r="F83" s="710">
        <v>7.4999999999999997E-3</v>
      </c>
      <c r="G83" s="710">
        <v>7.4999999999999997E-3</v>
      </c>
      <c r="H83" s="710">
        <v>7.4999999999999997E-3</v>
      </c>
      <c r="I83" s="710">
        <v>7.4999999999999997E-3</v>
      </c>
      <c r="J83" s="710">
        <v>7.4999999999999997E-3</v>
      </c>
      <c r="K83" s="710">
        <v>7.4999999999999997E-3</v>
      </c>
      <c r="L83" s="710">
        <v>7.4999999999999997E-3</v>
      </c>
      <c r="M83" s="710">
        <v>7.4999999999999997E-3</v>
      </c>
      <c r="N83" s="710">
        <v>7.4999999999999997E-3</v>
      </c>
      <c r="O83" s="710">
        <v>7.4999999999999997E-3</v>
      </c>
      <c r="P83" s="710">
        <v>7.4999999999999997E-3</v>
      </c>
      <c r="Q83" s="710">
        <v>7.4999999999999997E-3</v>
      </c>
      <c r="R83" s="711">
        <v>7.4999999999999997E-3</v>
      </c>
      <c r="S83" s="607" t="s">
        <v>779</v>
      </c>
      <c r="T83" s="467"/>
      <c r="U83" s="467"/>
      <c r="V83" s="467"/>
      <c r="W83" s="467"/>
      <c r="X83" s="467"/>
      <c r="Y83" s="467"/>
      <c r="Z83" s="467"/>
      <c r="AA83" s="467"/>
      <c r="AC83" s="364">
        <f>HLOOKUP(Start!$B$14,$C$2:$R$338,+AD83, FALSE)</f>
        <v>7.4999999999999997E-3</v>
      </c>
      <c r="AD83" s="373">
        <f t="shared" si="39"/>
        <v>82</v>
      </c>
    </row>
    <row r="84" spans="1:30" s="569" customFormat="1" ht="18.75" x14ac:dyDescent="0.25">
      <c r="A84" s="561" t="s">
        <v>862</v>
      </c>
      <c r="B84" s="1000"/>
      <c r="C84" s="559"/>
      <c r="D84" s="559"/>
      <c r="E84" s="559"/>
      <c r="F84" s="559"/>
      <c r="G84" s="559"/>
      <c r="H84" s="559"/>
      <c r="I84" s="559"/>
      <c r="J84" s="559"/>
      <c r="K84" s="559"/>
      <c r="L84" s="559"/>
      <c r="M84" s="559"/>
      <c r="N84" s="559"/>
      <c r="O84" s="559"/>
      <c r="P84" s="559"/>
      <c r="Q84" s="559"/>
      <c r="R84" s="560"/>
      <c r="S84" s="586"/>
      <c r="T84" s="467"/>
      <c r="U84" s="467"/>
      <c r="V84" s="467"/>
      <c r="W84" s="467"/>
      <c r="X84" s="467"/>
      <c r="Y84" s="467"/>
      <c r="Z84" s="467"/>
      <c r="AA84" s="467"/>
      <c r="AC84" s="364">
        <f>HLOOKUP(Start!$B$14,$C$2:$R$338,+AD84, FALSE)</f>
        <v>0</v>
      </c>
      <c r="AD84" s="373">
        <f t="shared" si="39"/>
        <v>83</v>
      </c>
    </row>
    <row r="85" spans="1:30" s="569" customFormat="1" x14ac:dyDescent="0.25">
      <c r="A85" s="638" t="s">
        <v>946</v>
      </c>
      <c r="B85" s="1010"/>
      <c r="C85" s="932">
        <v>1.83</v>
      </c>
      <c r="D85" s="952">
        <v>1.83</v>
      </c>
      <c r="E85" s="952">
        <v>1.83</v>
      </c>
      <c r="F85" s="952">
        <v>2.1800000000000002</v>
      </c>
      <c r="G85" s="912"/>
      <c r="H85" s="912"/>
      <c r="I85" s="723">
        <v>2.13</v>
      </c>
      <c r="J85" s="723">
        <v>2.13</v>
      </c>
      <c r="K85" s="723">
        <v>2.13</v>
      </c>
      <c r="L85" s="723">
        <v>1.95</v>
      </c>
      <c r="M85" s="723"/>
      <c r="N85" s="723"/>
      <c r="O85" s="723"/>
      <c r="P85" s="723"/>
      <c r="Q85" s="723"/>
      <c r="R85" s="723"/>
      <c r="S85" s="590" t="s">
        <v>733</v>
      </c>
      <c r="T85" s="467"/>
      <c r="U85" s="467"/>
      <c r="V85" s="467"/>
      <c r="W85" s="467"/>
      <c r="X85" s="467"/>
      <c r="Y85" s="467"/>
      <c r="Z85" s="467"/>
      <c r="AA85" s="467"/>
      <c r="AC85" s="364">
        <f>HLOOKUP(Start!$B$14,$C$2:$R$338,+AD85, FALSE)</f>
        <v>1.83</v>
      </c>
      <c r="AD85" s="373">
        <f t="shared" si="39"/>
        <v>84</v>
      </c>
    </row>
    <row r="86" spans="1:30" s="569" customFormat="1" ht="33" customHeight="1" x14ac:dyDescent="0.25">
      <c r="A86" s="626" t="s">
        <v>947</v>
      </c>
      <c r="B86" s="1009"/>
      <c r="C86" s="724"/>
      <c r="D86" s="725"/>
      <c r="E86" s="725"/>
      <c r="F86" s="707"/>
      <c r="G86" s="707">
        <v>85.4</v>
      </c>
      <c r="H86" s="707">
        <v>100.98</v>
      </c>
      <c r="I86" s="912"/>
      <c r="J86" s="912"/>
      <c r="K86" s="912"/>
      <c r="L86" s="912"/>
      <c r="M86" s="952">
        <v>86.79</v>
      </c>
      <c r="N86" s="952">
        <v>81.16</v>
      </c>
      <c r="O86" s="952">
        <v>63</v>
      </c>
      <c r="P86" s="952">
        <v>63</v>
      </c>
      <c r="Q86" s="952">
        <v>66.7</v>
      </c>
      <c r="R86" s="1064">
        <v>66.7</v>
      </c>
      <c r="S86" s="590" t="s">
        <v>733</v>
      </c>
      <c r="T86" s="467"/>
      <c r="U86" s="467"/>
      <c r="V86" s="467"/>
      <c r="W86" s="467"/>
      <c r="X86" s="467"/>
      <c r="Y86" s="467"/>
      <c r="Z86" s="467"/>
      <c r="AA86" s="467"/>
      <c r="AC86" s="364">
        <f>HLOOKUP(Start!$B$14,$C$2:$R$338,+AD86, FALSE)</f>
        <v>0</v>
      </c>
      <c r="AD86" s="373">
        <f t="shared" si="39"/>
        <v>85</v>
      </c>
    </row>
    <row r="87" spans="1:30" s="569" customFormat="1" ht="25.5" x14ac:dyDescent="0.25">
      <c r="A87" s="626" t="s">
        <v>948</v>
      </c>
      <c r="B87" s="1009"/>
      <c r="C87" s="724"/>
      <c r="D87" s="725"/>
      <c r="E87" s="725"/>
      <c r="F87" s="707"/>
      <c r="G87" s="707">
        <v>54.36</v>
      </c>
      <c r="H87" s="707">
        <v>100.98</v>
      </c>
      <c r="I87" s="912"/>
      <c r="J87" s="912"/>
      <c r="K87" s="912"/>
      <c r="L87" s="912"/>
      <c r="M87" s="952">
        <v>69.260000000000005</v>
      </c>
      <c r="N87" s="952">
        <v>81.16</v>
      </c>
      <c r="O87" s="952">
        <v>63</v>
      </c>
      <c r="P87" s="952">
        <v>63</v>
      </c>
      <c r="Q87" s="952">
        <v>66.7</v>
      </c>
      <c r="R87" s="1064">
        <v>66.7</v>
      </c>
      <c r="S87" s="590" t="s">
        <v>733</v>
      </c>
      <c r="T87" s="467"/>
      <c r="U87" s="467"/>
      <c r="V87" s="467"/>
      <c r="W87" s="467"/>
      <c r="X87" s="467"/>
      <c r="Y87" s="467"/>
      <c r="Z87" s="467"/>
      <c r="AA87" s="467"/>
      <c r="AC87" s="364">
        <f>HLOOKUP(Start!$B$14,$C$2:$R$338,+AD87, FALSE)</f>
        <v>0</v>
      </c>
      <c r="AD87" s="373">
        <f t="shared" si="39"/>
        <v>86</v>
      </c>
    </row>
    <row r="88" spans="1:30" s="569" customFormat="1" x14ac:dyDescent="0.25">
      <c r="A88" s="576"/>
      <c r="B88" s="999"/>
      <c r="C88" s="578"/>
      <c r="D88" s="578"/>
      <c r="E88" s="578"/>
      <c r="F88" s="578"/>
      <c r="G88" s="578"/>
      <c r="H88" s="578"/>
      <c r="I88" s="578"/>
      <c r="J88" s="578"/>
      <c r="K88" s="578"/>
      <c r="L88" s="578"/>
      <c r="M88" s="578"/>
      <c r="N88" s="578"/>
      <c r="O88" s="578"/>
      <c r="P88" s="578"/>
      <c r="Q88" s="578"/>
      <c r="R88" s="578"/>
      <c r="S88" s="586"/>
      <c r="T88" s="467"/>
      <c r="U88" s="467"/>
      <c r="V88" s="467"/>
      <c r="W88" s="467"/>
      <c r="X88" s="467"/>
      <c r="Y88" s="467"/>
      <c r="Z88" s="467"/>
      <c r="AA88" s="467"/>
      <c r="AC88" s="364">
        <f>HLOOKUP(Start!$B$14,$C$2:$R$338,+AD88, FALSE)</f>
        <v>0</v>
      </c>
      <c r="AD88" s="373">
        <f t="shared" si="39"/>
        <v>87</v>
      </c>
    </row>
    <row r="89" spans="1:30" customFormat="1" ht="18.75" x14ac:dyDescent="0.25">
      <c r="A89" s="573" t="s">
        <v>727</v>
      </c>
      <c r="B89" s="1000"/>
      <c r="C89" s="559"/>
      <c r="D89" s="559"/>
      <c r="E89" s="559"/>
      <c r="F89" s="559"/>
      <c r="G89" s="559"/>
      <c r="H89" s="559"/>
      <c r="I89" s="559"/>
      <c r="J89" s="559"/>
      <c r="K89" s="559"/>
      <c r="L89" s="559"/>
      <c r="M89" s="559"/>
      <c r="N89" s="559"/>
      <c r="O89" s="559"/>
      <c r="P89" s="559"/>
      <c r="Q89" s="559"/>
      <c r="R89" s="560"/>
      <c r="S89" s="586"/>
      <c r="T89" s="467"/>
      <c r="U89" s="467"/>
      <c r="V89" s="467"/>
      <c r="W89" s="467"/>
      <c r="X89" s="467"/>
      <c r="Y89" s="467"/>
      <c r="Z89" s="467"/>
      <c r="AA89" s="467"/>
      <c r="AC89" s="364">
        <f>HLOOKUP(Start!$B$14,$C$2:$R$338,+AD89, FALSE)</f>
        <v>0</v>
      </c>
      <c r="AD89" s="373">
        <f t="shared" si="39"/>
        <v>88</v>
      </c>
    </row>
    <row r="90" spans="1:30" customFormat="1" ht="38.25" x14ac:dyDescent="0.25">
      <c r="A90" s="580" t="s">
        <v>679</v>
      </c>
      <c r="B90" s="875"/>
      <c r="C90" s="562" t="s">
        <v>680</v>
      </c>
      <c r="D90" s="562" t="s">
        <v>680</v>
      </c>
      <c r="E90" s="562" t="s">
        <v>680</v>
      </c>
      <c r="F90" s="562" t="s">
        <v>680</v>
      </c>
      <c r="G90" s="562" t="s">
        <v>680</v>
      </c>
      <c r="H90" s="562" t="s">
        <v>680</v>
      </c>
      <c r="I90" s="562" t="s">
        <v>680</v>
      </c>
      <c r="J90" s="562" t="s">
        <v>680</v>
      </c>
      <c r="K90" s="562" t="s">
        <v>680</v>
      </c>
      <c r="L90" s="562" t="s">
        <v>680</v>
      </c>
      <c r="M90" s="562" t="s">
        <v>680</v>
      </c>
      <c r="N90" s="562" t="s">
        <v>680</v>
      </c>
      <c r="O90" s="562" t="s">
        <v>680</v>
      </c>
      <c r="P90" s="562" t="s">
        <v>680</v>
      </c>
      <c r="Q90" s="562" t="s">
        <v>680</v>
      </c>
      <c r="R90" s="562" t="s">
        <v>680</v>
      </c>
      <c r="S90" s="586"/>
      <c r="T90" s="467"/>
      <c r="U90" s="467"/>
      <c r="V90" s="467"/>
      <c r="W90" s="467"/>
      <c r="X90" s="467"/>
      <c r="Y90" s="467"/>
      <c r="Z90" s="467"/>
      <c r="AA90" s="467"/>
      <c r="AC90" s="364" t="str">
        <f>HLOOKUP(Start!$B$14,$C$2:$R$338,+AD90, FALSE)</f>
        <v>1 t of manure 
ex-animal</v>
      </c>
      <c r="AD90" s="373">
        <f t="shared" si="39"/>
        <v>89</v>
      </c>
    </row>
    <row r="91" spans="1:30" customFormat="1" x14ac:dyDescent="0.25">
      <c r="A91" s="581" t="s">
        <v>681</v>
      </c>
      <c r="B91" s="1008"/>
      <c r="C91" s="597">
        <f t="shared" ref="C91:R91" si="44">+C12</f>
        <v>6</v>
      </c>
      <c r="D91" s="597">
        <f t="shared" si="44"/>
        <v>7</v>
      </c>
      <c r="E91" s="597">
        <f t="shared" si="44"/>
        <v>5.36</v>
      </c>
      <c r="F91" s="597">
        <f t="shared" si="44"/>
        <v>6.9612730061349701</v>
      </c>
      <c r="G91" s="597">
        <f t="shared" si="44"/>
        <v>5.9735395053383877</v>
      </c>
      <c r="H91" s="597">
        <f t="shared" si="44"/>
        <v>8.6170212765957448</v>
      </c>
      <c r="I91" s="597">
        <f t="shared" si="44"/>
        <v>6.3981900452488683</v>
      </c>
      <c r="J91" s="597">
        <f t="shared" si="44"/>
        <v>5.9</v>
      </c>
      <c r="K91" s="597">
        <f t="shared" si="44"/>
        <v>6.25</v>
      </c>
      <c r="L91" s="597">
        <f t="shared" si="44"/>
        <v>7.1100158289204298</v>
      </c>
      <c r="M91" s="597">
        <f t="shared" si="44"/>
        <v>8.9358133722382611</v>
      </c>
      <c r="N91" s="597">
        <f t="shared" si="44"/>
        <v>5.8438734705227997</v>
      </c>
      <c r="O91" s="597">
        <f t="shared" si="44"/>
        <v>15.513392857142856</v>
      </c>
      <c r="P91" s="597">
        <f t="shared" ref="P91" si="45">+P12</f>
        <v>15.513392857142856</v>
      </c>
      <c r="Q91" s="597">
        <f t="shared" si="44"/>
        <v>20.32</v>
      </c>
      <c r="R91" s="598">
        <f t="shared" si="44"/>
        <v>40.6</v>
      </c>
      <c r="S91" s="586"/>
      <c r="T91" s="467"/>
      <c r="U91" s="467"/>
      <c r="V91" s="467"/>
      <c r="W91" s="467"/>
      <c r="X91" s="467"/>
      <c r="Y91" s="467"/>
      <c r="Z91" s="467"/>
      <c r="AA91" s="467"/>
      <c r="AC91" s="364">
        <f>HLOOKUP(Start!$B$14,$C$2:$R$338,+AD91, FALSE)</f>
        <v>6</v>
      </c>
      <c r="AD91" s="373">
        <f t="shared" si="39"/>
        <v>90</v>
      </c>
    </row>
    <row r="92" spans="1:30" customFormat="1" x14ac:dyDescent="0.25">
      <c r="A92" s="580" t="s">
        <v>682</v>
      </c>
      <c r="B92" s="875"/>
      <c r="C92" s="602">
        <f t="shared" ref="C92:R92" si="46">-C48*C91</f>
        <v>-0.71399999999999997</v>
      </c>
      <c r="D92" s="604">
        <f t="shared" si="46"/>
        <v>-0.74941176470588233</v>
      </c>
      <c r="E92" s="604">
        <f t="shared" si="46"/>
        <v>-0.4824</v>
      </c>
      <c r="F92" s="604">
        <f t="shared" si="46"/>
        <v>-0.97457822085889589</v>
      </c>
      <c r="G92" s="604">
        <f t="shared" si="46"/>
        <v>-0.89603092580075816</v>
      </c>
      <c r="H92" s="604">
        <f t="shared" si="46"/>
        <v>-0.51702127659574471</v>
      </c>
      <c r="I92" s="604">
        <f t="shared" si="46"/>
        <v>-0.61422624434389139</v>
      </c>
      <c r="J92" s="604">
        <f t="shared" si="46"/>
        <v>-0.36441176470588238</v>
      </c>
      <c r="K92" s="604">
        <f t="shared" si="46"/>
        <v>-0.43750000000000006</v>
      </c>
      <c r="L92" s="604">
        <f t="shared" si="46"/>
        <v>-0.28440063315681724</v>
      </c>
      <c r="M92" s="604">
        <f t="shared" si="46"/>
        <v>-1.3403720058357391</v>
      </c>
      <c r="N92" s="604">
        <f t="shared" si="46"/>
        <v>-0.23375493882091203</v>
      </c>
      <c r="O92" s="604">
        <f t="shared" si="46"/>
        <v>-4.8091517857142856</v>
      </c>
      <c r="P92" s="604">
        <f t="shared" ref="P92" si="47">-P48*P91</f>
        <v>-2.6372767857142856</v>
      </c>
      <c r="Q92" s="604">
        <f t="shared" si="46"/>
        <v>-3.3800000000000003</v>
      </c>
      <c r="R92" s="604">
        <f t="shared" si="46"/>
        <v>-4.0600000000000005</v>
      </c>
      <c r="S92" s="634"/>
      <c r="T92" s="467"/>
      <c r="U92" s="467"/>
      <c r="V92" s="467"/>
      <c r="W92" s="467"/>
      <c r="X92" s="467"/>
      <c r="Y92" s="467"/>
      <c r="Z92" s="467"/>
      <c r="AA92" s="467"/>
      <c r="AC92" s="364">
        <f>HLOOKUP(Start!$B$14,$C$2:$R$338,+AD92, FALSE)</f>
        <v>-0.71399999999999997</v>
      </c>
      <c r="AD92" s="373">
        <f t="shared" si="39"/>
        <v>91</v>
      </c>
    </row>
    <row r="93" spans="1:30" customFormat="1" x14ac:dyDescent="0.25">
      <c r="A93" s="599" t="s">
        <v>683</v>
      </c>
      <c r="B93" s="875"/>
      <c r="C93" s="564">
        <f t="shared" ref="C93:R93" si="48">-C54*C91</f>
        <v>-9.0000000000000011E-3</v>
      </c>
      <c r="D93" s="564">
        <f t="shared" si="48"/>
        <v>-1.0500000000000001E-2</v>
      </c>
      <c r="E93" s="564">
        <f t="shared" si="48"/>
        <v>-8.0400000000000003E-3</v>
      </c>
      <c r="F93" s="564">
        <f t="shared" si="48"/>
        <v>-1.0441909509202455E-2</v>
      </c>
      <c r="G93" s="564">
        <f t="shared" si="48"/>
        <v>-2.9867697526691941E-4</v>
      </c>
      <c r="H93" s="564">
        <f t="shared" si="48"/>
        <v>-4.3085106382978723E-2</v>
      </c>
      <c r="I93" s="564">
        <f t="shared" si="48"/>
        <v>-9.597285067873303E-3</v>
      </c>
      <c r="J93" s="564">
        <f t="shared" si="48"/>
        <v>-8.8500000000000002E-3</v>
      </c>
      <c r="K93" s="564">
        <f t="shared" si="48"/>
        <v>-9.3749999999999997E-3</v>
      </c>
      <c r="L93" s="564">
        <f t="shared" si="48"/>
        <v>-1.0665023743380644E-2</v>
      </c>
      <c r="M93" s="564">
        <f t="shared" si="48"/>
        <v>-2.6807440116714785E-2</v>
      </c>
      <c r="N93" s="564">
        <f t="shared" si="48"/>
        <v>-2.9219367352614E-2</v>
      </c>
      <c r="O93" s="564">
        <f t="shared" si="48"/>
        <v>-7.7566964285714279E-3</v>
      </c>
      <c r="P93" s="564">
        <f t="shared" ref="P93" si="49">-P54*P91</f>
        <v>-7.7566964285714279E-3</v>
      </c>
      <c r="Q93" s="564">
        <f t="shared" si="48"/>
        <v>-1.0160000000000001E-2</v>
      </c>
      <c r="R93" s="564">
        <f t="shared" si="48"/>
        <v>-2.0300000000000002E-2</v>
      </c>
      <c r="S93" s="634"/>
      <c r="T93" s="467"/>
      <c r="U93" s="467"/>
      <c r="V93" s="467"/>
      <c r="W93" s="467"/>
      <c r="X93" s="467"/>
      <c r="Y93" s="467"/>
      <c r="Z93" s="467"/>
      <c r="AA93" s="467"/>
      <c r="AC93" s="364">
        <f>HLOOKUP(Start!$B$14,$C$2:$R$338,+AD93, FALSE)</f>
        <v>-9.0000000000000011E-3</v>
      </c>
      <c r="AD93" s="373">
        <f t="shared" si="39"/>
        <v>92</v>
      </c>
    </row>
    <row r="94" spans="1:30" s="339" customFormat="1" ht="15" customHeight="1" x14ac:dyDescent="0.25">
      <c r="A94" s="599" t="s">
        <v>715</v>
      </c>
      <c r="B94" s="875"/>
      <c r="C94" s="602">
        <f t="shared" ref="C94:R94" si="50">-C74*C91</f>
        <v>-1.26E-2</v>
      </c>
      <c r="D94" s="564">
        <f t="shared" si="50"/>
        <v>-1.2389999999999998E-2</v>
      </c>
      <c r="E94" s="564">
        <f t="shared" si="50"/>
        <v>-1.043027027027027E-2</v>
      </c>
      <c r="F94" s="564">
        <f t="shared" si="50"/>
        <v>-1.309833128834356E-2</v>
      </c>
      <c r="G94" s="564">
        <f t="shared" si="50"/>
        <v>-1.2544432961210614</v>
      </c>
      <c r="H94" s="564">
        <f t="shared" si="50"/>
        <v>-1.5510638297872341</v>
      </c>
      <c r="I94" s="604">
        <f t="shared" si="50"/>
        <v>-1.1516742081447963E-2</v>
      </c>
      <c r="J94" s="604">
        <f t="shared" si="50"/>
        <v>-1.0620000000000001E-2</v>
      </c>
      <c r="K94" s="604">
        <f t="shared" si="50"/>
        <v>-1.2162162162162161E-2</v>
      </c>
      <c r="L94" s="604">
        <f t="shared" si="50"/>
        <v>-1.2849220606025002E-2</v>
      </c>
      <c r="M94" s="604">
        <f t="shared" si="50"/>
        <v>-1.608446407002887</v>
      </c>
      <c r="N94" s="604">
        <f t="shared" si="50"/>
        <v>-0.69463757686318162</v>
      </c>
      <c r="O94" s="604">
        <f t="shared" si="50"/>
        <v>-3.2578124999999996</v>
      </c>
      <c r="P94" s="604">
        <f t="shared" ref="P94" si="51">-P74*P91</f>
        <v>-3.2578124999999996</v>
      </c>
      <c r="Q94" s="604">
        <f t="shared" si="50"/>
        <v>-1.8918620689655177</v>
      </c>
      <c r="R94" s="604">
        <f t="shared" si="50"/>
        <v>-4.4627520000000001</v>
      </c>
      <c r="S94" s="1190"/>
      <c r="T94" s="467"/>
      <c r="U94" s="467"/>
      <c r="V94" s="467"/>
      <c r="W94" s="467"/>
      <c r="X94" s="467"/>
      <c r="Y94" s="467"/>
      <c r="Z94" s="467"/>
      <c r="AA94" s="467"/>
      <c r="AC94" s="364">
        <f>HLOOKUP(Start!$B$14,$C$2:$R$338,+AD94, FALSE)</f>
        <v>-1.26E-2</v>
      </c>
      <c r="AD94" s="373">
        <f t="shared" si="39"/>
        <v>93</v>
      </c>
    </row>
    <row r="95" spans="1:30" s="339" customFormat="1" ht="25.5" x14ac:dyDescent="0.25">
      <c r="A95" s="576" t="s">
        <v>757</v>
      </c>
      <c r="B95" s="875"/>
      <c r="C95" s="933">
        <f t="shared" ref="C95:R95" si="52">-C69*C91</f>
        <v>-1.9599999999999999E-4</v>
      </c>
      <c r="D95" s="603">
        <f t="shared" si="52"/>
        <v>-1.9273333333333332E-4</v>
      </c>
      <c r="E95" s="603">
        <f t="shared" si="52"/>
        <v>-1.6224864864864864E-4</v>
      </c>
      <c r="F95" s="603">
        <f t="shared" si="52"/>
        <v>-2.037518200408998E-4</v>
      </c>
      <c r="G95" s="603">
        <f t="shared" si="52"/>
        <v>-1.9513562384105398E-2</v>
      </c>
      <c r="H95" s="603">
        <f t="shared" si="52"/>
        <v>-2.4127659574468087E-2</v>
      </c>
      <c r="I95" s="564">
        <f t="shared" si="52"/>
        <v>-1.791493212669683E-4</v>
      </c>
      <c r="J95" s="564">
        <f t="shared" si="52"/>
        <v>-1.652E-4</v>
      </c>
      <c r="K95" s="564">
        <f t="shared" si="52"/>
        <v>-1.8918918918918914E-4</v>
      </c>
      <c r="L95" s="564">
        <f t="shared" si="52"/>
        <v>-1.9987676498261112E-4</v>
      </c>
      <c r="M95" s="564">
        <f t="shared" si="52"/>
        <v>-2.502027744226713E-2</v>
      </c>
      <c r="N95" s="564">
        <f t="shared" si="52"/>
        <v>-1.0805473417871714E-2</v>
      </c>
      <c r="O95" s="564">
        <f t="shared" si="52"/>
        <v>-5.0677083333333324E-2</v>
      </c>
      <c r="P95" s="564">
        <f t="shared" ref="P95" si="53">-P69*P91</f>
        <v>-5.0677083333333324E-2</v>
      </c>
      <c r="Q95" s="564">
        <f t="shared" si="52"/>
        <v>-2.9428965517241387E-2</v>
      </c>
      <c r="R95" s="564">
        <f t="shared" si="52"/>
        <v>-6.9420586666666673E-2</v>
      </c>
      <c r="S95" s="1190"/>
      <c r="T95" s="467"/>
      <c r="U95" s="467"/>
      <c r="V95" s="467"/>
      <c r="W95" s="467"/>
      <c r="X95" s="467"/>
      <c r="Y95" s="467"/>
      <c r="Z95" s="467"/>
      <c r="AA95" s="467"/>
      <c r="AC95" s="364">
        <f>HLOOKUP(Start!$B$14,$C$2:$R$338,+AD95, FALSE)</f>
        <v>-1.9599999999999999E-4</v>
      </c>
      <c r="AD95" s="373">
        <f t="shared" si="39"/>
        <v>94</v>
      </c>
    </row>
    <row r="96" spans="1:30" s="339" customFormat="1" x14ac:dyDescent="0.25">
      <c r="A96" s="599" t="s">
        <v>712</v>
      </c>
      <c r="B96" s="875"/>
      <c r="C96" s="563">
        <v>0</v>
      </c>
      <c r="D96" s="563">
        <v>0</v>
      </c>
      <c r="E96" s="563">
        <v>0</v>
      </c>
      <c r="F96" s="563">
        <v>0</v>
      </c>
      <c r="G96" s="563">
        <v>0</v>
      </c>
      <c r="H96" s="563">
        <v>0</v>
      </c>
      <c r="I96" s="563">
        <v>0</v>
      </c>
      <c r="J96" s="563">
        <v>0</v>
      </c>
      <c r="K96" s="563">
        <v>0</v>
      </c>
      <c r="L96" s="563">
        <v>0</v>
      </c>
      <c r="M96" s="563">
        <v>0</v>
      </c>
      <c r="N96" s="563">
        <v>0</v>
      </c>
      <c r="O96" s="563">
        <v>0</v>
      </c>
      <c r="P96" s="563">
        <v>0</v>
      </c>
      <c r="Q96" s="563">
        <v>0</v>
      </c>
      <c r="R96" s="563">
        <v>0</v>
      </c>
      <c r="S96" s="596" t="s">
        <v>713</v>
      </c>
      <c r="T96" s="467"/>
      <c r="U96" s="467"/>
      <c r="V96" s="467"/>
      <c r="W96" s="467"/>
      <c r="X96" s="467"/>
      <c r="Y96" s="467"/>
      <c r="Z96" s="467"/>
      <c r="AA96" s="467"/>
      <c r="AC96" s="364">
        <f>HLOOKUP(Start!$B$14,$C$2:$R$338,+AD96, FALSE)</f>
        <v>0</v>
      </c>
      <c r="AD96" s="373">
        <f t="shared" si="39"/>
        <v>95</v>
      </c>
    </row>
    <row r="97" spans="1:30" customFormat="1" x14ac:dyDescent="0.25">
      <c r="A97" s="600" t="s">
        <v>697</v>
      </c>
      <c r="B97" s="1011"/>
      <c r="C97" s="597">
        <f>SUM(C91:C96)</f>
        <v>5.2642039999999994</v>
      </c>
      <c r="D97" s="597">
        <f t="shared" ref="D97:R97" si="54">SUM(D91:D96)</f>
        <v>6.2275055019607848</v>
      </c>
      <c r="E97" s="597">
        <f t="shared" si="54"/>
        <v>4.8589674810810806</v>
      </c>
      <c r="F97" s="597">
        <f t="shared" si="54"/>
        <v>5.9629507926584875</v>
      </c>
      <c r="G97" s="597">
        <f t="shared" si="54"/>
        <v>3.8032530440571959</v>
      </c>
      <c r="H97" s="597">
        <f t="shared" si="54"/>
        <v>6.4817234042553196</v>
      </c>
      <c r="I97" s="597">
        <f t="shared" si="54"/>
        <v>5.7626706244343886</v>
      </c>
      <c r="J97" s="597">
        <f t="shared" si="54"/>
        <v>5.5159530352941184</v>
      </c>
      <c r="K97" s="597">
        <f t="shared" si="54"/>
        <v>5.7907736486486483</v>
      </c>
      <c r="L97" s="597">
        <f t="shared" si="54"/>
        <v>6.8019010746492237</v>
      </c>
      <c r="M97" s="597">
        <f t="shared" si="54"/>
        <v>5.9351672418406531</v>
      </c>
      <c r="N97" s="597">
        <f t="shared" si="54"/>
        <v>4.8754561140682204</v>
      </c>
      <c r="O97" s="597">
        <f t="shared" si="54"/>
        <v>7.3879947916666637</v>
      </c>
      <c r="P97" s="597">
        <f t="shared" ref="P97" si="55">SUM(P91:P96)</f>
        <v>9.5598697916666637</v>
      </c>
      <c r="Q97" s="597">
        <f t="shared" si="54"/>
        <v>15.008548965517244</v>
      </c>
      <c r="R97" s="598">
        <f t="shared" si="54"/>
        <v>31.987527413333332</v>
      </c>
      <c r="S97" s="601" t="s">
        <v>684</v>
      </c>
      <c r="T97" s="467"/>
      <c r="U97" s="467"/>
      <c r="V97" s="467"/>
      <c r="W97" s="467"/>
      <c r="X97" s="467"/>
      <c r="Y97" s="467"/>
      <c r="Z97" s="467"/>
      <c r="AA97" s="467"/>
      <c r="AC97" s="364">
        <f>HLOOKUP(Start!$B$14,$C$2:$R$338,+AD97, FALSE)</f>
        <v>5.2642039999999994</v>
      </c>
      <c r="AD97" s="373">
        <f t="shared" si="39"/>
        <v>96</v>
      </c>
    </row>
    <row r="98" spans="1:30" customFormat="1" x14ac:dyDescent="0.25">
      <c r="A98" s="599" t="s">
        <v>685</v>
      </c>
      <c r="B98" s="875"/>
      <c r="C98" s="564">
        <f t="shared" ref="C98:R98" si="56">-C50*C97</f>
        <v>-9.8703825000000009E-2</v>
      </c>
      <c r="D98" s="604">
        <f t="shared" si="56"/>
        <v>-0.51285339427912346</v>
      </c>
      <c r="E98" s="604">
        <f t="shared" si="56"/>
        <v>-0.48589674810810807</v>
      </c>
      <c r="F98" s="604">
        <f t="shared" si="56"/>
        <v>-0.23851803170633951</v>
      </c>
      <c r="G98" s="604">
        <f t="shared" si="56"/>
        <v>-1.8863064518598283</v>
      </c>
      <c r="H98" s="604">
        <f t="shared" si="56"/>
        <v>-0.1580260196860731</v>
      </c>
      <c r="I98" s="604">
        <f t="shared" si="56"/>
        <v>-0.11738888978477244</v>
      </c>
      <c r="J98" s="604">
        <f t="shared" si="56"/>
        <v>-0.454254955847751</v>
      </c>
      <c r="K98" s="604">
        <f t="shared" si="56"/>
        <v>-0.40535415540540543</v>
      </c>
      <c r="L98" s="604">
        <f t="shared" si="56"/>
        <v>-0.20405703223947672</v>
      </c>
      <c r="M98" s="604">
        <f t="shared" si="56"/>
        <v>-0.38773741370127407</v>
      </c>
      <c r="N98" s="604">
        <f t="shared" si="56"/>
        <v>-1.2188640285170551</v>
      </c>
      <c r="O98" s="604">
        <f t="shared" si="56"/>
        <v>-0.36939973958333322</v>
      </c>
      <c r="P98" s="604">
        <f t="shared" ref="P98" si="57">-P50*P97</f>
        <v>-0.47799348958333321</v>
      </c>
      <c r="Q98" s="604">
        <f t="shared" si="56"/>
        <v>-3.2376834186059691</v>
      </c>
      <c r="R98" s="604">
        <f t="shared" si="56"/>
        <v>-3.8385032896000002</v>
      </c>
      <c r="S98" s="634"/>
      <c r="T98" s="467"/>
      <c r="U98" s="467"/>
      <c r="V98" s="467"/>
      <c r="W98" s="467"/>
      <c r="X98" s="467"/>
      <c r="Y98" s="467"/>
      <c r="Z98" s="467"/>
      <c r="AA98" s="467"/>
      <c r="AC98" s="364">
        <f>HLOOKUP(Start!$B$14,$C$2:$R$338,+AD98, FALSE)</f>
        <v>-9.8703825000000009E-2</v>
      </c>
      <c r="AD98" s="373">
        <f t="shared" si="39"/>
        <v>97</v>
      </c>
    </row>
    <row r="99" spans="1:30" customFormat="1" x14ac:dyDescent="0.25">
      <c r="A99" s="599" t="s">
        <v>686</v>
      </c>
      <c r="B99" s="875"/>
      <c r="C99" s="602">
        <f t="shared" ref="C99:R99" si="58">-C56*C97</f>
        <v>-2.0999999999999998E-2</v>
      </c>
      <c r="D99" s="564">
        <f t="shared" si="58"/>
        <v>-2.4500000000000001E-2</v>
      </c>
      <c r="E99" s="564">
        <f t="shared" si="58"/>
        <v>-1.8759999999999999E-2</v>
      </c>
      <c r="F99" s="564">
        <f t="shared" si="58"/>
        <v>-2.4364455521472393E-2</v>
      </c>
      <c r="G99" s="564">
        <f t="shared" si="58"/>
        <v>-2.9569020551425022E-2</v>
      </c>
      <c r="H99" s="564">
        <f t="shared" si="58"/>
        <v>-4.3085106382978723E-2</v>
      </c>
      <c r="I99" s="564">
        <f t="shared" si="58"/>
        <v>-2.2393665158371035E-2</v>
      </c>
      <c r="J99" s="564">
        <f t="shared" si="58"/>
        <v>-2.0649999999999998E-2</v>
      </c>
      <c r="K99" s="564">
        <f t="shared" si="58"/>
        <v>-2.1874999999999999E-2</v>
      </c>
      <c r="L99" s="564">
        <f t="shared" si="58"/>
        <v>-2.48850554012215E-2</v>
      </c>
      <c r="M99" s="564">
        <f t="shared" si="58"/>
        <v>-1.7871626744476524E-2</v>
      </c>
      <c r="N99" s="564">
        <f t="shared" si="58"/>
        <v>-2.9219367352614004E-2</v>
      </c>
      <c r="O99" s="564">
        <f t="shared" si="58"/>
        <v>-7.756696428571427E-3</v>
      </c>
      <c r="P99" s="564">
        <f t="shared" ref="P99" si="59">-P56*P97</f>
        <v>-7.7566964285714279E-3</v>
      </c>
      <c r="Q99" s="564">
        <f t="shared" si="58"/>
        <v>-1.0160000000000001E-2</v>
      </c>
      <c r="R99" s="564">
        <f t="shared" si="58"/>
        <v>-2.0300000000000002E-2</v>
      </c>
      <c r="S99" s="634"/>
      <c r="T99" s="467"/>
      <c r="U99" s="467"/>
      <c r="V99" s="467"/>
      <c r="W99" s="467"/>
      <c r="X99" s="467"/>
      <c r="Y99" s="467"/>
      <c r="Z99" s="467"/>
      <c r="AA99" s="467"/>
      <c r="AC99" s="364">
        <f>HLOOKUP(Start!$B$14,$C$2:$R$338,+AD99, FALSE)</f>
        <v>-2.0999999999999998E-2</v>
      </c>
      <c r="AD99" s="373">
        <f t="shared" si="39"/>
        <v>98</v>
      </c>
    </row>
    <row r="100" spans="1:30" s="339" customFormat="1" x14ac:dyDescent="0.25">
      <c r="A100" s="599" t="s">
        <v>721</v>
      </c>
      <c r="B100" s="875"/>
      <c r="C100" s="602">
        <f t="shared" ref="C100:R100" si="60">-C75*C97</f>
        <v>-1.1844459E-2</v>
      </c>
      <c r="D100" s="564">
        <f t="shared" si="60"/>
        <v>-1.4011887379411767E-2</v>
      </c>
      <c r="E100" s="564">
        <f t="shared" si="60"/>
        <v>-9.4552880712929135E-3</v>
      </c>
      <c r="F100" s="564">
        <f t="shared" si="60"/>
        <v>-1.3416639283481599E-2</v>
      </c>
      <c r="G100" s="564">
        <f t="shared" si="60"/>
        <v>-0.28524397830428966</v>
      </c>
      <c r="H100" s="564">
        <f t="shared" si="60"/>
        <v>-0.38890340425531916</v>
      </c>
      <c r="I100" s="604">
        <f t="shared" si="60"/>
        <v>-1.0372807123981899E-2</v>
      </c>
      <c r="J100" s="604">
        <f t="shared" si="60"/>
        <v>-9.9287154635294122E-3</v>
      </c>
      <c r="K100" s="604">
        <f t="shared" si="60"/>
        <v>-9.8443152027027012E-3</v>
      </c>
      <c r="L100" s="604">
        <f t="shared" si="60"/>
        <v>-1.2243421934368602E-2</v>
      </c>
      <c r="M100" s="604">
        <f t="shared" si="60"/>
        <v>-0.35611003451043916</v>
      </c>
      <c r="N100" s="604">
        <f t="shared" si="60"/>
        <v>-0.36565920855511652</v>
      </c>
      <c r="O100" s="604">
        <f t="shared" si="60"/>
        <v>-0.6649195312499997</v>
      </c>
      <c r="P100" s="604">
        <f t="shared" ref="P100" si="61">-P75*P97</f>
        <v>-0.86038828124999966</v>
      </c>
      <c r="Q100" s="604">
        <f t="shared" si="60"/>
        <v>-1.3973476623067782</v>
      </c>
      <c r="R100" s="604">
        <f t="shared" si="60"/>
        <v>-2.8788774671999997</v>
      </c>
      <c r="S100" s="1190"/>
      <c r="T100" s="467"/>
      <c r="U100" s="467"/>
      <c r="V100" s="467"/>
      <c r="W100" s="467"/>
      <c r="X100" s="467"/>
      <c r="Y100" s="467"/>
      <c r="Z100" s="467"/>
      <c r="AA100" s="467"/>
      <c r="AC100" s="364">
        <f>HLOOKUP(Start!$B$14,$C$2:$R$338,+AD100, FALSE)</f>
        <v>-1.1844459E-2</v>
      </c>
      <c r="AD100" s="373">
        <f t="shared" si="39"/>
        <v>99</v>
      </c>
    </row>
    <row r="101" spans="1:30" s="339" customFormat="1" ht="15" customHeight="1" x14ac:dyDescent="0.25">
      <c r="A101" s="599" t="s">
        <v>756</v>
      </c>
      <c r="B101" s="875"/>
      <c r="C101" s="603">
        <f t="shared" ref="C101:R101" si="62">-C70*C97</f>
        <v>-1.8424714E-4</v>
      </c>
      <c r="D101" s="603">
        <f t="shared" si="62"/>
        <v>-2.1796269256862749E-4</v>
      </c>
      <c r="E101" s="603">
        <f t="shared" si="62"/>
        <v>-1.4708225888677862E-4</v>
      </c>
      <c r="F101" s="603">
        <f t="shared" si="62"/>
        <v>-2.0870327774304709E-4</v>
      </c>
      <c r="G101" s="603">
        <f t="shared" si="62"/>
        <v>-4.4371285514000621E-3</v>
      </c>
      <c r="H101" s="603">
        <f t="shared" si="62"/>
        <v>-6.0496085106382979E-3</v>
      </c>
      <c r="I101" s="564">
        <f t="shared" si="62"/>
        <v>-1.6135477748416288E-4</v>
      </c>
      <c r="J101" s="564">
        <f t="shared" si="62"/>
        <v>-1.544466849882353E-4</v>
      </c>
      <c r="K101" s="564">
        <f t="shared" si="62"/>
        <v>-1.5313379204204205E-4</v>
      </c>
      <c r="L101" s="564">
        <f t="shared" si="62"/>
        <v>-1.9045323009017826E-4</v>
      </c>
      <c r="M101" s="564">
        <f t="shared" si="62"/>
        <v>-5.5394894257179425E-3</v>
      </c>
      <c r="N101" s="564">
        <f t="shared" si="62"/>
        <v>-5.6880321330795907E-3</v>
      </c>
      <c r="O101" s="564">
        <f t="shared" si="62"/>
        <v>-1.0343192708333329E-2</v>
      </c>
      <c r="P101" s="564">
        <f t="shared" ref="P101" si="63">-P70*P97</f>
        <v>-1.3383817708333329E-2</v>
      </c>
      <c r="Q101" s="564">
        <f t="shared" si="62"/>
        <v>-2.1736519191438774E-2</v>
      </c>
      <c r="R101" s="564">
        <f t="shared" si="62"/>
        <v>-4.4782538378666664E-2</v>
      </c>
      <c r="S101" s="1190"/>
      <c r="T101" s="467"/>
      <c r="U101" s="467"/>
      <c r="V101" s="467"/>
      <c r="W101" s="467"/>
      <c r="X101" s="467"/>
      <c r="Y101" s="467"/>
      <c r="Z101" s="467"/>
      <c r="AA101" s="467"/>
      <c r="AC101" s="364">
        <f>HLOOKUP(Start!$B$14,$C$2:$R$338,+AD101, FALSE)</f>
        <v>-1.8424714E-4</v>
      </c>
      <c r="AD101" s="373">
        <f t="shared" si="39"/>
        <v>100</v>
      </c>
    </row>
    <row r="102" spans="1:30" s="339" customFormat="1" x14ac:dyDescent="0.25">
      <c r="A102" s="599" t="s">
        <v>714</v>
      </c>
      <c r="B102" s="875"/>
      <c r="C102" s="563">
        <v>0</v>
      </c>
      <c r="D102" s="563">
        <v>0</v>
      </c>
      <c r="E102" s="563">
        <v>0</v>
      </c>
      <c r="F102" s="563">
        <v>0</v>
      </c>
      <c r="G102" s="563">
        <v>0</v>
      </c>
      <c r="H102" s="563">
        <v>0</v>
      </c>
      <c r="I102" s="563">
        <v>0</v>
      </c>
      <c r="J102" s="563">
        <v>0</v>
      </c>
      <c r="K102" s="563">
        <v>0</v>
      </c>
      <c r="L102" s="563">
        <v>0</v>
      </c>
      <c r="M102" s="563">
        <v>0</v>
      </c>
      <c r="N102" s="563">
        <v>0</v>
      </c>
      <c r="O102" s="563">
        <v>0</v>
      </c>
      <c r="P102" s="563">
        <v>0</v>
      </c>
      <c r="Q102" s="563">
        <v>0</v>
      </c>
      <c r="R102" s="563">
        <v>0</v>
      </c>
      <c r="S102" s="596" t="s">
        <v>713</v>
      </c>
      <c r="T102" s="467"/>
      <c r="U102" s="467"/>
      <c r="V102" s="467"/>
      <c r="W102" s="467"/>
      <c r="X102" s="467"/>
      <c r="Y102" s="467"/>
      <c r="Z102" s="467"/>
      <c r="AA102" s="467"/>
      <c r="AC102" s="364">
        <f>HLOOKUP(Start!$B$14,$C$2:$R$338,+AD102, FALSE)</f>
        <v>0</v>
      </c>
      <c r="AD102" s="373">
        <f t="shared" si="39"/>
        <v>101</v>
      </c>
    </row>
    <row r="103" spans="1:30" customFormat="1" x14ac:dyDescent="0.25">
      <c r="A103" s="600" t="s">
        <v>687</v>
      </c>
      <c r="B103" s="1011"/>
      <c r="C103" s="597">
        <f t="shared" ref="C103:R103" si="64">SUM(C97:C102)</f>
        <v>5.1324714688599995</v>
      </c>
      <c r="D103" s="597">
        <f t="shared" si="64"/>
        <v>5.6759222576096811</v>
      </c>
      <c r="E103" s="597">
        <f t="shared" si="64"/>
        <v>4.344708362642792</v>
      </c>
      <c r="F103" s="597">
        <f t="shared" si="64"/>
        <v>5.6864429628694504</v>
      </c>
      <c r="G103" s="597">
        <f t="shared" si="64"/>
        <v>1.597696464790253</v>
      </c>
      <c r="H103" s="597">
        <f t="shared" si="64"/>
        <v>5.885659265420311</v>
      </c>
      <c r="I103" s="605">
        <f t="shared" si="64"/>
        <v>5.612353907589779</v>
      </c>
      <c r="J103" s="605">
        <f t="shared" si="64"/>
        <v>5.0309649172978501</v>
      </c>
      <c r="K103" s="605">
        <f t="shared" si="64"/>
        <v>5.353547044248498</v>
      </c>
      <c r="L103" s="605">
        <f t="shared" si="64"/>
        <v>6.5605251118440666</v>
      </c>
      <c r="M103" s="605">
        <f t="shared" si="64"/>
        <v>5.1679086774587457</v>
      </c>
      <c r="N103" s="605">
        <f t="shared" si="64"/>
        <v>3.256025477510355</v>
      </c>
      <c r="O103" s="605">
        <f t="shared" si="64"/>
        <v>6.3355756316964262</v>
      </c>
      <c r="P103" s="605">
        <f t="shared" ref="P103" si="65">SUM(P97:P102)</f>
        <v>8.2003475066964242</v>
      </c>
      <c r="Q103" s="605">
        <f t="shared" si="64"/>
        <v>10.341621365413056</v>
      </c>
      <c r="R103" s="606">
        <f t="shared" si="64"/>
        <v>25.20506411815467</v>
      </c>
      <c r="S103" s="601" t="s">
        <v>688</v>
      </c>
      <c r="T103" s="467"/>
      <c r="U103" s="467"/>
      <c r="V103" s="467"/>
      <c r="W103" s="467"/>
      <c r="X103" s="467"/>
      <c r="Y103" s="467"/>
      <c r="Z103" s="467"/>
      <c r="AA103" s="467"/>
      <c r="AC103" s="364">
        <f>HLOOKUP(Start!$B$14,$C$2:$R$338,+AD103, FALSE)</f>
        <v>5.1324714688599995</v>
      </c>
      <c r="AD103" s="373">
        <f t="shared" si="39"/>
        <v>102</v>
      </c>
    </row>
    <row r="104" spans="1:30" customFormat="1" x14ac:dyDescent="0.25">
      <c r="A104" s="599" t="s">
        <v>689</v>
      </c>
      <c r="B104" s="875"/>
      <c r="C104" s="564">
        <f t="shared" ref="C104:R104" si="66">-C51*C103</f>
        <v>-0.63156991468007906</v>
      </c>
      <c r="D104" s="564">
        <f t="shared" si="66"/>
        <v>-0.70092668794448421</v>
      </c>
      <c r="E104" s="564">
        <f t="shared" si="66"/>
        <v>-0.7122695041420084</v>
      </c>
      <c r="F104" s="564">
        <f t="shared" si="66"/>
        <v>-1.0084417808389452</v>
      </c>
      <c r="G104" s="564">
        <f t="shared" si="66"/>
        <v>-0.26716515938482155</v>
      </c>
      <c r="H104" s="564">
        <f t="shared" si="66"/>
        <v>-0.43088708477278209</v>
      </c>
      <c r="I104" s="604">
        <f t="shared" si="66"/>
        <v>-0.9162444120052432</v>
      </c>
      <c r="J104" s="604">
        <f t="shared" si="66"/>
        <v>-0.82132979643975468</v>
      </c>
      <c r="K104" s="604">
        <f t="shared" si="66"/>
        <v>-0.75057246376005082</v>
      </c>
      <c r="L104" s="604">
        <f t="shared" si="66"/>
        <v>-1.36050305776215</v>
      </c>
      <c r="M104" s="604">
        <f t="shared" si="66"/>
        <v>-0.69128378426712878</v>
      </c>
      <c r="N104" s="604">
        <f t="shared" si="66"/>
        <v>-0.32489642174386452</v>
      </c>
      <c r="O104" s="604">
        <f t="shared" si="66"/>
        <v>-0.96617528383370499</v>
      </c>
      <c r="P104" s="604">
        <f t="shared" ref="P104" si="67">-P51*P103</f>
        <v>-1.2505529947712046</v>
      </c>
      <c r="Q104" s="604">
        <f t="shared" si="66"/>
        <v>-0.69864530490705767</v>
      </c>
      <c r="R104" s="604">
        <f t="shared" si="66"/>
        <v>-5.0944781111542934</v>
      </c>
      <c r="S104" s="634"/>
      <c r="T104" s="467"/>
      <c r="U104" s="467"/>
      <c r="V104" s="467"/>
      <c r="W104" s="467"/>
      <c r="X104" s="467"/>
      <c r="Y104" s="467"/>
      <c r="Z104" s="467"/>
      <c r="AA104" s="467"/>
      <c r="AC104" s="364">
        <f>HLOOKUP(Start!$B$14,$C$2:$R$338,+AD104, FALSE)</f>
        <v>-0.63156991468007906</v>
      </c>
      <c r="AD104" s="373">
        <f t="shared" si="39"/>
        <v>103</v>
      </c>
    </row>
    <row r="105" spans="1:30" customFormat="1" x14ac:dyDescent="0.25">
      <c r="A105" s="599" t="s">
        <v>690</v>
      </c>
      <c r="B105" s="875"/>
      <c r="C105" s="602">
        <f t="shared" ref="C105:R105" si="68">-C57*C103</f>
        <v>-5.1324714688599997E-2</v>
      </c>
      <c r="D105" s="564">
        <f t="shared" si="68"/>
        <v>-5.6759222576096814E-2</v>
      </c>
      <c r="E105" s="564">
        <f t="shared" si="68"/>
        <v>-4.3447083626427921E-2</v>
      </c>
      <c r="F105" s="564">
        <f t="shared" si="68"/>
        <v>-0.14216107407173625</v>
      </c>
      <c r="G105" s="564">
        <f t="shared" si="68"/>
        <v>-1.597696464790253E-2</v>
      </c>
      <c r="H105" s="564">
        <f t="shared" si="68"/>
        <v>-5.8856592654203115E-2</v>
      </c>
      <c r="I105" s="604">
        <f t="shared" si="68"/>
        <v>-5.6123539075897788E-2</v>
      </c>
      <c r="J105" s="604">
        <f t="shared" si="68"/>
        <v>-5.0309649172978504E-2</v>
      </c>
      <c r="K105" s="604">
        <f t="shared" si="68"/>
        <v>-5.3535470442484981E-2</v>
      </c>
      <c r="L105" s="604">
        <f t="shared" si="68"/>
        <v>-0.16401312779610167</v>
      </c>
      <c r="M105" s="604">
        <f t="shared" si="68"/>
        <v>-5.1679086774587456E-2</v>
      </c>
      <c r="N105" s="604">
        <f t="shared" si="68"/>
        <v>-8.1400636937758883E-2</v>
      </c>
      <c r="O105" s="604">
        <f t="shared" si="68"/>
        <v>-6.335575631696426E-2</v>
      </c>
      <c r="P105" s="604">
        <f t="shared" ref="P105" si="69">-P57*P103</f>
        <v>-8.2003475066964246E-2</v>
      </c>
      <c r="Q105" s="604">
        <f t="shared" si="68"/>
        <v>-0.10341621365413056</v>
      </c>
      <c r="R105" s="604">
        <f t="shared" si="68"/>
        <v>-0.6301266029538668</v>
      </c>
      <c r="S105" s="634"/>
      <c r="T105" s="467"/>
      <c r="U105" s="467"/>
      <c r="V105" s="467"/>
      <c r="W105" s="467"/>
      <c r="X105" s="467"/>
      <c r="Y105" s="467"/>
      <c r="Z105" s="467"/>
      <c r="AA105" s="467"/>
      <c r="AC105" s="364">
        <f>HLOOKUP(Start!$B$14,$C$2:$R$338,+AD105, FALSE)</f>
        <v>-5.1324714688599997E-2</v>
      </c>
      <c r="AD105" s="373">
        <f t="shared" si="39"/>
        <v>104</v>
      </c>
    </row>
    <row r="106" spans="1:30" s="339" customFormat="1" x14ac:dyDescent="0.25">
      <c r="A106" s="599" t="s">
        <v>758</v>
      </c>
      <c r="B106" s="875"/>
      <c r="C106" s="564">
        <f t="shared" ref="C106:R106" si="70">-C71*C103</f>
        <v>-5.1324714688599999E-3</v>
      </c>
      <c r="D106" s="564">
        <f t="shared" si="70"/>
        <v>-5.6759222576096809E-3</v>
      </c>
      <c r="E106" s="564">
        <f t="shared" si="70"/>
        <v>-4.3447083626427917E-3</v>
      </c>
      <c r="F106" s="564">
        <f t="shared" si="70"/>
        <v>-1.4216107407173629E-2</v>
      </c>
      <c r="G106" s="564">
        <f t="shared" si="70"/>
        <v>-1.597696464790253E-3</v>
      </c>
      <c r="H106" s="564">
        <f t="shared" si="70"/>
        <v>-5.8856592654203113E-3</v>
      </c>
      <c r="I106" s="564">
        <f t="shared" si="70"/>
        <v>-5.612353907589779E-3</v>
      </c>
      <c r="J106" s="564">
        <f t="shared" si="70"/>
        <v>-5.0309649172978503E-3</v>
      </c>
      <c r="K106" s="564">
        <f t="shared" si="70"/>
        <v>-5.3535470442484983E-3</v>
      </c>
      <c r="L106" s="564">
        <f t="shared" si="70"/>
        <v>-1.6401312779610169E-2</v>
      </c>
      <c r="M106" s="564">
        <f t="shared" si="70"/>
        <v>-5.1679086774587459E-3</v>
      </c>
      <c r="N106" s="564">
        <f t="shared" si="70"/>
        <v>-8.1400636937758886E-3</v>
      </c>
      <c r="O106" s="564">
        <f t="shared" si="70"/>
        <v>-6.3355756316964265E-3</v>
      </c>
      <c r="P106" s="564">
        <f t="shared" ref="P106" si="71">-P71*P103</f>
        <v>-8.2003475066964246E-3</v>
      </c>
      <c r="Q106" s="564">
        <f t="shared" si="70"/>
        <v>-1.0341621365413056E-2</v>
      </c>
      <c r="R106" s="564">
        <f t="shared" si="70"/>
        <v>-6.3012660295386685E-2</v>
      </c>
      <c r="S106" s="634"/>
      <c r="T106" s="467"/>
      <c r="U106" s="467"/>
      <c r="V106" s="467"/>
      <c r="W106" s="467"/>
      <c r="X106" s="467"/>
      <c r="Y106" s="467"/>
      <c r="Z106" s="467"/>
      <c r="AA106" s="467"/>
      <c r="AC106" s="364">
        <f>HLOOKUP(Start!$B$14,$C$2:$R$338,+AD106, FALSE)</f>
        <v>-5.1324714688599999E-3</v>
      </c>
      <c r="AD106" s="373">
        <f t="shared" si="39"/>
        <v>105</v>
      </c>
    </row>
    <row r="107" spans="1:30" customFormat="1" x14ac:dyDescent="0.25">
      <c r="A107" s="581" t="s">
        <v>723</v>
      </c>
      <c r="B107" s="1011"/>
      <c r="C107" s="597">
        <f t="shared" ref="C107:R107" si="72">SUM(C103:C106)</f>
        <v>4.4444443680224603</v>
      </c>
      <c r="D107" s="597">
        <f t="shared" si="72"/>
        <v>4.91256042483149</v>
      </c>
      <c r="E107" s="597">
        <f t="shared" si="72"/>
        <v>3.5846470665117129</v>
      </c>
      <c r="F107" s="597">
        <f t="shared" si="72"/>
        <v>4.5216240005515953</v>
      </c>
      <c r="G107" s="597">
        <f t="shared" si="72"/>
        <v>1.3129566442927385</v>
      </c>
      <c r="H107" s="597">
        <f t="shared" si="72"/>
        <v>5.3900299287279054</v>
      </c>
      <c r="I107" s="597">
        <f t="shared" si="72"/>
        <v>4.6343736026010482</v>
      </c>
      <c r="J107" s="597">
        <f t="shared" si="72"/>
        <v>4.154294506767819</v>
      </c>
      <c r="K107" s="597">
        <f t="shared" si="72"/>
        <v>4.5440855630017136</v>
      </c>
      <c r="L107" s="597">
        <f t="shared" si="72"/>
        <v>5.0196076135062047</v>
      </c>
      <c r="M107" s="597">
        <f t="shared" si="72"/>
        <v>4.4197778977395705</v>
      </c>
      <c r="N107" s="597">
        <f t="shared" si="72"/>
        <v>2.8415883551349554</v>
      </c>
      <c r="O107" s="597">
        <f t="shared" si="72"/>
        <v>5.2997090159140612</v>
      </c>
      <c r="P107" s="597">
        <f t="shared" ref="P107" si="73">SUM(P103:P106)</f>
        <v>6.8595906893515588</v>
      </c>
      <c r="Q107" s="597">
        <f t="shared" si="72"/>
        <v>9.5292182254864564</v>
      </c>
      <c r="R107" s="598">
        <f t="shared" si="72"/>
        <v>19.417446743751128</v>
      </c>
      <c r="S107" s="601" t="s">
        <v>691</v>
      </c>
      <c r="T107" s="467"/>
      <c r="U107" s="467"/>
      <c r="V107" s="467"/>
      <c r="W107" s="467"/>
      <c r="X107" s="467"/>
      <c r="Y107" s="467"/>
      <c r="Z107" s="467"/>
      <c r="AA107" s="467"/>
      <c r="AC107" s="364">
        <f>HLOOKUP(Start!$B$14,$C$2:$R$338,+AD107, FALSE)</f>
        <v>4.4444443680224603</v>
      </c>
      <c r="AD107" s="373">
        <f t="shared" si="39"/>
        <v>106</v>
      </c>
    </row>
    <row r="108" spans="1:30" s="339" customFormat="1" x14ac:dyDescent="0.25">
      <c r="A108" s="608" t="s">
        <v>724</v>
      </c>
      <c r="B108" s="1012"/>
      <c r="C108" s="611">
        <f>-C78*C103</f>
        <v>-2.3096121609869997</v>
      </c>
      <c r="D108" s="611">
        <f t="shared" ref="D108:R108" si="74">-D78*D107</f>
        <v>-2.456280212415745</v>
      </c>
      <c r="E108" s="611">
        <f t="shared" si="74"/>
        <v>-0.53088623055038475</v>
      </c>
      <c r="F108" s="611">
        <f t="shared" si="74"/>
        <v>-1.6669654613347904</v>
      </c>
      <c r="G108" s="611">
        <f t="shared" si="74"/>
        <v>-0.34136872751611202</v>
      </c>
      <c r="H108" s="611">
        <f t="shared" si="74"/>
        <v>-2.4255134679275576</v>
      </c>
      <c r="I108" s="611">
        <f t="shared" si="74"/>
        <v>-2.085468121170472</v>
      </c>
      <c r="J108" s="611">
        <f t="shared" si="74"/>
        <v>-2.0771472533839095</v>
      </c>
      <c r="K108" s="611">
        <f t="shared" si="74"/>
        <v>-0.35671071669563453</v>
      </c>
      <c r="L108" s="611">
        <f t="shared" si="74"/>
        <v>-0.59768323752492825</v>
      </c>
      <c r="M108" s="611">
        <f t="shared" si="74"/>
        <v>-1.1491422534122884</v>
      </c>
      <c r="N108" s="611">
        <f t="shared" si="74"/>
        <v>-0.53864549739893997</v>
      </c>
      <c r="O108" s="611">
        <f t="shared" si="74"/>
        <v>-2.1198836063656246</v>
      </c>
      <c r="P108" s="611">
        <f t="shared" ref="P108" si="75">-P78*P107</f>
        <v>-2.7438362757406236</v>
      </c>
      <c r="Q108" s="611">
        <f t="shared" si="74"/>
        <v>-1.5189573851425411</v>
      </c>
      <c r="R108" s="611">
        <f t="shared" si="74"/>
        <v>-4.2103898836950844</v>
      </c>
      <c r="S108" s="461"/>
      <c r="T108" s="579"/>
      <c r="U108" s="579"/>
      <c r="V108" s="579"/>
      <c r="W108" s="579"/>
      <c r="X108" s="579"/>
      <c r="Y108" s="579"/>
      <c r="Z108" s="579"/>
      <c r="AA108" s="579"/>
      <c r="AC108" s="364">
        <f>HLOOKUP(Start!$B$14,$C$2:$R$338,+AD108, FALSE)</f>
        <v>-2.3096121609869997</v>
      </c>
      <c r="AD108" s="373">
        <f t="shared" si="39"/>
        <v>107</v>
      </c>
    </row>
    <row r="109" spans="1:30" s="339" customFormat="1" ht="15" customHeight="1" x14ac:dyDescent="0.25">
      <c r="A109" s="609" t="s">
        <v>725</v>
      </c>
      <c r="B109" s="875"/>
      <c r="C109" s="602">
        <f>-C82*(-C104-C106)</f>
        <v>-6.3670238614893905E-3</v>
      </c>
      <c r="D109" s="602">
        <f t="shared" ref="D109:R109" si="76">-D82*(-D104-D106)</f>
        <v>-7.066026102020939E-3</v>
      </c>
      <c r="E109" s="602">
        <f t="shared" si="76"/>
        <v>-7.1661421250465117E-3</v>
      </c>
      <c r="F109" s="602">
        <f t="shared" si="76"/>
        <v>-1.0226578882461188E-2</v>
      </c>
      <c r="G109" s="602">
        <f t="shared" si="76"/>
        <v>-2.6876285584961179E-3</v>
      </c>
      <c r="H109" s="602">
        <f t="shared" si="76"/>
        <v>-4.3677274403820235E-3</v>
      </c>
      <c r="I109" s="602">
        <f t="shared" si="76"/>
        <v>-9.2185676591283305E-3</v>
      </c>
      <c r="J109" s="602">
        <f t="shared" si="76"/>
        <v>-8.2636076135705252E-3</v>
      </c>
      <c r="K109" s="602">
        <f t="shared" si="76"/>
        <v>-7.5592601080429938E-3</v>
      </c>
      <c r="L109" s="602">
        <f t="shared" si="76"/>
        <v>-1.3769043705417601E-2</v>
      </c>
      <c r="M109" s="602">
        <f t="shared" si="76"/>
        <v>-6.9645169294458758E-3</v>
      </c>
      <c r="N109" s="602">
        <f t="shared" si="76"/>
        <v>-3.3303648543764044E-3</v>
      </c>
      <c r="O109" s="602">
        <f t="shared" si="76"/>
        <v>-9.7251085946540149E-3</v>
      </c>
      <c r="P109" s="602">
        <f t="shared" ref="P109" si="77">-P82*(-P104-P106)</f>
        <v>-1.2587533422779011E-2</v>
      </c>
      <c r="Q109" s="602">
        <f t="shared" si="76"/>
        <v>-7.0898692627247078E-3</v>
      </c>
      <c r="R109" s="602">
        <f t="shared" si="76"/>
        <v>-5.1574907714496805E-2</v>
      </c>
      <c r="S109" s="634"/>
      <c r="T109" s="579"/>
      <c r="U109" s="579"/>
      <c r="V109" s="579"/>
      <c r="W109" s="579"/>
      <c r="X109" s="579"/>
      <c r="Y109" s="579"/>
      <c r="Z109" s="579"/>
      <c r="AA109" s="579"/>
      <c r="AC109" s="364">
        <f>HLOOKUP(Start!$B$14,$C$2:$R$338,+AD109, FALSE)</f>
        <v>-6.3670238614893905E-3</v>
      </c>
      <c r="AD109" s="373">
        <f t="shared" si="39"/>
        <v>108</v>
      </c>
    </row>
    <row r="110" spans="1:30" s="339" customFormat="1" ht="15" customHeight="1" x14ac:dyDescent="0.25">
      <c r="A110" s="610" t="s">
        <v>726</v>
      </c>
      <c r="B110" s="1013"/>
      <c r="C110" s="612">
        <f>-C83*(-C108)</f>
        <v>-1.7322091207402496E-2</v>
      </c>
      <c r="D110" s="612">
        <f t="shared" ref="D110:R110" si="78">-D83*(-D108)</f>
        <v>-1.8422101593118086E-2</v>
      </c>
      <c r="E110" s="612">
        <f t="shared" si="78"/>
        <v>-3.9816467291278858E-3</v>
      </c>
      <c r="F110" s="612">
        <f t="shared" si="78"/>
        <v>-1.2502240960010928E-2</v>
      </c>
      <c r="G110" s="612">
        <f t="shared" si="78"/>
        <v>-2.5602654563708399E-3</v>
      </c>
      <c r="H110" s="612">
        <f t="shared" si="78"/>
        <v>-1.819135100945668E-2</v>
      </c>
      <c r="I110" s="612">
        <f t="shared" si="78"/>
        <v>-1.5641010908778539E-2</v>
      </c>
      <c r="J110" s="612">
        <f t="shared" si="78"/>
        <v>-1.5578604400379321E-2</v>
      </c>
      <c r="K110" s="612">
        <f t="shared" si="78"/>
        <v>-2.6753303752172588E-3</v>
      </c>
      <c r="L110" s="612">
        <f t="shared" si="78"/>
        <v>-4.4826242814369616E-3</v>
      </c>
      <c r="M110" s="612">
        <f t="shared" si="78"/>
        <v>-8.6185669005921627E-3</v>
      </c>
      <c r="N110" s="612">
        <f t="shared" si="78"/>
        <v>-4.0398412304920497E-3</v>
      </c>
      <c r="O110" s="612">
        <f t="shared" si="78"/>
        <v>-1.5899127047742184E-2</v>
      </c>
      <c r="P110" s="612">
        <f t="shared" ref="P110" si="79">-P83*(-P108)</f>
        <v>-2.0578772068054675E-2</v>
      </c>
      <c r="Q110" s="612">
        <f t="shared" si="78"/>
        <v>-1.1392180388569057E-2</v>
      </c>
      <c r="R110" s="612">
        <f t="shared" si="78"/>
        <v>-3.1577924127713132E-2</v>
      </c>
      <c r="S110" s="634"/>
      <c r="T110" s="579"/>
      <c r="U110" s="579"/>
      <c r="V110" s="579"/>
      <c r="W110" s="579"/>
      <c r="X110" s="579"/>
      <c r="Y110" s="579"/>
      <c r="Z110" s="579"/>
      <c r="AA110" s="579"/>
      <c r="AC110" s="364">
        <f>HLOOKUP(Start!$B$14,$C$2:$R$338,+AD110, FALSE)</f>
        <v>-1.7322091207402496E-2</v>
      </c>
      <c r="AD110" s="373">
        <f t="shared" si="39"/>
        <v>109</v>
      </c>
    </row>
    <row r="111" spans="1:30" customFormat="1" x14ac:dyDescent="0.25">
      <c r="A111" s="577"/>
      <c r="B111" s="999"/>
      <c r="C111" s="558"/>
      <c r="D111" s="558"/>
      <c r="E111" s="558"/>
      <c r="F111" s="558"/>
      <c r="G111" s="558"/>
      <c r="H111" s="558"/>
      <c r="I111" s="558"/>
      <c r="J111" s="558"/>
      <c r="K111" s="558"/>
      <c r="L111" s="558"/>
      <c r="M111" s="558"/>
      <c r="N111" s="558"/>
      <c r="O111" s="558"/>
      <c r="P111" s="558"/>
      <c r="Q111" s="558"/>
      <c r="R111" s="558"/>
      <c r="S111" s="586"/>
      <c r="T111" s="579"/>
      <c r="U111" s="579"/>
      <c r="V111" s="579"/>
      <c r="W111" s="579"/>
      <c r="X111" s="579"/>
      <c r="Y111" s="579"/>
      <c r="Z111" s="579"/>
      <c r="AA111" s="579"/>
      <c r="AC111" s="364">
        <f>HLOOKUP(Start!$B$14,$C$2:$R$338,+AD111, FALSE)</f>
        <v>0</v>
      </c>
      <c r="AD111" s="373">
        <f t="shared" si="39"/>
        <v>110</v>
      </c>
    </row>
    <row r="112" spans="1:30" s="339" customFormat="1" ht="18.75" x14ac:dyDescent="0.25">
      <c r="A112" s="573" t="s">
        <v>949</v>
      </c>
      <c r="B112" s="1000"/>
      <c r="C112" s="559"/>
      <c r="D112" s="559"/>
      <c r="E112" s="559"/>
      <c r="F112" s="559"/>
      <c r="G112" s="559"/>
      <c r="H112" s="559"/>
      <c r="I112" s="559"/>
      <c r="J112" s="559"/>
      <c r="K112" s="559"/>
      <c r="L112" s="559"/>
      <c r="M112" s="559"/>
      <c r="N112" s="559"/>
      <c r="O112" s="559"/>
      <c r="P112" s="559"/>
      <c r="Q112" s="559"/>
      <c r="R112" s="560"/>
      <c r="S112" s="586"/>
      <c r="T112" s="579"/>
      <c r="U112" s="579"/>
      <c r="V112" s="579"/>
      <c r="W112" s="579"/>
      <c r="X112" s="579"/>
      <c r="Y112" s="579"/>
      <c r="Z112" s="579"/>
      <c r="AA112" s="579"/>
      <c r="AC112" s="364">
        <f>HLOOKUP(Start!$B$14,$C$2:$R$338,+AD112, FALSE)</f>
        <v>0</v>
      </c>
      <c r="AD112" s="373">
        <f t="shared" si="39"/>
        <v>111</v>
      </c>
    </row>
    <row r="113" spans="1:30" s="339" customFormat="1" ht="38.25" x14ac:dyDescent="0.25">
      <c r="A113" s="580" t="s">
        <v>679</v>
      </c>
      <c r="B113" s="875"/>
      <c r="C113" s="562" t="s">
        <v>680</v>
      </c>
      <c r="D113" s="562" t="s">
        <v>680</v>
      </c>
      <c r="E113" s="562" t="s">
        <v>680</v>
      </c>
      <c r="F113" s="562" t="s">
        <v>680</v>
      </c>
      <c r="G113" s="562" t="s">
        <v>680</v>
      </c>
      <c r="H113" s="562" t="s">
        <v>680</v>
      </c>
      <c r="I113" s="562" t="s">
        <v>680</v>
      </c>
      <c r="J113" s="562" t="s">
        <v>680</v>
      </c>
      <c r="K113" s="562" t="s">
        <v>680</v>
      </c>
      <c r="L113" s="562" t="s">
        <v>680</v>
      </c>
      <c r="M113" s="562" t="s">
        <v>680</v>
      </c>
      <c r="N113" s="562" t="s">
        <v>680</v>
      </c>
      <c r="O113" s="562" t="s">
        <v>680</v>
      </c>
      <c r="P113" s="562" t="s">
        <v>680</v>
      </c>
      <c r="Q113" s="562" t="s">
        <v>680</v>
      </c>
      <c r="R113" s="562" t="s">
        <v>680</v>
      </c>
      <c r="S113" s="586"/>
      <c r="T113" s="579"/>
      <c r="U113" s="579"/>
      <c r="V113" s="579"/>
      <c r="W113" s="579"/>
      <c r="X113" s="579"/>
      <c r="Y113" s="579"/>
      <c r="Z113" s="579"/>
      <c r="AA113" s="579"/>
      <c r="AC113" s="364" t="str">
        <f>HLOOKUP(Start!$B$14,$C$2:$R$338,+AD113, FALSE)</f>
        <v>1 t of manure 
ex-animal</v>
      </c>
      <c r="AD113" s="373">
        <f t="shared" si="39"/>
        <v>112</v>
      </c>
    </row>
    <row r="114" spans="1:30" s="339" customFormat="1" x14ac:dyDescent="0.25">
      <c r="A114" s="581" t="s">
        <v>952</v>
      </c>
      <c r="B114" s="1008"/>
      <c r="C114" s="597">
        <f>+C11</f>
        <v>33.547219620478501</v>
      </c>
      <c r="D114" s="597">
        <f t="shared" ref="D114:R114" si="80">+D11</f>
        <v>39.618592318867314</v>
      </c>
      <c r="E114" s="597">
        <f t="shared" si="80"/>
        <v>33.313661628132998</v>
      </c>
      <c r="F114" s="597">
        <f t="shared" si="80"/>
        <v>39.448776304255311</v>
      </c>
      <c r="G114" s="597">
        <f t="shared" si="80"/>
        <v>33.065097666666766</v>
      </c>
      <c r="H114" s="597">
        <f t="shared" si="80"/>
        <v>47.834983015711394</v>
      </c>
      <c r="I114" s="597">
        <f t="shared" si="80"/>
        <v>47.834983015711394</v>
      </c>
      <c r="J114" s="597">
        <f t="shared" si="80"/>
        <v>59.636642852916076</v>
      </c>
      <c r="K114" s="597">
        <f t="shared" si="80"/>
        <v>46.455651826839627</v>
      </c>
      <c r="L114" s="597">
        <f t="shared" si="80"/>
        <v>53.921606539970227</v>
      </c>
      <c r="M114" s="597">
        <f t="shared" si="80"/>
        <v>51.74673844666664</v>
      </c>
      <c r="N114" s="597">
        <f t="shared" si="80"/>
        <v>57.092422972889466</v>
      </c>
      <c r="O114" s="597">
        <f t="shared" si="80"/>
        <v>124.3</v>
      </c>
      <c r="P114" s="597">
        <f t="shared" ref="P114" si="81">+P11</f>
        <v>124.3</v>
      </c>
      <c r="Q114" s="597">
        <f t="shared" si="80"/>
        <v>168.89350861014611</v>
      </c>
      <c r="R114" s="598">
        <f t="shared" si="80"/>
        <v>310.71388194469273</v>
      </c>
      <c r="S114" s="586"/>
      <c r="T114" s="579"/>
      <c r="U114" s="579"/>
      <c r="V114" s="579"/>
      <c r="W114" s="579"/>
      <c r="X114" s="579"/>
      <c r="Y114" s="579"/>
      <c r="Z114" s="579"/>
      <c r="AA114" s="579"/>
      <c r="AC114" s="364">
        <f>HLOOKUP(Start!$B$14,$C$2:$R$338,+AD114, FALSE)</f>
        <v>33.547219620478501</v>
      </c>
      <c r="AD114" s="373">
        <f t="shared" si="39"/>
        <v>113</v>
      </c>
    </row>
    <row r="115" spans="1:30" s="339" customFormat="1" x14ac:dyDescent="0.25">
      <c r="A115" s="613" t="s">
        <v>729</v>
      </c>
      <c r="B115" s="1014"/>
      <c r="C115" s="614">
        <f t="shared" ref="C115:R115" si="82">-C59*C128</f>
        <v>-0.59763426697850464</v>
      </c>
      <c r="D115" s="614">
        <f t="shared" si="82"/>
        <v>-0.13294977874397534</v>
      </c>
      <c r="E115" s="614">
        <f t="shared" si="82"/>
        <v>-0.23633389049918263</v>
      </c>
      <c r="F115" s="614">
        <f t="shared" si="82"/>
        <v>-8.1579640127336303E-2</v>
      </c>
      <c r="G115" s="614">
        <f t="shared" si="82"/>
        <v>-3.4645700000000119E-3</v>
      </c>
      <c r="H115" s="614">
        <f t="shared" si="82"/>
        <v>-0.74183065339317189</v>
      </c>
      <c r="I115" s="614">
        <f t="shared" si="82"/>
        <v>-0.91929602592492787</v>
      </c>
      <c r="J115" s="614">
        <f t="shared" si="82"/>
        <v>-2.5177226733975815E-2</v>
      </c>
      <c r="K115" s="614">
        <f t="shared" si="82"/>
        <v>-0.19151005030269111</v>
      </c>
      <c r="L115" s="614">
        <f t="shared" si="82"/>
        <v>-5.8562496935581382E-2</v>
      </c>
      <c r="M115" s="614">
        <f t="shared" si="82"/>
        <v>-0.17523512319999993</v>
      </c>
      <c r="N115" s="614">
        <f t="shared" si="82"/>
        <v>-0.7903322100000002</v>
      </c>
      <c r="O115" s="614">
        <f t="shared" si="82"/>
        <v>-0.45395934796874982</v>
      </c>
      <c r="P115" s="614">
        <f t="shared" ref="P115" si="83">-P59*P128</f>
        <v>-0.45395934796874982</v>
      </c>
      <c r="Q115" s="614">
        <f t="shared" si="82"/>
        <v>-0.82195267709830599</v>
      </c>
      <c r="R115" s="614">
        <f t="shared" si="82"/>
        <v>-1.5914219186812499</v>
      </c>
      <c r="S115" s="596" t="s">
        <v>722</v>
      </c>
      <c r="T115" s="579"/>
      <c r="U115" s="579"/>
      <c r="V115" s="579"/>
      <c r="W115" s="579"/>
      <c r="X115" s="579"/>
      <c r="Y115" s="579"/>
      <c r="Z115" s="579"/>
      <c r="AA115" s="579"/>
      <c r="AC115" s="364">
        <f>HLOOKUP(Start!$B$14,$C$2:$R$338,+AD115, FALSE)</f>
        <v>-0.59763426697850464</v>
      </c>
      <c r="AD115" s="373">
        <f t="shared" si="39"/>
        <v>114</v>
      </c>
    </row>
    <row r="116" spans="1:30" s="339" customFormat="1" x14ac:dyDescent="0.25">
      <c r="A116" s="613" t="s">
        <v>732</v>
      </c>
      <c r="B116" s="1014"/>
      <c r="C116" s="614">
        <f t="shared" ref="C116:R116" si="84">+C115*C85+C92*C86</f>
        <v>-1.0936707085706636</v>
      </c>
      <c r="D116" s="614">
        <f t="shared" si="84"/>
        <v>-0.24329809510147488</v>
      </c>
      <c r="E116" s="614">
        <f t="shared" si="84"/>
        <v>-0.43249101961350422</v>
      </c>
      <c r="F116" s="614">
        <f t="shared" si="84"/>
        <v>-0.17784361547759314</v>
      </c>
      <c r="G116" s="614">
        <f t="shared" si="84"/>
        <v>-76.521041063384757</v>
      </c>
      <c r="H116" s="614">
        <f t="shared" si="84"/>
        <v>-52.208808510638299</v>
      </c>
      <c r="I116" s="614">
        <f t="shared" si="84"/>
        <v>-1.9581005352200962</v>
      </c>
      <c r="J116" s="614">
        <f t="shared" si="84"/>
        <v>-5.3627492943368479E-2</v>
      </c>
      <c r="K116" s="614">
        <f t="shared" si="84"/>
        <v>-0.40791640714473204</v>
      </c>
      <c r="L116" s="614">
        <f t="shared" si="84"/>
        <v>-0.1141968690243837</v>
      </c>
      <c r="M116" s="614">
        <f t="shared" si="84"/>
        <v>-116.33088638648381</v>
      </c>
      <c r="N116" s="614">
        <f t="shared" si="84"/>
        <v>-18.971550834705219</v>
      </c>
      <c r="O116" s="614">
        <f t="shared" si="84"/>
        <v>-302.9765625</v>
      </c>
      <c r="P116" s="614">
        <f t="shared" ref="P116" si="85">+P115*P85+P92*P86</f>
        <v>-166.1484375</v>
      </c>
      <c r="Q116" s="614">
        <f t="shared" si="84"/>
        <v>-225.44600000000003</v>
      </c>
      <c r="R116" s="614">
        <f t="shared" si="84"/>
        <v>-270.80200000000002</v>
      </c>
      <c r="S116" s="590" t="s">
        <v>733</v>
      </c>
      <c r="T116" s="579"/>
      <c r="U116" s="579"/>
      <c r="V116" s="579"/>
      <c r="W116" s="579"/>
      <c r="X116" s="579"/>
      <c r="Y116" s="579"/>
      <c r="Z116" s="579"/>
      <c r="AA116" s="579"/>
      <c r="AC116" s="364">
        <f>HLOOKUP(Start!$B$14,$C$2:$R$338,+AD116, FALSE)</f>
        <v>-1.0936707085706636</v>
      </c>
      <c r="AD116" s="373">
        <f t="shared" si="39"/>
        <v>115</v>
      </c>
    </row>
    <row r="117" spans="1:30" s="339" customFormat="1" x14ac:dyDescent="0.25">
      <c r="A117" s="580" t="s">
        <v>730</v>
      </c>
      <c r="B117" s="999"/>
      <c r="C117" s="564">
        <f t="shared" ref="C117:R117" si="86">+C115*12/16</f>
        <v>-0.44822570023387848</v>
      </c>
      <c r="D117" s="604">
        <f t="shared" si="86"/>
        <v>-9.9712334057981508E-2</v>
      </c>
      <c r="E117" s="604">
        <f t="shared" si="86"/>
        <v>-0.17725041787438697</v>
      </c>
      <c r="F117" s="604">
        <f t="shared" si="86"/>
        <v>-6.1184730095502224E-2</v>
      </c>
      <c r="G117" s="604">
        <f t="shared" si="86"/>
        <v>-2.5984275000000088E-3</v>
      </c>
      <c r="H117" s="604">
        <f t="shared" si="86"/>
        <v>-0.55637299004487895</v>
      </c>
      <c r="I117" s="604">
        <f t="shared" si="86"/>
        <v>-0.68947201944369585</v>
      </c>
      <c r="J117" s="604">
        <f t="shared" si="86"/>
        <v>-1.8882920050481859E-2</v>
      </c>
      <c r="K117" s="604">
        <f t="shared" si="86"/>
        <v>-0.14363253772701834</v>
      </c>
      <c r="L117" s="604">
        <f t="shared" si="86"/>
        <v>-4.3921872701686036E-2</v>
      </c>
      <c r="M117" s="604">
        <f t="shared" si="86"/>
        <v>-0.13142634239999995</v>
      </c>
      <c r="N117" s="604">
        <f t="shared" si="86"/>
        <v>-0.59274915750000012</v>
      </c>
      <c r="O117" s="604">
        <f t="shared" si="86"/>
        <v>-0.34046951097656236</v>
      </c>
      <c r="P117" s="604">
        <f t="shared" ref="P117" si="87">+P115*12/16</f>
        <v>-0.34046951097656236</v>
      </c>
      <c r="Q117" s="604">
        <f t="shared" si="86"/>
        <v>-0.61646450782372952</v>
      </c>
      <c r="R117" s="604">
        <f t="shared" si="86"/>
        <v>-1.1935664390109375</v>
      </c>
      <c r="S117" s="596" t="s">
        <v>731</v>
      </c>
      <c r="T117" s="579"/>
      <c r="U117" s="579"/>
      <c r="V117" s="579"/>
      <c r="W117" s="579"/>
      <c r="X117" s="579"/>
      <c r="Y117" s="579"/>
      <c r="Z117" s="579"/>
      <c r="AA117" s="579"/>
      <c r="AC117" s="364">
        <f>HLOOKUP(Start!$B$14,$C$2:$R$338,+AD117, FALSE)</f>
        <v>-0.44822570023387848</v>
      </c>
      <c r="AD117" s="373">
        <f t="shared" si="39"/>
        <v>116</v>
      </c>
    </row>
    <row r="118" spans="1:30" s="339" customFormat="1" x14ac:dyDescent="0.25">
      <c r="A118" s="580" t="s">
        <v>734</v>
      </c>
      <c r="B118" s="780"/>
      <c r="C118" s="564">
        <f t="shared" ref="C118:R118" si="88">+C116*12/44</f>
        <v>-0.29827382961018095</v>
      </c>
      <c r="D118" s="604">
        <f t="shared" si="88"/>
        <v>-6.635402593676587E-2</v>
      </c>
      <c r="E118" s="604">
        <f t="shared" si="88"/>
        <v>-0.11795209625822842</v>
      </c>
      <c r="F118" s="604">
        <f t="shared" si="88"/>
        <v>-4.8502804221161773E-2</v>
      </c>
      <c r="G118" s="604">
        <f t="shared" si="88"/>
        <v>-20.86937483546857</v>
      </c>
      <c r="H118" s="604">
        <f t="shared" si="88"/>
        <v>-14.238765957446809</v>
      </c>
      <c r="I118" s="604">
        <f t="shared" si="88"/>
        <v>-0.53402741869638992</v>
      </c>
      <c r="J118" s="604">
        <f t="shared" si="88"/>
        <v>-1.4625679893645948E-2</v>
      </c>
      <c r="K118" s="604">
        <f t="shared" si="88"/>
        <v>-0.11124992922129055</v>
      </c>
      <c r="L118" s="604">
        <f t="shared" si="88"/>
        <v>-3.1144600643013734E-2</v>
      </c>
      <c r="M118" s="604">
        <f t="shared" si="88"/>
        <v>-31.726605378131946</v>
      </c>
      <c r="N118" s="604">
        <f t="shared" si="88"/>
        <v>-5.1740593185559689</v>
      </c>
      <c r="O118" s="604">
        <f t="shared" si="88"/>
        <v>-82.629971590909093</v>
      </c>
      <c r="P118" s="604">
        <f t="shared" ref="P118" si="89">+P116*12/44</f>
        <v>-45.313210227272727</v>
      </c>
      <c r="Q118" s="604">
        <f t="shared" si="88"/>
        <v>-61.485272727272736</v>
      </c>
      <c r="R118" s="604">
        <f t="shared" si="88"/>
        <v>-73.855090909090919</v>
      </c>
      <c r="S118" s="596" t="s">
        <v>742</v>
      </c>
      <c r="T118" s="579"/>
      <c r="U118" s="579"/>
      <c r="V118" s="579"/>
      <c r="W118" s="579"/>
      <c r="X118" s="579"/>
      <c r="Y118" s="579"/>
      <c r="Z118" s="579"/>
      <c r="AA118" s="579"/>
      <c r="AC118" s="364">
        <f>HLOOKUP(Start!$B$14,$C$2:$R$338,+AD118, FALSE)</f>
        <v>-0.29827382961018095</v>
      </c>
      <c r="AD118" s="373">
        <f t="shared" si="39"/>
        <v>117</v>
      </c>
    </row>
    <row r="119" spans="1:30" s="339" customFormat="1" x14ac:dyDescent="0.25">
      <c r="A119" s="600" t="s">
        <v>953</v>
      </c>
      <c r="B119" s="1011"/>
      <c r="C119" s="597">
        <f>+C114+C117+C118</f>
        <v>32.800720090634442</v>
      </c>
      <c r="D119" s="597">
        <f t="shared" ref="D119:R119" si="90">+D114+D117+D118</f>
        <v>39.452525958872563</v>
      </c>
      <c r="E119" s="597">
        <f t="shared" si="90"/>
        <v>33.018459114000379</v>
      </c>
      <c r="F119" s="597">
        <f>+F114+F117+F118</f>
        <v>39.339088769938641</v>
      </c>
      <c r="G119" s="597">
        <f>+G114+G117+G118</f>
        <v>12.193124403698199</v>
      </c>
      <c r="H119" s="597">
        <f t="shared" si="90"/>
        <v>33.039844068219708</v>
      </c>
      <c r="I119" s="597">
        <f t="shared" si="90"/>
        <v>46.611483577571306</v>
      </c>
      <c r="J119" s="597">
        <f t="shared" si="90"/>
        <v>59.603134252971948</v>
      </c>
      <c r="K119" s="597">
        <f t="shared" si="90"/>
        <v>46.200769359891325</v>
      </c>
      <c r="L119" s="597">
        <f t="shared" si="90"/>
        <v>53.846540066625529</v>
      </c>
      <c r="M119" s="597">
        <f t="shared" si="90"/>
        <v>19.888706726134696</v>
      </c>
      <c r="N119" s="597">
        <f t="shared" si="90"/>
        <v>51.325614496833495</v>
      </c>
      <c r="O119" s="597">
        <f t="shared" si="90"/>
        <v>41.329558898114342</v>
      </c>
      <c r="P119" s="597">
        <f t="shared" ref="P119" si="91">+P114+P117+P118</f>
        <v>78.646320261750702</v>
      </c>
      <c r="Q119" s="597">
        <f t="shared" si="90"/>
        <v>106.79177137504965</v>
      </c>
      <c r="R119" s="598">
        <f t="shared" si="90"/>
        <v>235.66522459659086</v>
      </c>
      <c r="S119" s="601" t="s">
        <v>684</v>
      </c>
      <c r="T119" s="579"/>
      <c r="U119" s="579"/>
      <c r="V119" s="579"/>
      <c r="W119" s="579"/>
      <c r="X119" s="579"/>
      <c r="Y119" s="579"/>
      <c r="Z119" s="579"/>
      <c r="AA119" s="579"/>
      <c r="AC119" s="364">
        <f>HLOOKUP(Start!$B$14,$C$2:$R$338,+AD119, FALSE)</f>
        <v>32.800720090634442</v>
      </c>
      <c r="AD119" s="373">
        <f t="shared" si="39"/>
        <v>118</v>
      </c>
    </row>
    <row r="120" spans="1:30" s="339" customFormat="1" x14ac:dyDescent="0.25">
      <c r="A120" s="613" t="s">
        <v>737</v>
      </c>
      <c r="B120" s="1014"/>
      <c r="C120" s="614">
        <f t="shared" ref="C120:R120" si="92">-C61*C133</f>
        <v>-1.7929028009355139</v>
      </c>
      <c r="D120" s="614">
        <f t="shared" si="92"/>
        <v>-2.0510114424036705</v>
      </c>
      <c r="E120" s="614">
        <f t="shared" si="92"/>
        <v>-2.0362344191528883</v>
      </c>
      <c r="F120" s="614">
        <f t="shared" si="92"/>
        <v>-2.9463648069472232</v>
      </c>
      <c r="G120" s="614">
        <f t="shared" si="92"/>
        <v>-3.8640905072571098E-2</v>
      </c>
      <c r="H120" s="614">
        <f t="shared" si="92"/>
        <v>-0.49741198093972855</v>
      </c>
      <c r="I120" s="614">
        <f t="shared" si="92"/>
        <v>-2.845997548073234</v>
      </c>
      <c r="J120" s="614">
        <f t="shared" si="92"/>
        <v>-3.5710023338265442</v>
      </c>
      <c r="K120" s="614">
        <f t="shared" si="92"/>
        <v>-3.4994997021773306</v>
      </c>
      <c r="L120" s="614">
        <f t="shared" si="92"/>
        <v>-1.7943970474402551</v>
      </c>
      <c r="M120" s="614">
        <f t="shared" si="92"/>
        <v>-2.3886998800952075E-2</v>
      </c>
      <c r="N120" s="614">
        <f t="shared" si="92"/>
        <v>-0.37186314553054811</v>
      </c>
      <c r="O120" s="614">
        <f t="shared" si="92"/>
        <v>-0.45395934796874982</v>
      </c>
      <c r="P120" s="614">
        <f t="shared" ref="P120" si="93">-P61*P133</f>
        <v>-0.45395934796874982</v>
      </c>
      <c r="Q120" s="614">
        <f t="shared" si="92"/>
        <v>-0.97548671059746728</v>
      </c>
      <c r="R120" s="614">
        <f t="shared" si="92"/>
        <v>-1.7813092713394414</v>
      </c>
      <c r="S120" s="596" t="s">
        <v>722</v>
      </c>
      <c r="T120" s="579"/>
      <c r="U120" s="579"/>
      <c r="V120" s="579"/>
      <c r="W120" s="579"/>
      <c r="X120" s="579"/>
      <c r="Y120" s="579"/>
      <c r="Z120" s="579"/>
      <c r="AA120" s="579"/>
      <c r="AC120" s="364">
        <f>HLOOKUP(Start!$B$14,$C$2:$R$338,+AD120, FALSE)</f>
        <v>-1.7929028009355139</v>
      </c>
      <c r="AD120" s="373">
        <f t="shared" si="39"/>
        <v>119</v>
      </c>
    </row>
    <row r="121" spans="1:30" s="339" customFormat="1" x14ac:dyDescent="0.25">
      <c r="A121" s="613" t="s">
        <v>738</v>
      </c>
      <c r="B121" s="1014"/>
      <c r="C121" s="614">
        <f t="shared" ref="C121:R121" si="94">+C120*C85+C98*C87</f>
        <v>-3.2810121257119906</v>
      </c>
      <c r="D121" s="614">
        <f t="shared" si="94"/>
        <v>-3.7533509395987172</v>
      </c>
      <c r="E121" s="614">
        <f t="shared" si="94"/>
        <v>-3.7263089870497859</v>
      </c>
      <c r="F121" s="614">
        <f t="shared" si="94"/>
        <v>-6.423075279144947</v>
      </c>
      <c r="G121" s="614">
        <f t="shared" si="94"/>
        <v>-102.53961872310026</v>
      </c>
      <c r="H121" s="614">
        <f t="shared" si="94"/>
        <v>-15.957467467899663</v>
      </c>
      <c r="I121" s="614">
        <f t="shared" si="94"/>
        <v>-6.0619747773959878</v>
      </c>
      <c r="J121" s="614">
        <f t="shared" si="94"/>
        <v>-7.6062349710505384</v>
      </c>
      <c r="K121" s="614">
        <f t="shared" si="94"/>
        <v>-7.4539343656377142</v>
      </c>
      <c r="L121" s="614">
        <f t="shared" si="94"/>
        <v>-3.4990742425084975</v>
      </c>
      <c r="M121" s="614">
        <f t="shared" si="94"/>
        <v>-26.854693272950243</v>
      </c>
      <c r="N121" s="614">
        <f t="shared" si="94"/>
        <v>-98.923004554444191</v>
      </c>
      <c r="O121" s="614">
        <f t="shared" si="94"/>
        <v>-23.272183593749993</v>
      </c>
      <c r="P121" s="614">
        <f t="shared" ref="P121" si="95">+P120*P85+P98*P87</f>
        <v>-30.113589843749992</v>
      </c>
      <c r="Q121" s="614">
        <f t="shared" si="94"/>
        <v>-215.95348402101814</v>
      </c>
      <c r="R121" s="614">
        <f t="shared" si="94"/>
        <v>-256.02816941632</v>
      </c>
      <c r="S121" s="590" t="s">
        <v>733</v>
      </c>
      <c r="T121" s="579"/>
      <c r="U121" s="579"/>
      <c r="V121" s="579"/>
      <c r="W121" s="579"/>
      <c r="X121" s="579"/>
      <c r="Y121" s="579"/>
      <c r="Z121" s="579"/>
      <c r="AA121" s="579"/>
      <c r="AC121" s="364">
        <f>HLOOKUP(Start!$B$14,$C$2:$R$338,+AD121, FALSE)</f>
        <v>-3.2810121257119906</v>
      </c>
      <c r="AD121" s="373">
        <f t="shared" si="39"/>
        <v>120</v>
      </c>
    </row>
    <row r="122" spans="1:30" s="339" customFormat="1" x14ac:dyDescent="0.25">
      <c r="A122" s="580" t="s">
        <v>739</v>
      </c>
      <c r="B122" s="999"/>
      <c r="C122" s="604">
        <f t="shared" ref="C122:R122" si="96">+C120*12/16</f>
        <v>-1.3446771007016354</v>
      </c>
      <c r="D122" s="604">
        <f t="shared" si="96"/>
        <v>-1.538258581802753</v>
      </c>
      <c r="E122" s="604">
        <f t="shared" si="96"/>
        <v>-1.5271758143646661</v>
      </c>
      <c r="F122" s="604">
        <f t="shared" si="96"/>
        <v>-2.2097736052104175</v>
      </c>
      <c r="G122" s="604">
        <f t="shared" si="96"/>
        <v>-2.8980678804428325E-2</v>
      </c>
      <c r="H122" s="604">
        <f t="shared" si="96"/>
        <v>-0.3730589857047964</v>
      </c>
      <c r="I122" s="604">
        <f t="shared" si="96"/>
        <v>-2.1344981610549256</v>
      </c>
      <c r="J122" s="604">
        <f t="shared" si="96"/>
        <v>-2.6782517503699079</v>
      </c>
      <c r="K122" s="604">
        <f t="shared" si="96"/>
        <v>-2.6246247766329978</v>
      </c>
      <c r="L122" s="604">
        <f t="shared" si="96"/>
        <v>-1.3457977855801913</v>
      </c>
      <c r="M122" s="604">
        <f t="shared" si="96"/>
        <v>-1.7915249100714056E-2</v>
      </c>
      <c r="N122" s="604">
        <f t="shared" si="96"/>
        <v>-0.27889735914791108</v>
      </c>
      <c r="O122" s="604">
        <f t="shared" si="96"/>
        <v>-0.34046951097656236</v>
      </c>
      <c r="P122" s="604">
        <f t="shared" ref="P122" si="97">+P120*12/16</f>
        <v>-0.34046951097656236</v>
      </c>
      <c r="Q122" s="604">
        <f t="shared" si="96"/>
        <v>-0.73161503294810049</v>
      </c>
      <c r="R122" s="604">
        <f t="shared" si="96"/>
        <v>-1.3359819535045809</v>
      </c>
      <c r="S122" s="596" t="s">
        <v>731</v>
      </c>
      <c r="T122" s="579"/>
      <c r="U122" s="579"/>
      <c r="V122" s="579"/>
      <c r="W122" s="579"/>
      <c r="X122" s="579"/>
      <c r="Y122" s="579"/>
      <c r="Z122" s="579"/>
      <c r="AA122" s="579"/>
      <c r="AC122" s="364">
        <f>HLOOKUP(Start!$B$14,$C$2:$R$338,+AD122, FALSE)</f>
        <v>-1.3446771007016354</v>
      </c>
      <c r="AD122" s="373">
        <f t="shared" si="39"/>
        <v>121</v>
      </c>
    </row>
    <row r="123" spans="1:30" s="339" customFormat="1" x14ac:dyDescent="0.25">
      <c r="A123" s="580" t="s">
        <v>740</v>
      </c>
      <c r="B123" s="780"/>
      <c r="C123" s="604">
        <f t="shared" ref="C123:R123" si="98">+C121*12/44</f>
        <v>-0.89482148883054291</v>
      </c>
      <c r="D123" s="604">
        <f t="shared" si="98"/>
        <v>-1.0236411653451045</v>
      </c>
      <c r="E123" s="604">
        <f t="shared" si="98"/>
        <v>-1.0162660873772145</v>
      </c>
      <c r="F123" s="604">
        <f t="shared" si="98"/>
        <v>-1.7517478034031675</v>
      </c>
      <c r="G123" s="604">
        <f t="shared" si="98"/>
        <v>-27.965350560845526</v>
      </c>
      <c r="H123" s="604">
        <f t="shared" si="98"/>
        <v>-4.3520365821544535</v>
      </c>
      <c r="I123" s="604">
        <f t="shared" si="98"/>
        <v>-1.6532658483807239</v>
      </c>
      <c r="J123" s="604">
        <f t="shared" si="98"/>
        <v>-2.0744277193774194</v>
      </c>
      <c r="K123" s="604">
        <f t="shared" si="98"/>
        <v>-2.0328911906284675</v>
      </c>
      <c r="L123" s="604">
        <f t="shared" si="98"/>
        <v>-0.95429297522959022</v>
      </c>
      <c r="M123" s="604">
        <f t="shared" si="98"/>
        <v>-7.3240072562591569</v>
      </c>
      <c r="N123" s="604">
        <f t="shared" si="98"/>
        <v>-26.979001242121139</v>
      </c>
      <c r="O123" s="604">
        <f t="shared" si="98"/>
        <v>-6.3469591619318173</v>
      </c>
      <c r="P123" s="604">
        <f t="shared" ref="P123" si="99">+P121*12/44</f>
        <v>-8.2127972301136349</v>
      </c>
      <c r="Q123" s="604">
        <f t="shared" si="98"/>
        <v>-58.89640473300495</v>
      </c>
      <c r="R123" s="604">
        <f t="shared" si="98"/>
        <v>-69.825864386269089</v>
      </c>
      <c r="S123" s="596" t="s">
        <v>742</v>
      </c>
      <c r="T123" s="579"/>
      <c r="U123" s="579"/>
      <c r="V123" s="579"/>
      <c r="W123" s="579"/>
      <c r="X123" s="579"/>
      <c r="Y123" s="579"/>
      <c r="Z123" s="579"/>
      <c r="AA123" s="579"/>
      <c r="AC123" s="364">
        <f>HLOOKUP(Start!$B$14,$C$2:$R$338,+AD123, FALSE)</f>
        <v>-0.89482148883054291</v>
      </c>
      <c r="AD123" s="373">
        <f t="shared" si="39"/>
        <v>122</v>
      </c>
    </row>
    <row r="124" spans="1:30" s="339" customFormat="1" x14ac:dyDescent="0.25">
      <c r="A124" s="600" t="s">
        <v>954</v>
      </c>
      <c r="B124" s="1011"/>
      <c r="C124" s="597">
        <f t="shared" ref="C124:R124" si="100">+C119+C122+C123</f>
        <v>30.561221501102263</v>
      </c>
      <c r="D124" s="597">
        <f t="shared" si="100"/>
        <v>36.890626211724708</v>
      </c>
      <c r="E124" s="597">
        <f t="shared" si="100"/>
        <v>30.475017212258496</v>
      </c>
      <c r="F124" s="597">
        <f>+F119+F122+F123</f>
        <v>35.377567361325056</v>
      </c>
      <c r="G124" s="597">
        <f t="shared" si="100"/>
        <v>-15.801206835951755</v>
      </c>
      <c r="H124" s="597">
        <f t="shared" si="100"/>
        <v>28.314748500360459</v>
      </c>
      <c r="I124" s="597">
        <f t="shared" si="100"/>
        <v>42.823719568135651</v>
      </c>
      <c r="J124" s="597">
        <f t="shared" si="100"/>
        <v>54.85045478322462</v>
      </c>
      <c r="K124" s="597">
        <f t="shared" si="100"/>
        <v>41.543253392629858</v>
      </c>
      <c r="L124" s="597">
        <f t="shared" si="100"/>
        <v>51.546449305815749</v>
      </c>
      <c r="M124" s="597">
        <f t="shared" si="100"/>
        <v>12.546784220774825</v>
      </c>
      <c r="N124" s="597">
        <f t="shared" si="100"/>
        <v>24.067715895564444</v>
      </c>
      <c r="O124" s="597">
        <f t="shared" si="100"/>
        <v>34.64213022520596</v>
      </c>
      <c r="P124" s="597">
        <f t="shared" ref="P124" si="101">+P119+P122+P123</f>
        <v>70.093053520660504</v>
      </c>
      <c r="Q124" s="597">
        <f t="shared" si="100"/>
        <v>47.1637516090966</v>
      </c>
      <c r="R124" s="598">
        <f t="shared" si="100"/>
        <v>164.5033782568172</v>
      </c>
      <c r="S124" s="601" t="s">
        <v>688</v>
      </c>
      <c r="T124" s="579"/>
      <c r="U124" s="579"/>
      <c r="V124" s="579"/>
      <c r="W124" s="579"/>
      <c r="X124" s="579"/>
      <c r="Y124" s="579"/>
      <c r="Z124" s="579"/>
      <c r="AA124" s="579"/>
      <c r="AC124" s="364">
        <f>HLOOKUP(Start!$B$14,$C$2:$R$338,+AD124, FALSE)</f>
        <v>30.561221501102263</v>
      </c>
      <c r="AD124" s="373">
        <f t="shared" si="39"/>
        <v>123</v>
      </c>
    </row>
    <row r="125" spans="1:30" s="339" customFormat="1" x14ac:dyDescent="0.25">
      <c r="A125" s="577"/>
      <c r="B125" s="999"/>
      <c r="C125" s="558"/>
      <c r="D125" s="558"/>
      <c r="E125" s="558"/>
      <c r="F125" s="558"/>
      <c r="G125" s="558"/>
      <c r="H125" s="558"/>
      <c r="I125" s="558"/>
      <c r="J125" s="558"/>
      <c r="K125" s="558"/>
      <c r="L125" s="558"/>
      <c r="M125" s="558"/>
      <c r="N125" s="558"/>
      <c r="O125" s="558"/>
      <c r="P125" s="558"/>
      <c r="Q125" s="558"/>
      <c r="R125" s="558"/>
      <c r="S125" s="586"/>
      <c r="T125" s="579"/>
      <c r="U125" s="579"/>
      <c r="V125" s="579"/>
      <c r="W125" s="579"/>
      <c r="X125" s="579"/>
      <c r="Y125" s="579"/>
      <c r="Z125" s="579"/>
      <c r="AA125" s="579"/>
      <c r="AC125" s="364">
        <f>HLOOKUP(Start!$B$14,$C$2:$R$338,+AD125, FALSE)</f>
        <v>0</v>
      </c>
      <c r="AD125" s="373">
        <f t="shared" si="39"/>
        <v>124</v>
      </c>
    </row>
    <row r="126" spans="1:30" s="339" customFormat="1" ht="18.75" x14ac:dyDescent="0.25">
      <c r="A126" s="573" t="s">
        <v>939</v>
      </c>
      <c r="B126" s="1000"/>
      <c r="C126" s="559"/>
      <c r="D126" s="559"/>
      <c r="E126" s="559"/>
      <c r="F126" s="559"/>
      <c r="G126" s="559"/>
      <c r="H126" s="559"/>
      <c r="I126" s="559"/>
      <c r="J126" s="559"/>
      <c r="K126" s="559"/>
      <c r="L126" s="559"/>
      <c r="M126" s="559"/>
      <c r="N126" s="559"/>
      <c r="O126" s="559"/>
      <c r="P126" s="559"/>
      <c r="Q126" s="559"/>
      <c r="R126" s="560"/>
      <c r="S126" s="586"/>
      <c r="T126" s="579"/>
      <c r="U126" s="579"/>
      <c r="V126" s="579"/>
      <c r="W126" s="579"/>
      <c r="X126" s="579"/>
      <c r="Y126" s="579"/>
      <c r="Z126" s="579"/>
      <c r="AA126" s="579"/>
      <c r="AC126" s="364">
        <f>HLOOKUP(Start!$B$14,$C$2:$R$338,+AD126, FALSE)</f>
        <v>0</v>
      </c>
      <c r="AD126" s="373">
        <f t="shared" si="39"/>
        <v>125</v>
      </c>
    </row>
    <row r="127" spans="1:30" s="339" customFormat="1" ht="38.25" x14ac:dyDescent="0.25">
      <c r="A127" s="580" t="s">
        <v>679</v>
      </c>
      <c r="B127" s="875"/>
      <c r="C127" s="562" t="s">
        <v>680</v>
      </c>
      <c r="D127" s="562" t="s">
        <v>680</v>
      </c>
      <c r="E127" s="562" t="s">
        <v>680</v>
      </c>
      <c r="F127" s="562" t="s">
        <v>680</v>
      </c>
      <c r="G127" s="562" t="s">
        <v>680</v>
      </c>
      <c r="H127" s="562" t="s">
        <v>680</v>
      </c>
      <c r="I127" s="562" t="s">
        <v>680</v>
      </c>
      <c r="J127" s="562" t="s">
        <v>680</v>
      </c>
      <c r="K127" s="562" t="s">
        <v>680</v>
      </c>
      <c r="L127" s="562" t="s">
        <v>680</v>
      </c>
      <c r="M127" s="562" t="s">
        <v>680</v>
      </c>
      <c r="N127" s="562" t="s">
        <v>680</v>
      </c>
      <c r="O127" s="562" t="s">
        <v>680</v>
      </c>
      <c r="P127" s="562" t="s">
        <v>680</v>
      </c>
      <c r="Q127" s="562" t="s">
        <v>680</v>
      </c>
      <c r="R127" s="562" t="s">
        <v>680</v>
      </c>
      <c r="S127" s="586"/>
      <c r="T127" s="579"/>
      <c r="U127" s="579"/>
      <c r="V127" s="579"/>
      <c r="W127" s="579"/>
      <c r="X127" s="579"/>
      <c r="Y127" s="579"/>
      <c r="Z127" s="579"/>
      <c r="AA127" s="579"/>
      <c r="AC127" s="364" t="str">
        <f>HLOOKUP(Start!$B$14,$C$2:$R$338,+AD127, FALSE)</f>
        <v>1 t of manure 
ex-animal</v>
      </c>
      <c r="AD127" s="373">
        <f t="shared" si="39"/>
        <v>126</v>
      </c>
    </row>
    <row r="128" spans="1:30" s="339" customFormat="1" x14ac:dyDescent="0.25">
      <c r="A128" s="581" t="s">
        <v>728</v>
      </c>
      <c r="B128" s="1008"/>
      <c r="C128" s="605">
        <f t="shared" ref="C128:R128" si="102">+C10</f>
        <v>60.363134438496928</v>
      </c>
      <c r="D128" s="605">
        <f t="shared" si="102"/>
        <v>56.639380838927089</v>
      </c>
      <c r="E128" s="605">
        <f t="shared" si="102"/>
        <v>56.269973928376807</v>
      </c>
      <c r="F128" s="605">
        <f t="shared" si="102"/>
        <v>75.841705260736191</v>
      </c>
      <c r="G128" s="605">
        <f t="shared" si="102"/>
        <v>57.455555555555726</v>
      </c>
      <c r="H128" s="605">
        <f t="shared" si="102"/>
        <v>86.373128447596301</v>
      </c>
      <c r="I128" s="605">
        <f t="shared" si="102"/>
        <v>98.146417506813776</v>
      </c>
      <c r="J128" s="605">
        <f t="shared" si="102"/>
        <v>92.620990902029916</v>
      </c>
      <c r="K128" s="605">
        <f t="shared" si="102"/>
        <v>85.115577912307145</v>
      </c>
      <c r="L128" s="605">
        <f t="shared" si="102"/>
        <v>99.06450983285184</v>
      </c>
      <c r="M128" s="605">
        <f t="shared" si="102"/>
        <v>90.814222222222185</v>
      </c>
      <c r="N128" s="605">
        <f t="shared" si="102"/>
        <v>175.62938000000003</v>
      </c>
      <c r="O128" s="605">
        <f t="shared" si="102"/>
        <v>231.64145833333322</v>
      </c>
      <c r="P128" s="605">
        <f t="shared" ref="P128" si="103">+P10</f>
        <v>231.64145833333322</v>
      </c>
      <c r="Q128" s="605">
        <f t="shared" si="102"/>
        <v>249.07656881766849</v>
      </c>
      <c r="R128" s="582">
        <f t="shared" si="102"/>
        <v>589.41552543749992</v>
      </c>
      <c r="S128" s="586"/>
      <c r="T128" s="579"/>
      <c r="U128" s="579"/>
      <c r="V128" s="579"/>
      <c r="W128" s="579"/>
      <c r="X128" s="579"/>
      <c r="Y128" s="579"/>
      <c r="Z128" s="579"/>
      <c r="AA128" s="579"/>
      <c r="AC128" s="364">
        <f>HLOOKUP(Start!$B$14,$C$2:$R$338,+AD128, FALSE)</f>
        <v>60.363134438496928</v>
      </c>
      <c r="AD128" s="373">
        <f t="shared" si="39"/>
        <v>127</v>
      </c>
    </row>
    <row r="129" spans="1:30" s="339" customFormat="1" x14ac:dyDescent="0.25">
      <c r="A129" s="580" t="s">
        <v>940</v>
      </c>
      <c r="B129" s="780"/>
      <c r="C129" s="564">
        <f t="shared" ref="C129:R129" si="104">+C117+C118</f>
        <v>-0.74649952984405943</v>
      </c>
      <c r="D129" s="604">
        <f t="shared" si="104"/>
        <v>-0.16606635999474739</v>
      </c>
      <c r="E129" s="604">
        <f t="shared" si="104"/>
        <v>-0.29520251413261539</v>
      </c>
      <c r="F129" s="604">
        <f t="shared" si="104"/>
        <v>-0.109687534316664</v>
      </c>
      <c r="G129" s="604">
        <f t="shared" si="104"/>
        <v>-20.87197326296857</v>
      </c>
      <c r="H129" s="604">
        <f t="shared" si="104"/>
        <v>-14.795138947491688</v>
      </c>
      <c r="I129" s="604">
        <f t="shared" si="104"/>
        <v>-1.2234994381400859</v>
      </c>
      <c r="J129" s="604">
        <f t="shared" si="104"/>
        <v>-3.3508599944127804E-2</v>
      </c>
      <c r="K129" s="604">
        <f t="shared" si="104"/>
        <v>-0.25488246694830891</v>
      </c>
      <c r="L129" s="604">
        <f t="shared" si="104"/>
        <v>-7.5066473344699763E-2</v>
      </c>
      <c r="M129" s="604">
        <f t="shared" si="104"/>
        <v>-31.858031720531947</v>
      </c>
      <c r="N129" s="604">
        <f t="shared" si="104"/>
        <v>-5.766808476055969</v>
      </c>
      <c r="O129" s="604">
        <f t="shared" si="104"/>
        <v>-82.970441101885655</v>
      </c>
      <c r="P129" s="604">
        <f t="shared" ref="P129" si="105">+P117+P118</f>
        <v>-45.653679738249288</v>
      </c>
      <c r="Q129" s="604">
        <f t="shared" si="104"/>
        <v>-62.101737235096465</v>
      </c>
      <c r="R129" s="604">
        <f t="shared" si="104"/>
        <v>-75.048657348101855</v>
      </c>
      <c r="S129" s="596"/>
      <c r="T129" s="579"/>
      <c r="U129" s="579"/>
      <c r="V129" s="579"/>
      <c r="W129" s="579"/>
      <c r="X129" s="579"/>
      <c r="Y129" s="579"/>
      <c r="Z129" s="579"/>
      <c r="AA129" s="579"/>
      <c r="AC129" s="364">
        <f>HLOOKUP(Start!$B$14,$C$2:$R$338,+AD129, FALSE)</f>
        <v>-0.74649952984405943</v>
      </c>
      <c r="AD129" s="373">
        <f t="shared" si="39"/>
        <v>128</v>
      </c>
    </row>
    <row r="130" spans="1:30" s="339" customFormat="1" x14ac:dyDescent="0.25">
      <c r="A130" s="580" t="s">
        <v>941</v>
      </c>
      <c r="B130" s="780"/>
      <c r="C130" s="564">
        <f t="shared" ref="C130:R130" si="106">+C92+C93+C94+C95+C96</f>
        <v>-0.73579600000000001</v>
      </c>
      <c r="D130" s="604">
        <f t="shared" si="106"/>
        <v>-0.77249449803921566</v>
      </c>
      <c r="E130" s="604">
        <f t="shared" si="106"/>
        <v>-0.50103251891891898</v>
      </c>
      <c r="F130" s="604">
        <f t="shared" si="106"/>
        <v>-0.99832221347648287</v>
      </c>
      <c r="G130" s="604">
        <f t="shared" si="106"/>
        <v>-2.1702864612811918</v>
      </c>
      <c r="H130" s="604">
        <f t="shared" si="106"/>
        <v>-2.1352978723404252</v>
      </c>
      <c r="I130" s="604">
        <f t="shared" si="106"/>
        <v>-0.63551942081447954</v>
      </c>
      <c r="J130" s="604">
        <f t="shared" si="106"/>
        <v>-0.3840469647058824</v>
      </c>
      <c r="K130" s="604">
        <f t="shared" si="106"/>
        <v>-0.45922635135135143</v>
      </c>
      <c r="L130" s="604">
        <f t="shared" si="106"/>
        <v>-0.30811475427120549</v>
      </c>
      <c r="M130" s="604">
        <f t="shared" si="106"/>
        <v>-3.000646130397608</v>
      </c>
      <c r="N130" s="604">
        <f t="shared" si="106"/>
        <v>-0.96841735645457938</v>
      </c>
      <c r="O130" s="604">
        <f t="shared" si="106"/>
        <v>-8.1253980654761904</v>
      </c>
      <c r="P130" s="604">
        <f t="shared" ref="P130" si="107">+P92+P93+P94+P95+P96</f>
        <v>-5.9535230654761904</v>
      </c>
      <c r="Q130" s="604">
        <f t="shared" si="106"/>
        <v>-5.3114510344827597</v>
      </c>
      <c r="R130" s="604">
        <f t="shared" si="106"/>
        <v>-8.6124725866666658</v>
      </c>
      <c r="S130" s="596"/>
      <c r="T130" s="579"/>
      <c r="U130" s="579"/>
      <c r="V130" s="579"/>
      <c r="W130" s="579"/>
      <c r="X130" s="579"/>
      <c r="Y130" s="579"/>
      <c r="Z130" s="579"/>
      <c r="AA130" s="579"/>
      <c r="AC130" s="364">
        <f>HLOOKUP(Start!$B$14,$C$2:$R$338,+AD130, FALSE)</f>
        <v>-0.73579600000000001</v>
      </c>
      <c r="AD130" s="373">
        <f t="shared" si="39"/>
        <v>129</v>
      </c>
    </row>
    <row r="131" spans="1:30" s="339" customFormat="1" x14ac:dyDescent="0.25">
      <c r="A131" s="580" t="s">
        <v>942</v>
      </c>
      <c r="B131" s="780"/>
      <c r="C131" s="564">
        <f>+C129+C130</f>
        <v>-1.4822955298440594</v>
      </c>
      <c r="D131" s="604">
        <f t="shared" ref="D131:R131" si="108">+D129+D130</f>
        <v>-0.93856085803396305</v>
      </c>
      <c r="E131" s="604">
        <f t="shared" si="108"/>
        <v>-0.79623503305153442</v>
      </c>
      <c r="F131" s="604">
        <f t="shared" si="108"/>
        <v>-1.108009747793147</v>
      </c>
      <c r="G131" s="604">
        <f t="shared" si="108"/>
        <v>-23.04225972424976</v>
      </c>
      <c r="H131" s="604">
        <f t="shared" si="108"/>
        <v>-16.930436819832114</v>
      </c>
      <c r="I131" s="604">
        <f t="shared" si="108"/>
        <v>-1.8590188589545655</v>
      </c>
      <c r="J131" s="604">
        <f t="shared" si="108"/>
        <v>-0.4175555646500102</v>
      </c>
      <c r="K131" s="604">
        <f t="shared" si="108"/>
        <v>-0.71410881829966033</v>
      </c>
      <c r="L131" s="604">
        <f t="shared" si="108"/>
        <v>-0.38318122761590523</v>
      </c>
      <c r="M131" s="604">
        <f t="shared" si="108"/>
        <v>-34.858677850929553</v>
      </c>
      <c r="N131" s="604">
        <f t="shared" si="108"/>
        <v>-6.7352258325105483</v>
      </c>
      <c r="O131" s="604">
        <f t="shared" si="108"/>
        <v>-91.095839167361845</v>
      </c>
      <c r="P131" s="604">
        <f t="shared" ref="P131" si="109">+P129+P130</f>
        <v>-51.607202803725478</v>
      </c>
      <c r="Q131" s="604">
        <f t="shared" si="108"/>
        <v>-67.413188269579223</v>
      </c>
      <c r="R131" s="604">
        <f t="shared" si="108"/>
        <v>-83.661129934768525</v>
      </c>
      <c r="S131" s="596" t="s">
        <v>735</v>
      </c>
      <c r="T131" s="579"/>
      <c r="U131" s="579"/>
      <c r="V131" s="579"/>
      <c r="W131" s="579"/>
      <c r="X131" s="579"/>
      <c r="Y131" s="579"/>
      <c r="Z131" s="579"/>
      <c r="AA131" s="579"/>
      <c r="AC131" s="364">
        <f>HLOOKUP(Start!$B$14,$C$2:$R$338,+AD131, FALSE)</f>
        <v>-1.4822955298440594</v>
      </c>
      <c r="AD131" s="373">
        <f t="shared" si="39"/>
        <v>130</v>
      </c>
    </row>
    <row r="132" spans="1:30" s="339" customFormat="1" ht="15" customHeight="1" x14ac:dyDescent="0.25">
      <c r="A132" s="580" t="s">
        <v>943</v>
      </c>
      <c r="B132" s="780"/>
      <c r="C132" s="564">
        <f t="shared" ref="C132:R132" si="110">3.16*C115</f>
        <v>-1.8885242836520748</v>
      </c>
      <c r="D132" s="604">
        <f t="shared" si="110"/>
        <v>-0.42012130083096211</v>
      </c>
      <c r="E132" s="604">
        <f t="shared" si="110"/>
        <v>-0.74681509397741719</v>
      </c>
      <c r="F132" s="604">
        <f t="shared" si="110"/>
        <v>-0.25779166280238275</v>
      </c>
      <c r="G132" s="604">
        <f t="shared" si="110"/>
        <v>-1.0948041200000038E-2</v>
      </c>
      <c r="H132" s="604">
        <f t="shared" si="110"/>
        <v>-2.3441848647224233</v>
      </c>
      <c r="I132" s="604">
        <f t="shared" si="110"/>
        <v>-2.904975441922772</v>
      </c>
      <c r="J132" s="604">
        <f t="shared" si="110"/>
        <v>-7.9560036479363577E-2</v>
      </c>
      <c r="K132" s="604">
        <f t="shared" si="110"/>
        <v>-0.60517175895650388</v>
      </c>
      <c r="L132" s="604">
        <f t="shared" si="110"/>
        <v>-0.18505749031643717</v>
      </c>
      <c r="M132" s="604">
        <f t="shared" si="110"/>
        <v>-0.55374298931199983</v>
      </c>
      <c r="N132" s="604">
        <f t="shared" si="110"/>
        <v>-2.4974497836000009</v>
      </c>
      <c r="O132" s="604">
        <f t="shared" si="110"/>
        <v>-1.4345115395812496</v>
      </c>
      <c r="P132" s="604">
        <f t="shared" ref="P132" si="111">3.16*P115</f>
        <v>-1.4345115395812496</v>
      </c>
      <c r="Q132" s="604">
        <f t="shared" si="110"/>
        <v>-2.5973704596306471</v>
      </c>
      <c r="R132" s="604">
        <f t="shared" si="110"/>
        <v>-5.0288932630327503</v>
      </c>
      <c r="S132" s="596" t="s">
        <v>944</v>
      </c>
      <c r="T132" s="579"/>
      <c r="U132" s="579"/>
      <c r="V132" s="579"/>
      <c r="W132" s="579"/>
      <c r="X132" s="579"/>
      <c r="Y132" s="579"/>
      <c r="Z132" s="579"/>
      <c r="AA132" s="579"/>
      <c r="AC132" s="364">
        <f>HLOOKUP(Start!$B$14,$C$2:$R$338,+AD132, FALSE)</f>
        <v>-1.8885242836520748</v>
      </c>
      <c r="AD132" s="373">
        <f t="shared" si="39"/>
        <v>131</v>
      </c>
    </row>
    <row r="133" spans="1:30" s="339" customFormat="1" x14ac:dyDescent="0.25">
      <c r="A133" s="581" t="s">
        <v>736</v>
      </c>
      <c r="B133" s="1008"/>
      <c r="C133" s="605">
        <f t="shared" ref="C133:R133" si="112">+C128+C132</f>
        <v>58.474610154844854</v>
      </c>
      <c r="D133" s="605">
        <f t="shared" si="112"/>
        <v>56.219259538096125</v>
      </c>
      <c r="E133" s="605">
        <f t="shared" si="112"/>
        <v>55.523158834399389</v>
      </c>
      <c r="F133" s="605">
        <f>+F128+F132</f>
        <v>75.583913597933815</v>
      </c>
      <c r="G133" s="605">
        <f t="shared" si="112"/>
        <v>57.444607514355724</v>
      </c>
      <c r="H133" s="605">
        <f t="shared" si="112"/>
        <v>84.028943582873879</v>
      </c>
      <c r="I133" s="605">
        <f t="shared" si="112"/>
        <v>95.241442064891004</v>
      </c>
      <c r="J133" s="605">
        <f t="shared" si="112"/>
        <v>92.541430865550552</v>
      </c>
      <c r="K133" s="605">
        <f t="shared" si="112"/>
        <v>84.510406153350644</v>
      </c>
      <c r="L133" s="605">
        <f t="shared" si="112"/>
        <v>98.879452342535401</v>
      </c>
      <c r="M133" s="605">
        <f t="shared" si="112"/>
        <v>90.260479232910185</v>
      </c>
      <c r="N133" s="605">
        <f t="shared" si="112"/>
        <v>173.13193021640004</v>
      </c>
      <c r="O133" s="605">
        <f t="shared" si="112"/>
        <v>230.20694679375197</v>
      </c>
      <c r="P133" s="605">
        <f t="shared" ref="P133" si="113">+P128+P132</f>
        <v>230.20694679375197</v>
      </c>
      <c r="Q133" s="605">
        <f t="shared" si="112"/>
        <v>246.47919835803785</v>
      </c>
      <c r="R133" s="605">
        <f t="shared" si="112"/>
        <v>584.3866321744672</v>
      </c>
      <c r="S133" s="596" t="s">
        <v>945</v>
      </c>
      <c r="T133" s="579"/>
      <c r="U133" s="579"/>
      <c r="V133" s="579"/>
      <c r="W133" s="579"/>
      <c r="X133" s="579"/>
      <c r="Y133" s="579"/>
      <c r="Z133" s="579"/>
      <c r="AA133" s="579"/>
      <c r="AC133" s="364">
        <f>HLOOKUP(Start!$B$14,$C$2:$R$338,+AD133, FALSE)</f>
        <v>58.474610154844854</v>
      </c>
      <c r="AD133" s="373">
        <f t="shared" si="39"/>
        <v>132</v>
      </c>
    </row>
    <row r="134" spans="1:30" s="339" customFormat="1" x14ac:dyDescent="0.25">
      <c r="A134" s="580" t="s">
        <v>940</v>
      </c>
      <c r="B134" s="780"/>
      <c r="C134" s="564">
        <f t="shared" ref="C134:R134" si="114">+C122+C123</f>
        <v>-2.2394985895321784</v>
      </c>
      <c r="D134" s="604">
        <f t="shared" si="114"/>
        <v>-2.5618997471478577</v>
      </c>
      <c r="E134" s="604">
        <f t="shared" si="114"/>
        <v>-2.5434419017418808</v>
      </c>
      <c r="F134" s="604">
        <f t="shared" si="114"/>
        <v>-3.961521408613585</v>
      </c>
      <c r="G134" s="604">
        <f t="shared" si="114"/>
        <v>-27.994331239649952</v>
      </c>
      <c r="H134" s="604">
        <f t="shared" si="114"/>
        <v>-4.7250955678592499</v>
      </c>
      <c r="I134" s="604">
        <f t="shared" si="114"/>
        <v>-3.7877640094356497</v>
      </c>
      <c r="J134" s="604">
        <f t="shared" si="114"/>
        <v>-4.7526794697473278</v>
      </c>
      <c r="K134" s="604">
        <f t="shared" si="114"/>
        <v>-4.6575159672614657</v>
      </c>
      <c r="L134" s="604">
        <f t="shared" si="114"/>
        <v>-2.3000907608097814</v>
      </c>
      <c r="M134" s="604">
        <f t="shared" si="114"/>
        <v>-7.3419225053598707</v>
      </c>
      <c r="N134" s="604">
        <f t="shared" si="114"/>
        <v>-27.257898601269051</v>
      </c>
      <c r="O134" s="604">
        <f t="shared" si="114"/>
        <v>-6.6874286729083794</v>
      </c>
      <c r="P134" s="604">
        <f t="shared" ref="P134" si="115">+P122+P123</f>
        <v>-8.5532667410901979</v>
      </c>
      <c r="Q134" s="604">
        <f t="shared" si="114"/>
        <v>-59.628019765953049</v>
      </c>
      <c r="R134" s="604">
        <f t="shared" si="114"/>
        <v>-71.161846339773675</v>
      </c>
      <c r="S134" s="596"/>
      <c r="T134" s="579"/>
      <c r="U134" s="579"/>
      <c r="V134" s="579"/>
      <c r="W134" s="579"/>
      <c r="X134" s="579"/>
      <c r="Y134" s="579"/>
      <c r="Z134" s="579"/>
      <c r="AA134" s="579"/>
      <c r="AC134" s="364">
        <f>HLOOKUP(Start!$B$14,$C$2:$R$338,+AD134, FALSE)</f>
        <v>-2.2394985895321784</v>
      </c>
      <c r="AD134" s="373">
        <f t="shared" si="39"/>
        <v>133</v>
      </c>
    </row>
    <row r="135" spans="1:30" s="339" customFormat="1" x14ac:dyDescent="0.25">
      <c r="A135" s="580" t="s">
        <v>941</v>
      </c>
      <c r="B135" s="780"/>
      <c r="C135" s="604">
        <f t="shared" ref="C135:R135" si="116">+C98+C99+C100+C101+C102</f>
        <v>-0.13173253114000003</v>
      </c>
      <c r="D135" s="604">
        <f t="shared" si="116"/>
        <v>-0.55158324435110373</v>
      </c>
      <c r="E135" s="604">
        <f t="shared" si="116"/>
        <v>-0.51425911843828787</v>
      </c>
      <c r="F135" s="604">
        <f t="shared" si="116"/>
        <v>-0.27650782978903649</v>
      </c>
      <c r="G135" s="604">
        <f t="shared" si="116"/>
        <v>-2.2055565792669429</v>
      </c>
      <c r="H135" s="604">
        <f t="shared" si="116"/>
        <v>-0.59606413883500931</v>
      </c>
      <c r="I135" s="604">
        <f t="shared" si="116"/>
        <v>-0.15031671684460954</v>
      </c>
      <c r="J135" s="604">
        <f t="shared" si="116"/>
        <v>-0.48498811799626862</v>
      </c>
      <c r="K135" s="604">
        <f t="shared" si="116"/>
        <v>-0.4372266044001501</v>
      </c>
      <c r="L135" s="604">
        <f t="shared" si="116"/>
        <v>-0.241375962805157</v>
      </c>
      <c r="M135" s="604">
        <f t="shared" si="116"/>
        <v>-0.76725856438190765</v>
      </c>
      <c r="N135" s="604">
        <f t="shared" si="116"/>
        <v>-1.6194306365578652</v>
      </c>
      <c r="O135" s="604">
        <f t="shared" si="116"/>
        <v>-1.0524191599702377</v>
      </c>
      <c r="P135" s="604">
        <f t="shared" ref="P135" si="117">+P98+P99+P100+P101+P102</f>
        <v>-1.3595222849702377</v>
      </c>
      <c r="Q135" s="604">
        <f t="shared" si="116"/>
        <v>-4.6669276001041862</v>
      </c>
      <c r="R135" s="604">
        <f t="shared" si="116"/>
        <v>-6.7824632951786663</v>
      </c>
      <c r="S135" s="596"/>
      <c r="T135" s="579"/>
      <c r="U135" s="579"/>
      <c r="V135" s="579"/>
      <c r="W135" s="579"/>
      <c r="X135" s="579"/>
      <c r="Y135" s="579"/>
      <c r="Z135" s="579"/>
      <c r="AA135" s="579"/>
      <c r="AC135" s="364">
        <f>HLOOKUP(Start!$B$14,$C$2:$R$338,+AD135, FALSE)</f>
        <v>-0.13173253114000003</v>
      </c>
      <c r="AD135" s="373">
        <f t="shared" ref="AD135:AD198" si="118">+AD134+1</f>
        <v>134</v>
      </c>
    </row>
    <row r="136" spans="1:30" s="339" customFormat="1" x14ac:dyDescent="0.25">
      <c r="A136" s="580" t="s">
        <v>942</v>
      </c>
      <c r="B136" s="780"/>
      <c r="C136" s="564">
        <f>+C134+C135</f>
        <v>-2.3712311206721783</v>
      </c>
      <c r="D136" s="604">
        <f t="shared" ref="D136:R136" si="119">+D134+D135</f>
        <v>-3.1134829914989615</v>
      </c>
      <c r="E136" s="604">
        <f t="shared" si="119"/>
        <v>-3.0577010201801684</v>
      </c>
      <c r="F136" s="604">
        <f t="shared" si="119"/>
        <v>-4.2380292384026212</v>
      </c>
      <c r="G136" s="604">
        <f t="shared" si="119"/>
        <v>-30.199887818916896</v>
      </c>
      <c r="H136" s="604">
        <f t="shared" si="119"/>
        <v>-5.3211597066942593</v>
      </c>
      <c r="I136" s="604">
        <f t="shared" si="119"/>
        <v>-3.9380807262802593</v>
      </c>
      <c r="J136" s="604">
        <f t="shared" si="119"/>
        <v>-5.2376675877435961</v>
      </c>
      <c r="K136" s="604">
        <f t="shared" si="119"/>
        <v>-5.0947425716616159</v>
      </c>
      <c r="L136" s="604">
        <f t="shared" si="119"/>
        <v>-2.5414667236149384</v>
      </c>
      <c r="M136" s="604">
        <f t="shared" si="119"/>
        <v>-8.1091810697417781</v>
      </c>
      <c r="N136" s="604">
        <f t="shared" si="119"/>
        <v>-28.877329237826917</v>
      </c>
      <c r="O136" s="604">
        <f t="shared" si="119"/>
        <v>-7.7398478328786169</v>
      </c>
      <c r="P136" s="604">
        <f t="shared" ref="P136" si="120">+P134+P135</f>
        <v>-9.9127890260604357</v>
      </c>
      <c r="Q136" s="604">
        <f t="shared" si="119"/>
        <v>-64.294947366057229</v>
      </c>
      <c r="R136" s="604">
        <f t="shared" si="119"/>
        <v>-77.944309634952347</v>
      </c>
      <c r="S136" s="596" t="s">
        <v>735</v>
      </c>
      <c r="T136" s="579"/>
      <c r="U136" s="579"/>
      <c r="V136" s="579"/>
      <c r="W136" s="579"/>
      <c r="X136" s="579"/>
      <c r="Y136" s="579"/>
      <c r="Z136" s="579"/>
      <c r="AA136" s="579"/>
      <c r="AC136" s="364">
        <f>HLOOKUP(Start!$B$14,$C$2:$R$338,+AD136, FALSE)</f>
        <v>-2.3712311206721783</v>
      </c>
      <c r="AD136" s="373">
        <f t="shared" si="118"/>
        <v>135</v>
      </c>
    </row>
    <row r="137" spans="1:30" s="339" customFormat="1" ht="15" customHeight="1" x14ac:dyDescent="0.25">
      <c r="A137" s="580" t="s">
        <v>943</v>
      </c>
      <c r="B137" s="780"/>
      <c r="C137" s="564">
        <f t="shared" ref="C137:R137" si="121">3.16*C120</f>
        <v>-5.6655728509562238</v>
      </c>
      <c r="D137" s="604">
        <f t="shared" si="121"/>
        <v>-6.4811961579955994</v>
      </c>
      <c r="E137" s="604">
        <f t="shared" si="121"/>
        <v>-6.4345007645231274</v>
      </c>
      <c r="F137" s="604">
        <f t="shared" si="121"/>
        <v>-9.3105127899532256</v>
      </c>
      <c r="G137" s="604">
        <f t="shared" si="121"/>
        <v>-0.12210526002932467</v>
      </c>
      <c r="H137" s="604">
        <f t="shared" si="121"/>
        <v>-1.5718218597695424</v>
      </c>
      <c r="I137" s="604">
        <f t="shared" si="121"/>
        <v>-8.9933522519114195</v>
      </c>
      <c r="J137" s="604">
        <f t="shared" si="121"/>
        <v>-11.284367374891881</v>
      </c>
      <c r="K137" s="604">
        <f t="shared" si="121"/>
        <v>-11.058419058880366</v>
      </c>
      <c r="L137" s="604">
        <f t="shared" si="121"/>
        <v>-5.6702946699112067</v>
      </c>
      <c r="M137" s="604">
        <f t="shared" si="121"/>
        <v>-7.5482916211008555E-2</v>
      </c>
      <c r="N137" s="604">
        <f t="shared" si="121"/>
        <v>-1.1750875398765321</v>
      </c>
      <c r="O137" s="604">
        <f t="shared" si="121"/>
        <v>-1.4345115395812496</v>
      </c>
      <c r="P137" s="604">
        <f t="shared" ref="P137" si="122">3.16*P120</f>
        <v>-1.4345115395812496</v>
      </c>
      <c r="Q137" s="604">
        <f t="shared" si="121"/>
        <v>-3.0825380054879967</v>
      </c>
      <c r="R137" s="604">
        <f t="shared" si="121"/>
        <v>-5.6289372974326355</v>
      </c>
      <c r="S137" s="596" t="s">
        <v>944</v>
      </c>
      <c r="T137" s="579"/>
      <c r="U137" s="579"/>
      <c r="V137" s="579"/>
      <c r="W137" s="579"/>
      <c r="X137" s="579"/>
      <c r="Y137" s="579"/>
      <c r="Z137" s="579"/>
      <c r="AA137" s="579"/>
      <c r="AC137" s="364">
        <f>HLOOKUP(Start!$B$14,$C$2:$R$338,+AD137, FALSE)</f>
        <v>-5.6655728509562238</v>
      </c>
      <c r="AD137" s="373">
        <f t="shared" si="118"/>
        <v>136</v>
      </c>
    </row>
    <row r="138" spans="1:30" s="339" customFormat="1" x14ac:dyDescent="0.25">
      <c r="A138" s="581" t="s">
        <v>741</v>
      </c>
      <c r="B138" s="1008"/>
      <c r="C138" s="605">
        <f t="shared" ref="C138:R138" si="123">+C133+C137</f>
        <v>52.80903730388863</v>
      </c>
      <c r="D138" s="605">
        <f t="shared" si="123"/>
        <v>49.738063380100527</v>
      </c>
      <c r="E138" s="605">
        <f t="shared" si="123"/>
        <v>49.08865806987626</v>
      </c>
      <c r="F138" s="605">
        <f>+F133+F137</f>
        <v>66.273400807980593</v>
      </c>
      <c r="G138" s="605">
        <f t="shared" si="123"/>
        <v>57.322502254326402</v>
      </c>
      <c r="H138" s="605">
        <f t="shared" si="123"/>
        <v>82.457121723104336</v>
      </c>
      <c r="I138" s="605">
        <f t="shared" si="123"/>
        <v>86.248089812979586</v>
      </c>
      <c r="J138" s="605">
        <f t="shared" si="123"/>
        <v>81.257063490658666</v>
      </c>
      <c r="K138" s="605">
        <f t="shared" si="123"/>
        <v>73.451987094470283</v>
      </c>
      <c r="L138" s="605">
        <f t="shared" si="123"/>
        <v>93.209157672624201</v>
      </c>
      <c r="M138" s="605">
        <f t="shared" si="123"/>
        <v>90.18499631669917</v>
      </c>
      <c r="N138" s="605">
        <f t="shared" si="123"/>
        <v>171.95684267652351</v>
      </c>
      <c r="O138" s="605">
        <f t="shared" si="123"/>
        <v>228.77243525417072</v>
      </c>
      <c r="P138" s="605">
        <f t="shared" ref="P138" si="124">+P133+P137</f>
        <v>228.77243525417072</v>
      </c>
      <c r="Q138" s="605">
        <f t="shared" si="123"/>
        <v>243.39666035254984</v>
      </c>
      <c r="R138" s="605">
        <f t="shared" si="123"/>
        <v>578.75769487703451</v>
      </c>
      <c r="S138" s="596" t="s">
        <v>945</v>
      </c>
      <c r="T138" s="579"/>
      <c r="U138" s="579"/>
      <c r="V138" s="579"/>
      <c r="W138" s="579"/>
      <c r="X138" s="579"/>
      <c r="Y138" s="579"/>
      <c r="Z138" s="579"/>
      <c r="AA138" s="579"/>
      <c r="AC138" s="364">
        <f>HLOOKUP(Start!$B$14,$C$2:$R$338,+AD138, FALSE)</f>
        <v>52.80903730388863</v>
      </c>
      <c r="AD138" s="373">
        <f t="shared" si="118"/>
        <v>137</v>
      </c>
    </row>
    <row r="139" spans="1:30" s="339" customFormat="1" x14ac:dyDescent="0.25">
      <c r="A139" s="577"/>
      <c r="B139" s="999"/>
      <c r="C139" s="558"/>
      <c r="D139" s="558"/>
      <c r="E139" s="558"/>
      <c r="F139" s="558"/>
      <c r="G139" s="558"/>
      <c r="H139" s="558"/>
      <c r="I139" s="558"/>
      <c r="J139" s="558"/>
      <c r="K139" s="558"/>
      <c r="L139" s="558"/>
      <c r="M139" s="558"/>
      <c r="N139" s="558"/>
      <c r="O139" s="558"/>
      <c r="P139" s="558"/>
      <c r="Q139" s="558"/>
      <c r="R139" s="558"/>
      <c r="S139" s="586"/>
      <c r="T139" s="579"/>
      <c r="U139" s="579"/>
      <c r="V139" s="579"/>
      <c r="W139" s="579"/>
      <c r="X139" s="579"/>
      <c r="Y139" s="579"/>
      <c r="Z139" s="579"/>
      <c r="AA139" s="579"/>
      <c r="AC139" s="364">
        <f>HLOOKUP(Start!$B$14,$C$2:$R$338,+AD139, FALSE)</f>
        <v>0</v>
      </c>
      <c r="AD139" s="373">
        <f t="shared" si="118"/>
        <v>138</v>
      </c>
    </row>
    <row r="140" spans="1:30" s="339" customFormat="1" x14ac:dyDescent="0.25">
      <c r="A140" s="577"/>
      <c r="B140" s="999"/>
      <c r="C140" s="558"/>
      <c r="D140" s="558"/>
      <c r="E140" s="558"/>
      <c r="F140" s="558"/>
      <c r="G140" s="558"/>
      <c r="H140" s="558"/>
      <c r="I140" s="558"/>
      <c r="J140" s="558"/>
      <c r="K140" s="558"/>
      <c r="L140" s="558"/>
      <c r="M140" s="558"/>
      <c r="N140" s="558"/>
      <c r="O140" s="558"/>
      <c r="P140" s="558"/>
      <c r="Q140" s="558"/>
      <c r="R140" s="558"/>
      <c r="S140" s="586"/>
      <c r="T140" s="579"/>
      <c r="U140" s="579"/>
      <c r="V140" s="579"/>
      <c r="W140" s="579"/>
      <c r="X140" s="579"/>
      <c r="Y140" s="579"/>
      <c r="Z140" s="579"/>
      <c r="AA140" s="579"/>
      <c r="AC140" s="364">
        <f>HLOOKUP(Start!$B$14,$C$2:$R$338,+AD140, FALSE)</f>
        <v>0</v>
      </c>
      <c r="AD140" s="373">
        <f t="shared" si="118"/>
        <v>139</v>
      </c>
    </row>
    <row r="141" spans="1:30" s="339" customFormat="1" ht="18" x14ac:dyDescent="0.25">
      <c r="A141" s="741" t="s">
        <v>395</v>
      </c>
      <c r="B141" s="305"/>
      <c r="E141" s="340"/>
      <c r="H141" s="340"/>
      <c r="K141" s="340"/>
      <c r="N141" s="340"/>
      <c r="AC141" s="364">
        <f>HLOOKUP(Start!$B$14,$C$2:$R$338,+AD141, FALSE)</f>
        <v>0</v>
      </c>
      <c r="AD141" s="373">
        <f t="shared" si="118"/>
        <v>140</v>
      </c>
    </row>
    <row r="142" spans="1:30" s="339" customFormat="1" ht="15.75" thickBot="1" x14ac:dyDescent="0.3">
      <c r="B142" s="305"/>
      <c r="E142" s="340"/>
      <c r="H142" s="340"/>
      <c r="K142" s="340"/>
      <c r="N142" s="340"/>
      <c r="AC142" s="364">
        <f>HLOOKUP(Start!$B$14,$C$2:$R$338,+AD142, FALSE)</f>
        <v>0</v>
      </c>
      <c r="AD142" s="373">
        <f t="shared" si="118"/>
        <v>141</v>
      </c>
    </row>
    <row r="143" spans="1:30" s="339" customFormat="1" x14ac:dyDescent="0.25">
      <c r="A143" s="742" t="s">
        <v>695</v>
      </c>
      <c r="B143" s="305"/>
      <c r="C143" s="616"/>
      <c r="D143" s="615"/>
      <c r="E143" s="615"/>
      <c r="F143" s="615"/>
      <c r="G143" s="615"/>
      <c r="H143" s="615"/>
      <c r="I143" s="362"/>
      <c r="J143" s="362"/>
      <c r="K143" s="362"/>
      <c r="L143" s="362"/>
      <c r="M143" s="362"/>
      <c r="N143" s="362"/>
      <c r="O143" s="362"/>
      <c r="P143" s="362"/>
      <c r="Q143" s="362"/>
      <c r="R143" s="363"/>
      <c r="AC143" s="364">
        <f>HLOOKUP(Start!$B$14,$C$2:$R$338,+AD143, FALSE)</f>
        <v>0</v>
      </c>
      <c r="AD143" s="373">
        <f t="shared" si="118"/>
        <v>142</v>
      </c>
    </row>
    <row r="144" spans="1:30" s="339" customFormat="1" ht="60" customHeight="1" x14ac:dyDescent="0.25">
      <c r="A144" s="743" t="s">
        <v>696</v>
      </c>
      <c r="B144" s="305"/>
      <c r="C144" s="370" t="s">
        <v>969</v>
      </c>
      <c r="D144" s="595" t="s">
        <v>969</v>
      </c>
      <c r="E144" s="595" t="s">
        <v>969</v>
      </c>
      <c r="F144" s="595" t="s">
        <v>969</v>
      </c>
      <c r="G144" s="595" t="s">
        <v>988</v>
      </c>
      <c r="H144" s="595" t="str">
        <f>+H2</f>
        <v>Bulls (&gt;6 months), deep litter (DK)</v>
      </c>
      <c r="I144" s="553" t="s">
        <v>983</v>
      </c>
      <c r="J144" s="553" t="s">
        <v>983</v>
      </c>
      <c r="K144" s="553" t="s">
        <v>983</v>
      </c>
      <c r="L144" s="553" t="s">
        <v>983</v>
      </c>
      <c r="M144" s="553" t="s">
        <v>989</v>
      </c>
      <c r="N144" s="553" t="s">
        <v>1028</v>
      </c>
      <c r="O144" s="553" t="s">
        <v>960</v>
      </c>
      <c r="P144" s="553" t="s">
        <v>961</v>
      </c>
      <c r="Q144" s="553" t="s">
        <v>1029</v>
      </c>
      <c r="R144" s="554" t="s">
        <v>1029</v>
      </c>
      <c r="AC144" s="364" t="str">
        <f>HLOOKUP(Start!$B$14,$C$2:$R$338,+AD144, FALSE)</f>
        <v>Fattening pigs, slurry</v>
      </c>
      <c r="AD144" s="373">
        <f t="shared" si="118"/>
        <v>143</v>
      </c>
    </row>
    <row r="145" spans="1:30" s="339" customFormat="1" x14ac:dyDescent="0.25">
      <c r="A145" s="744" t="s">
        <v>24</v>
      </c>
      <c r="B145" s="305"/>
      <c r="C145" s="616"/>
      <c r="D145" s="615"/>
      <c r="E145" s="615"/>
      <c r="F145" s="615"/>
      <c r="G145" s="615"/>
      <c r="H145" s="615"/>
      <c r="I145" s="362"/>
      <c r="J145" s="362"/>
      <c r="K145" s="362"/>
      <c r="L145" s="362"/>
      <c r="M145" s="362"/>
      <c r="N145" s="362"/>
      <c r="O145" s="362"/>
      <c r="P145" s="362"/>
      <c r="Q145" s="362"/>
      <c r="R145" s="363"/>
      <c r="AC145" s="364">
        <f>HLOOKUP(Start!$B$14,$C$2:$R$338,+AD145, FALSE)</f>
        <v>0</v>
      </c>
      <c r="AD145" s="373">
        <f t="shared" si="118"/>
        <v>144</v>
      </c>
    </row>
    <row r="146" spans="1:30" ht="132" x14ac:dyDescent="0.25">
      <c r="A146" s="743" t="s">
        <v>394</v>
      </c>
      <c r="C146" s="370" t="s">
        <v>894</v>
      </c>
      <c r="D146" s="595" t="s">
        <v>979</v>
      </c>
      <c r="E146" s="595" t="s">
        <v>979</v>
      </c>
      <c r="F146" s="595" t="s">
        <v>996</v>
      </c>
      <c r="G146" s="595" t="s">
        <v>987</v>
      </c>
      <c r="H146" s="595" t="s">
        <v>898</v>
      </c>
      <c r="I146" s="553" t="s">
        <v>901</v>
      </c>
      <c r="J146" s="595" t="s">
        <v>978</v>
      </c>
      <c r="K146" s="553" t="s">
        <v>1024</v>
      </c>
      <c r="L146" s="553" t="s">
        <v>995</v>
      </c>
      <c r="M146" s="553" t="s">
        <v>986</v>
      </c>
      <c r="N146" s="553" t="s">
        <v>1002</v>
      </c>
      <c r="O146" s="553" t="s">
        <v>962</v>
      </c>
      <c r="P146" s="553" t="s">
        <v>963</v>
      </c>
      <c r="Q146" s="553" t="s">
        <v>1030</v>
      </c>
      <c r="R146" s="554" t="s">
        <v>1030</v>
      </c>
      <c r="T146" s="317" t="s">
        <v>405</v>
      </c>
      <c r="AC146" s="364" t="str">
        <f>HLOOKUP(Start!$B$14,$C$2:$R$338,+AD146, FALSE)</f>
        <v>Partly slatted floors with 24-49% solid floor</v>
      </c>
      <c r="AD146" s="373">
        <f t="shared" si="118"/>
        <v>145</v>
      </c>
    </row>
    <row r="147" spans="1:30" s="339" customFormat="1" ht="132" x14ac:dyDescent="0.25">
      <c r="A147" s="743" t="s">
        <v>896</v>
      </c>
      <c r="B147" s="305"/>
      <c r="C147" s="370" t="s">
        <v>897</v>
      </c>
      <c r="D147" s="595" t="s">
        <v>982</v>
      </c>
      <c r="E147" s="595" t="s">
        <v>1026</v>
      </c>
      <c r="F147" s="595" t="s">
        <v>998</v>
      </c>
      <c r="G147" s="595" t="s">
        <v>991</v>
      </c>
      <c r="H147" s="595" t="s">
        <v>899</v>
      </c>
      <c r="I147" s="553" t="s">
        <v>902</v>
      </c>
      <c r="J147" s="595" t="s">
        <v>982</v>
      </c>
      <c r="K147" s="553" t="s">
        <v>1026</v>
      </c>
      <c r="L147" s="553"/>
      <c r="M147" s="553" t="s">
        <v>990</v>
      </c>
      <c r="N147" s="553"/>
      <c r="O147" s="553" t="s">
        <v>970</v>
      </c>
      <c r="P147" s="553"/>
      <c r="Q147" s="553" t="s">
        <v>1031</v>
      </c>
      <c r="R147" s="554" t="s">
        <v>1000</v>
      </c>
      <c r="T147" s="317"/>
      <c r="AC147" s="364" t="str">
        <f>HLOOKUP(Start!$B$14,$C$2:$R$338,+AD147, FALSE)</f>
        <v>15 days</v>
      </c>
      <c r="AD147" s="373">
        <f t="shared" si="118"/>
        <v>146</v>
      </c>
    </row>
    <row r="148" spans="1:30" ht="51" customHeight="1" x14ac:dyDescent="0.25">
      <c r="A148" s="745" t="s">
        <v>393</v>
      </c>
      <c r="C148" s="370" t="s">
        <v>895</v>
      </c>
      <c r="D148" s="595" t="s">
        <v>981</v>
      </c>
      <c r="E148" s="595" t="s">
        <v>895</v>
      </c>
      <c r="F148" s="595" t="s">
        <v>999</v>
      </c>
      <c r="G148" s="595" t="s">
        <v>992</v>
      </c>
      <c r="H148" s="595" t="s">
        <v>900</v>
      </c>
      <c r="I148" s="553" t="s">
        <v>895</v>
      </c>
      <c r="J148" s="595" t="s">
        <v>980</v>
      </c>
      <c r="K148" s="553" t="s">
        <v>1025</v>
      </c>
      <c r="L148" s="553" t="s">
        <v>999</v>
      </c>
      <c r="M148" s="595" t="s">
        <v>992</v>
      </c>
      <c r="N148" s="553" t="s">
        <v>1003</v>
      </c>
      <c r="O148" s="553" t="s">
        <v>964</v>
      </c>
      <c r="P148" s="553" t="s">
        <v>965</v>
      </c>
      <c r="Q148" s="553" t="s">
        <v>1032</v>
      </c>
      <c r="R148" s="554" t="s">
        <v>1001</v>
      </c>
      <c r="T148" s="317" t="s">
        <v>404</v>
      </c>
      <c r="AC148" s="364" t="str">
        <f>HLOOKUP(Start!$B$14,$C$2:$R$338,+AD148, FALSE)</f>
        <v>Pumped towards pre-tank, and from there towards outdoor storage</v>
      </c>
      <c r="AD148" s="373">
        <f t="shared" si="118"/>
        <v>147</v>
      </c>
    </row>
    <row r="149" spans="1:30" ht="108" x14ac:dyDescent="0.25">
      <c r="A149" s="743" t="s">
        <v>392</v>
      </c>
      <c r="C149" s="370" t="s">
        <v>971</v>
      </c>
      <c r="D149" s="595"/>
      <c r="E149" s="595"/>
      <c r="F149" s="595" t="s">
        <v>971</v>
      </c>
      <c r="G149" s="595"/>
      <c r="H149" s="595"/>
      <c r="I149" s="553"/>
      <c r="J149" s="553" t="s">
        <v>984</v>
      </c>
      <c r="K149" s="553"/>
      <c r="L149" s="553" t="s">
        <v>997</v>
      </c>
      <c r="M149" s="553"/>
      <c r="N149" s="553"/>
      <c r="O149" s="553" t="s">
        <v>966</v>
      </c>
      <c r="P149" s="553" t="s">
        <v>966</v>
      </c>
      <c r="Q149" s="553"/>
      <c r="R149" s="554"/>
      <c r="AC149" s="364" t="str">
        <f>HLOOKUP(Start!$B$14,$C$2:$R$338,+AD149, FALSE)</f>
        <v>Mechanical ventilation, basic insulation according to the climatic area</v>
      </c>
      <c r="AD149" s="373">
        <f t="shared" si="118"/>
        <v>148</v>
      </c>
    </row>
    <row r="150" spans="1:30" x14ac:dyDescent="0.25">
      <c r="A150" s="744" t="s">
        <v>391</v>
      </c>
      <c r="C150" s="365"/>
      <c r="D150" s="366"/>
      <c r="E150" s="366"/>
      <c r="F150" s="366"/>
      <c r="G150" s="366"/>
      <c r="H150" s="366"/>
      <c r="I150" s="368"/>
      <c r="J150" s="368"/>
      <c r="K150" s="368"/>
      <c r="L150" s="368"/>
      <c r="M150" s="368"/>
      <c r="N150" s="368"/>
      <c r="O150" s="366"/>
      <c r="P150" s="366"/>
      <c r="Q150" s="366"/>
      <c r="R150" s="367"/>
      <c r="S150" s="339"/>
      <c r="T150" s="339"/>
      <c r="U150" s="339"/>
      <c r="V150" s="339"/>
      <c r="W150" s="339"/>
      <c r="X150" s="339"/>
      <c r="Y150" s="339"/>
      <c r="Z150" s="339"/>
      <c r="AA150" s="339"/>
      <c r="AB150" s="339"/>
      <c r="AC150" s="364">
        <f>HLOOKUP(Start!$B$14,$C$2:$R$338,+AD150, FALSE)</f>
        <v>0</v>
      </c>
      <c r="AD150" s="373">
        <f t="shared" si="118"/>
        <v>149</v>
      </c>
    </row>
    <row r="151" spans="1:30" ht="92.25" customHeight="1" x14ac:dyDescent="0.25">
      <c r="A151" s="743" t="s">
        <v>390</v>
      </c>
      <c r="C151" s="370" t="s">
        <v>974</v>
      </c>
      <c r="D151" s="595" t="s">
        <v>985</v>
      </c>
      <c r="E151" s="595" t="s">
        <v>1027</v>
      </c>
      <c r="F151" s="553" t="s">
        <v>1004</v>
      </c>
      <c r="G151" s="595" t="s">
        <v>993</v>
      </c>
      <c r="H151" s="595"/>
      <c r="I151" s="553" t="s">
        <v>973</v>
      </c>
      <c r="J151" s="553" t="s">
        <v>973</v>
      </c>
      <c r="K151" s="553" t="s">
        <v>973</v>
      </c>
      <c r="L151" s="553" t="s">
        <v>1004</v>
      </c>
      <c r="M151" s="595" t="s">
        <v>993</v>
      </c>
      <c r="N151" s="553" t="s">
        <v>1091</v>
      </c>
      <c r="O151" s="1079" t="s">
        <v>975</v>
      </c>
      <c r="P151" s="1079" t="s">
        <v>975</v>
      </c>
      <c r="Q151" s="553" t="s">
        <v>1033</v>
      </c>
      <c r="R151" s="554" t="s">
        <v>1005</v>
      </c>
      <c r="AC151" s="364" t="str">
        <f>HLOOKUP(Start!$B$14,$C$2:$R$338,+AD151, FALSE)</f>
        <v>Concrete tank, with a straw floating layer</v>
      </c>
      <c r="AD151" s="373">
        <f t="shared" si="118"/>
        <v>150</v>
      </c>
    </row>
    <row r="152" spans="1:30" s="339" customFormat="1" x14ac:dyDescent="0.25">
      <c r="A152" s="744" t="s">
        <v>972</v>
      </c>
      <c r="B152" s="305"/>
      <c r="C152" s="365"/>
      <c r="D152" s="366"/>
      <c r="E152" s="366"/>
      <c r="F152" s="366"/>
      <c r="G152" s="366"/>
      <c r="H152" s="366"/>
      <c r="I152" s="368"/>
      <c r="J152" s="368"/>
      <c r="K152" s="368"/>
      <c r="L152" s="368"/>
      <c r="M152" s="368"/>
      <c r="N152" s="368"/>
      <c r="O152" s="366"/>
      <c r="P152" s="366"/>
      <c r="Q152" s="366"/>
      <c r="R152" s="367"/>
      <c r="AC152" s="364">
        <f>HLOOKUP(Start!$B$14,$C$2:$R$338,+AD152, FALSE)</f>
        <v>0</v>
      </c>
      <c r="AD152" s="373">
        <f t="shared" si="118"/>
        <v>151</v>
      </c>
    </row>
    <row r="153" spans="1:30" ht="53.25" customHeight="1" x14ac:dyDescent="0.25">
      <c r="A153" s="743" t="s">
        <v>390</v>
      </c>
      <c r="C153" s="370" t="s">
        <v>977</v>
      </c>
      <c r="D153" s="595" t="s">
        <v>977</v>
      </c>
      <c r="E153" s="595" t="s">
        <v>977</v>
      </c>
      <c r="F153" s="595" t="s">
        <v>1006</v>
      </c>
      <c r="G153" s="595" t="s">
        <v>994</v>
      </c>
      <c r="H153" s="595" t="s">
        <v>1013</v>
      </c>
      <c r="I153" s="595" t="s">
        <v>977</v>
      </c>
      <c r="J153" s="595" t="s">
        <v>977</v>
      </c>
      <c r="K153" s="595" t="s">
        <v>977</v>
      </c>
      <c r="L153" s="595" t="s">
        <v>1006</v>
      </c>
      <c r="M153" s="595" t="s">
        <v>994</v>
      </c>
      <c r="N153" s="595" t="s">
        <v>1007</v>
      </c>
      <c r="O153" s="1077" t="s">
        <v>967</v>
      </c>
      <c r="P153" s="1077" t="s">
        <v>967</v>
      </c>
      <c r="Q153" s="595" t="s">
        <v>1034</v>
      </c>
      <c r="R153" s="552" t="s">
        <v>1007</v>
      </c>
      <c r="AC153" s="364" t="str">
        <f>HLOOKUP(Start!$B$14,$C$2:$R$338,+AD153, FALSE)</f>
        <v>Trail hose application tanker</v>
      </c>
      <c r="AD153" s="373">
        <f t="shared" si="118"/>
        <v>152</v>
      </c>
    </row>
    <row r="154" spans="1:30" x14ac:dyDescent="0.25">
      <c r="A154" s="744" t="s">
        <v>388</v>
      </c>
      <c r="C154" s="365"/>
      <c r="D154" s="366"/>
      <c r="E154" s="366"/>
      <c r="F154" s="366"/>
      <c r="G154" s="366"/>
      <c r="H154" s="366"/>
      <c r="I154" s="368"/>
      <c r="J154" s="368"/>
      <c r="K154" s="368"/>
      <c r="L154" s="368"/>
      <c r="M154" s="368"/>
      <c r="N154" s="368"/>
      <c r="O154" s="366"/>
      <c r="P154" s="366"/>
      <c r="Q154" s="366"/>
      <c r="R154" s="367"/>
      <c r="S154" s="339"/>
      <c r="T154" s="339"/>
      <c r="U154" s="339"/>
      <c r="V154" s="339"/>
      <c r="W154" s="339"/>
      <c r="X154" s="339"/>
      <c r="Y154" s="339"/>
      <c r="Z154" s="339"/>
      <c r="AA154" s="339"/>
      <c r="AB154" s="339"/>
      <c r="AC154" s="364">
        <f>HLOOKUP(Start!$B$14,$C$2:$R$338,+AD154, FALSE)</f>
        <v>0</v>
      </c>
      <c r="AD154" s="373">
        <f t="shared" si="118"/>
        <v>153</v>
      </c>
    </row>
    <row r="155" spans="1:30" ht="15.75" thickBot="1" x14ac:dyDescent="0.3">
      <c r="A155" s="746" t="s">
        <v>387</v>
      </c>
      <c r="C155" s="330"/>
      <c r="D155" s="329"/>
      <c r="E155" s="329"/>
      <c r="F155" s="329"/>
      <c r="G155" s="329"/>
      <c r="H155" s="329"/>
      <c r="I155" s="329"/>
      <c r="J155" s="329"/>
      <c r="K155" s="329"/>
      <c r="L155" s="329"/>
      <c r="M155" s="329"/>
      <c r="N155" s="329"/>
      <c r="O155" s="329"/>
      <c r="P155" s="329"/>
      <c r="Q155" s="329"/>
      <c r="R155" s="328"/>
      <c r="AC155" s="364">
        <f>HLOOKUP(Start!$B$14,$C$2:$R$338,+AD155, FALSE)</f>
        <v>0</v>
      </c>
      <c r="AD155" s="373">
        <f t="shared" si="118"/>
        <v>154</v>
      </c>
    </row>
    <row r="156" spans="1:30" x14ac:dyDescent="0.25">
      <c r="AC156" s="364">
        <f>HLOOKUP(Start!$B$14,$C$2:$R$338,+AD156, FALSE)</f>
        <v>0</v>
      </c>
      <c r="AD156" s="373">
        <f t="shared" si="118"/>
        <v>155</v>
      </c>
    </row>
    <row r="157" spans="1:30" s="339" customFormat="1" x14ac:dyDescent="0.25">
      <c r="A157" s="577"/>
      <c r="B157" s="999"/>
      <c r="C157" s="558"/>
      <c r="D157" s="558"/>
      <c r="E157" s="558"/>
      <c r="F157" s="558"/>
      <c r="G157" s="558"/>
      <c r="H157" s="558"/>
      <c r="I157" s="558"/>
      <c r="J157" s="558"/>
      <c r="K157" s="558"/>
      <c r="L157" s="558"/>
      <c r="M157" s="558"/>
      <c r="N157" s="558"/>
      <c r="O157" s="558"/>
      <c r="P157" s="558"/>
      <c r="Q157" s="558"/>
      <c r="R157" s="558"/>
      <c r="S157" s="586"/>
      <c r="T157" s="579"/>
      <c r="U157" s="579"/>
      <c r="V157" s="579"/>
      <c r="W157" s="579"/>
      <c r="X157" s="579"/>
      <c r="Y157" s="579"/>
      <c r="Z157" s="579"/>
      <c r="AA157" s="579"/>
      <c r="AC157" s="364">
        <f>HLOOKUP(Start!$B$14,$C$2:$R$338,+AD157, FALSE)</f>
        <v>0</v>
      </c>
      <c r="AD157" s="373">
        <f t="shared" si="118"/>
        <v>156</v>
      </c>
    </row>
    <row r="158" spans="1:30" s="339" customFormat="1" x14ac:dyDescent="0.25">
      <c r="A158" s="577"/>
      <c r="B158" s="999"/>
      <c r="C158" s="558"/>
      <c r="D158" s="558"/>
      <c r="E158" s="558"/>
      <c r="F158" s="558"/>
      <c r="G158" s="558"/>
      <c r="H158" s="558"/>
      <c r="I158" s="558"/>
      <c r="J158" s="558"/>
      <c r="K158" s="558"/>
      <c r="L158" s="558"/>
      <c r="M158" s="558"/>
      <c r="N158" s="558"/>
      <c r="O158" s="558"/>
      <c r="P158" s="558"/>
      <c r="Q158" s="558"/>
      <c r="R158" s="558"/>
      <c r="S158" s="586"/>
      <c r="T158" s="579"/>
      <c r="U158" s="579"/>
      <c r="V158" s="579"/>
      <c r="W158" s="579"/>
      <c r="X158" s="579"/>
      <c r="Y158" s="579"/>
      <c r="Z158" s="579"/>
      <c r="AA158" s="579"/>
      <c r="AC158" s="364">
        <f>HLOOKUP(Start!$B$14,$C$2:$R$338,+AD158, FALSE)</f>
        <v>0</v>
      </c>
      <c r="AD158" s="373">
        <f t="shared" si="118"/>
        <v>157</v>
      </c>
    </row>
    <row r="159" spans="1:30" s="339" customFormat="1" ht="16.5" x14ac:dyDescent="0.25">
      <c r="A159" s="313" t="s">
        <v>370</v>
      </c>
      <c r="B159" s="305"/>
      <c r="C159" s="323"/>
      <c r="D159" s="323"/>
      <c r="E159" s="905"/>
      <c r="F159" s="323"/>
      <c r="G159" s="323"/>
      <c r="H159" s="905"/>
      <c r="K159" s="340"/>
      <c r="N159" s="340"/>
      <c r="AC159" s="364">
        <f>HLOOKUP(Start!$B$14,$C$2:$R$338,+AD159, FALSE)</f>
        <v>0</v>
      </c>
      <c r="AD159" s="373">
        <f t="shared" si="118"/>
        <v>158</v>
      </c>
    </row>
    <row r="160" spans="1:30" s="339" customFormat="1" ht="15.75" thickBot="1" x14ac:dyDescent="0.3">
      <c r="A160" s="323"/>
      <c r="B160" s="305"/>
      <c r="C160" s="323"/>
      <c r="D160" s="323"/>
      <c r="E160" s="905"/>
      <c r="F160" s="323"/>
      <c r="G160" s="323"/>
      <c r="H160" s="905"/>
      <c r="K160" s="340"/>
      <c r="N160" s="340"/>
      <c r="AC160" s="364">
        <f>HLOOKUP(Start!$B$14,$C$2:$R$338,+AD160, FALSE)</f>
        <v>0</v>
      </c>
      <c r="AD160" s="373">
        <f t="shared" si="118"/>
        <v>159</v>
      </c>
    </row>
    <row r="161" spans="1:30" s="339" customFormat="1" x14ac:dyDescent="0.25">
      <c r="A161" s="351" t="s">
        <v>24</v>
      </c>
      <c r="B161" s="305"/>
      <c r="C161" s="774"/>
      <c r="D161" s="775"/>
      <c r="E161" s="775"/>
      <c r="F161" s="775"/>
      <c r="G161" s="775"/>
      <c r="H161" s="775"/>
      <c r="I161" s="776"/>
      <c r="J161" s="776"/>
      <c r="K161" s="776"/>
      <c r="L161" s="776"/>
      <c r="M161" s="776"/>
      <c r="N161" s="776"/>
      <c r="O161" s="776"/>
      <c r="P161" s="776"/>
      <c r="Q161" s="776"/>
      <c r="R161" s="777"/>
      <c r="AC161" s="364">
        <f>HLOOKUP(Start!$B$14,$C$2:$R$338,+AD161, FALSE)</f>
        <v>0</v>
      </c>
      <c r="AD161" s="373">
        <f t="shared" si="118"/>
        <v>160</v>
      </c>
    </row>
    <row r="162" spans="1:30" s="339" customFormat="1" x14ac:dyDescent="0.25">
      <c r="A162" s="322" t="s">
        <v>547</v>
      </c>
      <c r="B162" s="305"/>
      <c r="C162" s="348">
        <f>+D162</f>
        <v>26</v>
      </c>
      <c r="D162" s="349">
        <v>26</v>
      </c>
      <c r="E162" s="349">
        <f>+D162</f>
        <v>26</v>
      </c>
      <c r="F162" s="349">
        <f t="shared" ref="F162:G162" si="125">+E162</f>
        <v>26</v>
      </c>
      <c r="G162" s="349">
        <f t="shared" si="125"/>
        <v>26</v>
      </c>
      <c r="H162" s="349"/>
      <c r="I162" s="349"/>
      <c r="J162" s="349"/>
      <c r="K162" s="349"/>
      <c r="L162" s="349"/>
      <c r="M162" s="349"/>
      <c r="N162" s="349"/>
      <c r="O162" s="349">
        <v>2.72</v>
      </c>
      <c r="P162" s="349">
        <f>+O162</f>
        <v>2.72</v>
      </c>
      <c r="Q162" s="349">
        <v>5.8</v>
      </c>
      <c r="R162" s="350">
        <f>+Q162</f>
        <v>5.8</v>
      </c>
      <c r="AC162" s="364">
        <f>HLOOKUP(Start!$B$14,$C$2:$R$338,+AD162, FALSE)</f>
        <v>26</v>
      </c>
      <c r="AD162" s="373">
        <f t="shared" si="118"/>
        <v>161</v>
      </c>
    </row>
    <row r="163" spans="1:30" s="317" customFormat="1" ht="24.75" x14ac:dyDescent="0.2">
      <c r="A163" s="530" t="s">
        <v>1170</v>
      </c>
      <c r="C163" s="549">
        <v>14.130434782608695</v>
      </c>
      <c r="D163" s="528">
        <v>14.130434782608695</v>
      </c>
      <c r="E163" s="528">
        <v>14.130434782608695</v>
      </c>
      <c r="F163" s="528">
        <v>14.130434782608695</v>
      </c>
      <c r="G163" s="528">
        <v>0</v>
      </c>
      <c r="H163" s="528"/>
      <c r="I163" s="528">
        <f>+(18+76)/2/22.1</f>
        <v>2.1266968325791855</v>
      </c>
      <c r="J163" s="528">
        <f>+I163</f>
        <v>2.1266968325791855</v>
      </c>
      <c r="K163" s="528">
        <f t="shared" ref="K163:L163" si="126">+J163</f>
        <v>2.1266968325791855</v>
      </c>
      <c r="L163" s="528">
        <f t="shared" si="126"/>
        <v>2.1266968325791855</v>
      </c>
      <c r="M163" s="528"/>
      <c r="N163" s="528"/>
      <c r="O163" s="528">
        <f>+O162/O193*1000</f>
        <v>75.555555555555557</v>
      </c>
      <c r="P163" s="528">
        <f>+O163</f>
        <v>75.555555555555557</v>
      </c>
      <c r="Q163" s="528">
        <f>+Q162/Q193*1000</f>
        <v>446.15384615384613</v>
      </c>
      <c r="R163" s="550">
        <f>+Q163</f>
        <v>446.15384615384613</v>
      </c>
      <c r="AC163" s="364">
        <f>HLOOKUP(Start!$B$14,$C$2:$R$338,+AD163, FALSE)</f>
        <v>14.130434782608695</v>
      </c>
      <c r="AD163" s="373">
        <f t="shared" si="118"/>
        <v>162</v>
      </c>
    </row>
    <row r="164" spans="1:30" s="317" customFormat="1" ht="12" x14ac:dyDescent="0.2">
      <c r="A164" s="322" t="s">
        <v>403</v>
      </c>
      <c r="C164" s="551">
        <f>+D164</f>
        <v>136.95652173913044</v>
      </c>
      <c r="D164" s="445">
        <f>70/D193*3.6*1000</f>
        <v>136.95652173913044</v>
      </c>
      <c r="E164" s="349">
        <v>0</v>
      </c>
      <c r="F164" s="445">
        <f>+G164</f>
        <v>352.17391304347831</v>
      </c>
      <c r="G164" s="445">
        <f>180/G193*1000*3.6</f>
        <v>352.17391304347831</v>
      </c>
      <c r="H164" s="349">
        <v>0</v>
      </c>
      <c r="I164" s="349">
        <v>0</v>
      </c>
      <c r="J164" s="349">
        <v>0</v>
      </c>
      <c r="K164" s="349">
        <v>0</v>
      </c>
      <c r="L164" s="349">
        <v>0</v>
      </c>
      <c r="M164" s="349">
        <v>0</v>
      </c>
      <c r="N164" s="349">
        <v>0</v>
      </c>
      <c r="O164" s="349">
        <v>0</v>
      </c>
      <c r="P164" s="349">
        <v>0</v>
      </c>
      <c r="Q164" s="349">
        <v>0</v>
      </c>
      <c r="R164" s="350">
        <v>0</v>
      </c>
      <c r="AC164" s="364">
        <f>HLOOKUP(Start!$B$14,$C$2:$R$338,+AD164, FALSE)</f>
        <v>136.95652173913044</v>
      </c>
      <c r="AD164" s="373">
        <f t="shared" si="118"/>
        <v>163</v>
      </c>
    </row>
    <row r="165" spans="1:30" s="317" customFormat="1" ht="12" x14ac:dyDescent="0.2">
      <c r="A165" s="347" t="s">
        <v>282</v>
      </c>
      <c r="C165" s="344"/>
      <c r="D165" s="345"/>
      <c r="E165" s="345"/>
      <c r="F165" s="345"/>
      <c r="G165" s="345"/>
      <c r="H165" s="345"/>
      <c r="I165" s="345"/>
      <c r="J165" s="345"/>
      <c r="K165" s="345"/>
      <c r="L165" s="345"/>
      <c r="M165" s="345"/>
      <c r="N165" s="345"/>
      <c r="O165" s="345"/>
      <c r="P165" s="345"/>
      <c r="Q165" s="345"/>
      <c r="R165" s="346"/>
      <c r="AC165" s="364">
        <f>HLOOKUP(Start!$B$14,$C$2:$R$338,+AD165, FALSE)</f>
        <v>0</v>
      </c>
      <c r="AD165" s="373">
        <f t="shared" si="118"/>
        <v>164</v>
      </c>
    </row>
    <row r="166" spans="1:30" s="317" customFormat="1" ht="12" x14ac:dyDescent="0.2">
      <c r="A166" s="322" t="s">
        <v>402</v>
      </c>
      <c r="C166" s="348">
        <f>+D166</f>
        <v>4.5999999999999996</v>
      </c>
      <c r="D166" s="349">
        <v>4.5999999999999996</v>
      </c>
      <c r="E166" s="349">
        <f>+D166</f>
        <v>4.5999999999999996</v>
      </c>
      <c r="F166" s="349">
        <f>+D166</f>
        <v>4.5999999999999996</v>
      </c>
      <c r="G166" s="349"/>
      <c r="H166" s="349"/>
      <c r="I166" s="349">
        <f>+F166</f>
        <v>4.5999999999999996</v>
      </c>
      <c r="J166" s="349">
        <f>+I166</f>
        <v>4.5999999999999996</v>
      </c>
      <c r="K166" s="349">
        <f t="shared" ref="K166:M166" si="127">+J166</f>
        <v>4.5999999999999996</v>
      </c>
      <c r="L166" s="349">
        <f t="shared" si="127"/>
        <v>4.5999999999999996</v>
      </c>
      <c r="M166" s="349">
        <f t="shared" si="127"/>
        <v>4.5999999999999996</v>
      </c>
      <c r="N166" s="349"/>
      <c r="O166" s="349"/>
      <c r="P166" s="349"/>
      <c r="Q166" s="349"/>
      <c r="R166" s="350"/>
      <c r="AC166" s="364">
        <f>HLOOKUP(Start!$B$14,$C$2:$R$338,+AD166, FALSE)</f>
        <v>4.5999999999999996</v>
      </c>
      <c r="AD166" s="373">
        <f t="shared" si="118"/>
        <v>165</v>
      </c>
    </row>
    <row r="167" spans="1:30" s="317" customFormat="1" ht="12" x14ac:dyDescent="0.2">
      <c r="A167" s="347" t="s">
        <v>281</v>
      </c>
      <c r="C167" s="348"/>
      <c r="D167" s="349"/>
      <c r="E167" s="349"/>
      <c r="F167" s="349"/>
      <c r="G167" s="349"/>
      <c r="H167" s="349"/>
      <c r="I167" s="345"/>
      <c r="J167" s="345"/>
      <c r="K167" s="345"/>
      <c r="L167" s="345"/>
      <c r="M167" s="345"/>
      <c r="N167" s="345"/>
      <c r="O167" s="345"/>
      <c r="P167" s="345"/>
      <c r="Q167" s="345"/>
      <c r="R167" s="346"/>
      <c r="AC167" s="364">
        <f>HLOOKUP(Start!$B$14,$C$2:$R$338,+AD167, FALSE)</f>
        <v>0</v>
      </c>
      <c r="AD167" s="373">
        <f t="shared" si="118"/>
        <v>166</v>
      </c>
    </row>
    <row r="168" spans="1:30" s="317" customFormat="1" ht="12" x14ac:dyDescent="0.2">
      <c r="A168" s="322" t="s">
        <v>401</v>
      </c>
      <c r="C168" s="348">
        <v>11</v>
      </c>
      <c r="D168" s="349">
        <v>11</v>
      </c>
      <c r="E168" s="349">
        <f>+D168</f>
        <v>11</v>
      </c>
      <c r="F168" s="349">
        <f>+E168</f>
        <v>11</v>
      </c>
      <c r="G168" s="349">
        <f>+D168</f>
        <v>11</v>
      </c>
      <c r="H168" s="349">
        <f>+D168</f>
        <v>11</v>
      </c>
      <c r="I168" s="349">
        <f>+Q168</f>
        <v>12.6</v>
      </c>
      <c r="J168" s="349">
        <f>+Q168</f>
        <v>12.6</v>
      </c>
      <c r="K168" s="349">
        <f>+Q168</f>
        <v>12.6</v>
      </c>
      <c r="L168" s="349">
        <f>+M168</f>
        <v>12.6</v>
      </c>
      <c r="M168" s="349">
        <f>+Q168</f>
        <v>12.6</v>
      </c>
      <c r="N168" s="349">
        <f>+M168</f>
        <v>12.6</v>
      </c>
      <c r="O168" s="349">
        <f>+Q168</f>
        <v>12.6</v>
      </c>
      <c r="P168" s="349">
        <f>+O168</f>
        <v>12.6</v>
      </c>
      <c r="Q168" s="349">
        <v>12.6</v>
      </c>
      <c r="R168" s="350">
        <f>+Q168</f>
        <v>12.6</v>
      </c>
      <c r="AC168" s="364">
        <f>HLOOKUP(Start!$B$14,$C$2:$R$338,+AD168, FALSE)</f>
        <v>11</v>
      </c>
      <c r="AD168" s="373">
        <f t="shared" si="118"/>
        <v>167</v>
      </c>
    </row>
    <row r="169" spans="1:30" s="317" customFormat="1" ht="12.75" thickBot="1" x14ac:dyDescent="0.25">
      <c r="A169" s="332" t="s">
        <v>409</v>
      </c>
      <c r="C169" s="441">
        <v>0</v>
      </c>
      <c r="D169" s="442">
        <v>0</v>
      </c>
      <c r="E169" s="442">
        <v>0</v>
      </c>
      <c r="F169" s="442">
        <v>0</v>
      </c>
      <c r="G169" s="442">
        <v>0</v>
      </c>
      <c r="H169" s="442">
        <v>0</v>
      </c>
      <c r="I169" s="442">
        <v>0</v>
      </c>
      <c r="J169" s="442">
        <v>0</v>
      </c>
      <c r="K169" s="442">
        <v>0</v>
      </c>
      <c r="L169" s="442">
        <v>0</v>
      </c>
      <c r="M169" s="442">
        <v>0</v>
      </c>
      <c r="N169" s="442">
        <v>0</v>
      </c>
      <c r="O169" s="442">
        <v>0</v>
      </c>
      <c r="P169" s="442">
        <v>0</v>
      </c>
      <c r="Q169" s="442">
        <v>0</v>
      </c>
      <c r="R169" s="443">
        <v>0</v>
      </c>
      <c r="AC169" s="364">
        <f>HLOOKUP(Start!$B$14,$C$2:$R$338,+AD169, FALSE)</f>
        <v>0</v>
      </c>
      <c r="AD169" s="373">
        <f t="shared" si="118"/>
        <v>168</v>
      </c>
    </row>
    <row r="170" spans="1:30" s="317" customFormat="1" ht="12" x14ac:dyDescent="0.2">
      <c r="A170" s="332"/>
      <c r="C170" s="837"/>
      <c r="D170" s="837"/>
      <c r="E170" s="837"/>
      <c r="F170" s="837"/>
      <c r="G170" s="837"/>
      <c r="H170" s="837"/>
      <c r="I170" s="837"/>
      <c r="J170" s="837"/>
      <c r="K170" s="837"/>
      <c r="L170" s="837"/>
      <c r="M170" s="837"/>
      <c r="N170" s="837"/>
      <c r="O170" s="837"/>
      <c r="P170" s="837"/>
      <c r="Q170" s="837"/>
      <c r="R170" s="837"/>
      <c r="AC170" s="364">
        <f>HLOOKUP(Start!$B$14,$C$2:$R$338,+AD170, FALSE)</f>
        <v>0</v>
      </c>
      <c r="AD170" s="373">
        <f t="shared" si="118"/>
        <v>169</v>
      </c>
    </row>
    <row r="171" spans="1:30" s="322" customFormat="1" ht="16.5" x14ac:dyDescent="0.2">
      <c r="A171" s="313" t="s">
        <v>514</v>
      </c>
      <c r="C171" s="500"/>
      <c r="D171" s="500"/>
      <c r="E171" s="500"/>
      <c r="F171" s="500"/>
      <c r="G171" s="500"/>
      <c r="H171" s="500"/>
      <c r="I171" s="500"/>
      <c r="J171" s="500"/>
      <c r="K171" s="500"/>
      <c r="L171" s="500"/>
      <c r="M171" s="500"/>
      <c r="N171" s="500"/>
      <c r="O171" s="500"/>
      <c r="P171" s="500"/>
      <c r="Q171" s="500"/>
      <c r="R171" s="500"/>
      <c r="AC171" s="364">
        <f>HLOOKUP(Start!$B$14,$C$2:$R$338,+AD171, FALSE)</f>
        <v>0</v>
      </c>
      <c r="AD171" s="373">
        <f t="shared" si="118"/>
        <v>170</v>
      </c>
    </row>
    <row r="172" spans="1:30" s="322" customFormat="1" ht="12.75" thickBot="1" x14ac:dyDescent="0.25">
      <c r="C172" s="500"/>
      <c r="D172" s="500"/>
      <c r="E172" s="500"/>
      <c r="F172" s="500"/>
      <c r="G172" s="500"/>
      <c r="H172" s="500"/>
      <c r="I172" s="500"/>
      <c r="J172" s="500"/>
      <c r="K172" s="500"/>
      <c r="L172" s="500"/>
      <c r="M172" s="500"/>
      <c r="N172" s="500"/>
      <c r="O172" s="500"/>
      <c r="P172" s="500"/>
      <c r="Q172" s="500"/>
      <c r="R172" s="500"/>
      <c r="AC172" s="364">
        <f>HLOOKUP(Start!$B$14,$C$2:$R$338,+AD172, FALSE)</f>
        <v>0</v>
      </c>
      <c r="AD172" s="373">
        <f t="shared" si="118"/>
        <v>171</v>
      </c>
    </row>
    <row r="173" spans="1:30" s="302" customFormat="1" x14ac:dyDescent="0.25">
      <c r="A173" s="496" t="s">
        <v>445</v>
      </c>
      <c r="B173" s="1015"/>
      <c r="C173" s="828"/>
      <c r="D173" s="829"/>
      <c r="E173" s="829"/>
      <c r="F173" s="829"/>
      <c r="G173" s="829"/>
      <c r="H173" s="829"/>
      <c r="I173" s="829"/>
      <c r="J173" s="829"/>
      <c r="K173" s="829"/>
      <c r="L173" s="829"/>
      <c r="M173" s="829"/>
      <c r="N173" s="829"/>
      <c r="O173" s="829"/>
      <c r="P173" s="829"/>
      <c r="Q173" s="829"/>
      <c r="R173" s="830"/>
      <c r="T173" s="339"/>
      <c r="AC173" s="364">
        <f>HLOOKUP(Start!$B$14,$C$2:$R$338,+AD173, FALSE)</f>
        <v>0</v>
      </c>
      <c r="AD173" s="373">
        <f t="shared" si="118"/>
        <v>172</v>
      </c>
    </row>
    <row r="174" spans="1:30" s="339" customFormat="1" ht="36" x14ac:dyDescent="0.25">
      <c r="A174" s="489" t="s">
        <v>515</v>
      </c>
      <c r="B174" s="305"/>
      <c r="C174" s="348">
        <f>+D174</f>
        <v>2.85</v>
      </c>
      <c r="D174" s="349">
        <v>2.85</v>
      </c>
      <c r="E174" s="349">
        <f t="shared" ref="E174:F176" si="128">+D174</f>
        <v>2.85</v>
      </c>
      <c r="F174" s="349">
        <f t="shared" si="128"/>
        <v>2.85</v>
      </c>
      <c r="G174" s="349"/>
      <c r="H174" s="349"/>
      <c r="I174" s="349"/>
      <c r="J174" s="349"/>
      <c r="K174" s="349"/>
      <c r="L174" s="349"/>
      <c r="M174" s="349"/>
      <c r="N174" s="349"/>
      <c r="O174" s="349"/>
      <c r="P174" s="349"/>
      <c r="Q174" s="349">
        <v>1.65</v>
      </c>
      <c r="R174" s="350">
        <f>+Q174</f>
        <v>1.65</v>
      </c>
      <c r="T174" s="317"/>
      <c r="AC174" s="364">
        <f>HLOOKUP(Start!$B$14,$C$2:$R$338,+AD174, FALSE)</f>
        <v>2.85</v>
      </c>
      <c r="AD174" s="373">
        <f t="shared" si="118"/>
        <v>173</v>
      </c>
    </row>
    <row r="175" spans="1:30" s="339" customFormat="1" ht="36" x14ac:dyDescent="0.25">
      <c r="A175" s="489" t="s">
        <v>516</v>
      </c>
      <c r="B175" s="305"/>
      <c r="C175" s="757">
        <f>+D175</f>
        <v>6.2666666666666666</v>
      </c>
      <c r="D175" s="444">
        <f>470/75</f>
        <v>6.2666666666666666</v>
      </c>
      <c r="E175" s="444">
        <f t="shared" si="128"/>
        <v>6.2666666666666666</v>
      </c>
      <c r="F175" s="444">
        <f t="shared" si="128"/>
        <v>6.2666666666666666</v>
      </c>
      <c r="G175" s="349"/>
      <c r="H175" s="349"/>
      <c r="I175" s="444"/>
      <c r="J175" s="444"/>
      <c r="K175" s="444"/>
      <c r="L175" s="444"/>
      <c r="M175" s="444"/>
      <c r="N175" s="444"/>
      <c r="O175" s="444"/>
      <c r="P175" s="444"/>
      <c r="Q175" s="444">
        <f>2.03/2.47</f>
        <v>0.82186234817813753</v>
      </c>
      <c r="R175" s="767">
        <f>+Q175</f>
        <v>0.82186234817813753</v>
      </c>
      <c r="T175" s="317"/>
      <c r="AC175" s="364">
        <f>HLOOKUP(Start!$B$14,$C$2:$R$338,+AD175, FALSE)</f>
        <v>6.2666666666666666</v>
      </c>
      <c r="AD175" s="373">
        <f t="shared" si="118"/>
        <v>174</v>
      </c>
    </row>
    <row r="176" spans="1:30" ht="24" x14ac:dyDescent="0.25">
      <c r="A176" s="489" t="s">
        <v>490</v>
      </c>
      <c r="C176" s="551">
        <f>+D176</f>
        <v>454.78723404255322</v>
      </c>
      <c r="D176" s="445">
        <f>+D174/D175*1000</f>
        <v>454.78723404255322</v>
      </c>
      <c r="E176" s="445">
        <f t="shared" si="128"/>
        <v>454.78723404255322</v>
      </c>
      <c r="F176" s="445">
        <f t="shared" si="128"/>
        <v>454.78723404255322</v>
      </c>
      <c r="G176" s="349"/>
      <c r="H176" s="349"/>
      <c r="I176" s="445"/>
      <c r="J176" s="445"/>
      <c r="K176" s="445"/>
      <c r="L176" s="445"/>
      <c r="M176" s="445"/>
      <c r="N176" s="445"/>
      <c r="O176" s="445"/>
      <c r="P176" s="445"/>
      <c r="Q176" s="445">
        <f>+Q174/Q175*1000</f>
        <v>2007.635467980296</v>
      </c>
      <c r="R176" s="831">
        <f>+R174/R175*1000</f>
        <v>2007.635467980296</v>
      </c>
      <c r="T176" s="317"/>
      <c r="AC176" s="364">
        <f>HLOOKUP(Start!$B$14,$C$2:$R$338,+AD176, FALSE)</f>
        <v>454.78723404255322</v>
      </c>
      <c r="AD176" s="373">
        <f t="shared" si="118"/>
        <v>175</v>
      </c>
    </row>
    <row r="177" spans="1:30" s="302" customFormat="1" x14ac:dyDescent="0.25">
      <c r="A177" s="494" t="s">
        <v>465</v>
      </c>
      <c r="B177" s="1015"/>
      <c r="C177" s="832"/>
      <c r="D177" s="495"/>
      <c r="E177" s="495"/>
      <c r="F177" s="495"/>
      <c r="G177" s="495"/>
      <c r="H177" s="495"/>
      <c r="I177" s="495"/>
      <c r="J177" s="495"/>
      <c r="K177" s="495"/>
      <c r="L177" s="495"/>
      <c r="M177" s="495"/>
      <c r="N177" s="495"/>
      <c r="O177" s="495"/>
      <c r="P177" s="495"/>
      <c r="Q177" s="495"/>
      <c r="R177" s="833"/>
      <c r="T177" s="317"/>
      <c r="AC177" s="364">
        <f>HLOOKUP(Start!$B$14,$C$2:$R$338,+AD177, FALSE)</f>
        <v>0</v>
      </c>
      <c r="AD177" s="373">
        <f t="shared" si="118"/>
        <v>176</v>
      </c>
    </row>
    <row r="178" spans="1:30" x14ac:dyDescent="0.25">
      <c r="A178" s="467" t="s">
        <v>453</v>
      </c>
      <c r="C178" s="616"/>
      <c r="D178" s="615"/>
      <c r="E178" s="615"/>
      <c r="F178" s="615"/>
      <c r="G178" s="615"/>
      <c r="H178" s="615"/>
      <c r="I178" s="615"/>
      <c r="J178" s="615"/>
      <c r="K178" s="615"/>
      <c r="L178" s="615"/>
      <c r="M178" s="615"/>
      <c r="N178" s="615"/>
      <c r="O178" s="615"/>
      <c r="P178" s="615"/>
      <c r="Q178" s="615">
        <v>50</v>
      </c>
      <c r="R178" s="617">
        <f>+Q178</f>
        <v>50</v>
      </c>
      <c r="S178" s="529" t="s">
        <v>842</v>
      </c>
      <c r="T178" s="317"/>
      <c r="AC178" s="364">
        <f>HLOOKUP(Start!$B$14,$C$2:$R$338,+AD178, FALSE)</f>
        <v>0</v>
      </c>
      <c r="AD178" s="373">
        <f t="shared" si="118"/>
        <v>177</v>
      </c>
    </row>
    <row r="179" spans="1:30" s="339" customFormat="1" x14ac:dyDescent="0.25">
      <c r="A179" s="467" t="s">
        <v>446</v>
      </c>
      <c r="B179" s="305"/>
      <c r="C179" s="616">
        <f>+D179</f>
        <v>88.26</v>
      </c>
      <c r="D179" s="615">
        <v>88.26</v>
      </c>
      <c r="E179" s="615">
        <f>+D179</f>
        <v>88.26</v>
      </c>
      <c r="F179" s="615">
        <f>+E179</f>
        <v>88.26</v>
      </c>
      <c r="G179" s="615"/>
      <c r="H179" s="615"/>
      <c r="I179" s="615"/>
      <c r="J179" s="615"/>
      <c r="K179" s="615"/>
      <c r="L179" s="615"/>
      <c r="M179" s="615"/>
      <c r="N179" s="615"/>
      <c r="O179" s="615"/>
      <c r="P179" s="615"/>
      <c r="Q179" s="615"/>
      <c r="R179" s="617"/>
      <c r="S179" s="529" t="s">
        <v>842</v>
      </c>
      <c r="T179" s="317"/>
      <c r="AC179" s="364">
        <f>HLOOKUP(Start!$B$14,$C$2:$R$338,+AD179, FALSE)</f>
        <v>88.26</v>
      </c>
      <c r="AD179" s="373">
        <f t="shared" si="118"/>
        <v>178</v>
      </c>
    </row>
    <row r="180" spans="1:30" s="339" customFormat="1" x14ac:dyDescent="0.25">
      <c r="A180" s="467" t="s">
        <v>454</v>
      </c>
      <c r="B180" s="305"/>
      <c r="C180" s="616"/>
      <c r="D180" s="615"/>
      <c r="E180" s="615"/>
      <c r="F180" s="615"/>
      <c r="G180" s="615"/>
      <c r="H180" s="615"/>
      <c r="I180" s="615"/>
      <c r="J180" s="615"/>
      <c r="K180" s="615"/>
      <c r="L180" s="615"/>
      <c r="M180" s="615"/>
      <c r="N180" s="615"/>
      <c r="O180" s="615"/>
      <c r="P180" s="615"/>
      <c r="Q180" s="615">
        <v>11</v>
      </c>
      <c r="R180" s="617">
        <f>+Q180</f>
        <v>11</v>
      </c>
      <c r="S180" s="529" t="s">
        <v>842</v>
      </c>
      <c r="T180" s="317"/>
      <c r="AC180" s="364">
        <f>HLOOKUP(Start!$B$14,$C$2:$R$338,+AD180, FALSE)</f>
        <v>0</v>
      </c>
      <c r="AD180" s="373">
        <f t="shared" si="118"/>
        <v>179</v>
      </c>
    </row>
    <row r="181" spans="1:30" x14ac:dyDescent="0.25">
      <c r="A181" s="467" t="s">
        <v>447</v>
      </c>
      <c r="C181" s="616">
        <f>+D181</f>
        <v>11.74</v>
      </c>
      <c r="D181" s="615">
        <v>11.74</v>
      </c>
      <c r="E181" s="615">
        <f>+D181</f>
        <v>11.74</v>
      </c>
      <c r="F181" s="615">
        <f>+E181</f>
        <v>11.74</v>
      </c>
      <c r="G181" s="615"/>
      <c r="H181" s="615"/>
      <c r="I181" s="615"/>
      <c r="J181" s="615"/>
      <c r="K181" s="615"/>
      <c r="L181" s="615"/>
      <c r="M181" s="615"/>
      <c r="N181" s="615"/>
      <c r="O181" s="615"/>
      <c r="P181" s="615"/>
      <c r="Q181" s="615">
        <v>26</v>
      </c>
      <c r="R181" s="617">
        <f>+Q181</f>
        <v>26</v>
      </c>
      <c r="S181" s="529" t="s">
        <v>842</v>
      </c>
      <c r="AC181" s="364">
        <f>HLOOKUP(Start!$B$14,$C$2:$R$338,+AD181, FALSE)</f>
        <v>11.74</v>
      </c>
      <c r="AD181" s="373">
        <f t="shared" si="118"/>
        <v>180</v>
      </c>
    </row>
    <row r="182" spans="1:30" x14ac:dyDescent="0.25">
      <c r="A182" s="467" t="s">
        <v>448</v>
      </c>
      <c r="C182" s="616"/>
      <c r="D182" s="615"/>
      <c r="E182" s="615"/>
      <c r="F182" s="615"/>
      <c r="G182" s="615"/>
      <c r="H182" s="615"/>
      <c r="I182" s="615"/>
      <c r="J182" s="615"/>
      <c r="K182" s="615"/>
      <c r="L182" s="615"/>
      <c r="M182" s="615"/>
      <c r="N182" s="615"/>
      <c r="O182" s="615"/>
      <c r="P182" s="615"/>
      <c r="Q182" s="615">
        <v>10</v>
      </c>
      <c r="R182" s="617">
        <f>+Q182</f>
        <v>10</v>
      </c>
      <c r="S182" s="529" t="s">
        <v>842</v>
      </c>
      <c r="AC182" s="364">
        <f>HLOOKUP(Start!$B$14,$C$2:$R$338,+AD182, FALSE)</f>
        <v>0</v>
      </c>
      <c r="AD182" s="373">
        <f t="shared" si="118"/>
        <v>181</v>
      </c>
    </row>
    <row r="183" spans="1:30" s="339" customFormat="1" x14ac:dyDescent="0.25">
      <c r="A183" s="467" t="s">
        <v>464</v>
      </c>
      <c r="B183" s="305"/>
      <c r="C183" s="616"/>
      <c r="D183" s="615"/>
      <c r="E183" s="615"/>
      <c r="F183" s="615"/>
      <c r="G183" s="615"/>
      <c r="H183" s="615"/>
      <c r="I183" s="615"/>
      <c r="J183" s="615"/>
      <c r="K183" s="615"/>
      <c r="L183" s="615"/>
      <c r="M183" s="615"/>
      <c r="N183" s="615"/>
      <c r="O183" s="615"/>
      <c r="P183" s="615"/>
      <c r="Q183" s="615"/>
      <c r="R183" s="617"/>
      <c r="S183" s="529" t="s">
        <v>842</v>
      </c>
      <c r="AC183" s="364">
        <f>HLOOKUP(Start!$B$14,$C$2:$R$338,+AD183, FALSE)</f>
        <v>0</v>
      </c>
      <c r="AD183" s="373">
        <f t="shared" si="118"/>
        <v>182</v>
      </c>
    </row>
    <row r="184" spans="1:30" s="339" customFormat="1" x14ac:dyDescent="0.25">
      <c r="A184" s="467" t="s">
        <v>455</v>
      </c>
      <c r="B184" s="305"/>
      <c r="C184" s="616"/>
      <c r="D184" s="615"/>
      <c r="E184" s="615"/>
      <c r="F184" s="615"/>
      <c r="G184" s="615"/>
      <c r="H184" s="615"/>
      <c r="I184" s="615"/>
      <c r="J184" s="615"/>
      <c r="K184" s="615"/>
      <c r="L184" s="615"/>
      <c r="M184" s="615"/>
      <c r="N184" s="615"/>
      <c r="O184" s="615"/>
      <c r="P184" s="615"/>
      <c r="Q184" s="615"/>
      <c r="R184" s="617"/>
      <c r="S184" s="529" t="s">
        <v>842</v>
      </c>
      <c r="AC184" s="364">
        <f>HLOOKUP(Start!$B$14,$C$2:$R$338,+AD184, FALSE)</f>
        <v>0</v>
      </c>
      <c r="AD184" s="373">
        <f t="shared" si="118"/>
        <v>183</v>
      </c>
    </row>
    <row r="185" spans="1:30" s="339" customFormat="1" x14ac:dyDescent="0.25">
      <c r="A185" s="467" t="s">
        <v>456</v>
      </c>
      <c r="B185" s="305"/>
      <c r="C185" s="616"/>
      <c r="D185" s="615"/>
      <c r="E185" s="615"/>
      <c r="F185" s="615"/>
      <c r="G185" s="615"/>
      <c r="H185" s="615"/>
      <c r="I185" s="615"/>
      <c r="J185" s="615"/>
      <c r="K185" s="615"/>
      <c r="L185" s="615"/>
      <c r="M185" s="615"/>
      <c r="N185" s="615"/>
      <c r="O185" s="615"/>
      <c r="P185" s="615"/>
      <c r="Q185" s="615"/>
      <c r="R185" s="617"/>
      <c r="S185" s="529" t="s">
        <v>842</v>
      </c>
      <c r="AC185" s="364">
        <f>HLOOKUP(Start!$B$14,$C$2:$R$338,+AD185, FALSE)</f>
        <v>0</v>
      </c>
      <c r="AD185" s="373">
        <f t="shared" si="118"/>
        <v>184</v>
      </c>
    </row>
    <row r="186" spans="1:30" s="339" customFormat="1" x14ac:dyDescent="0.25">
      <c r="A186" s="467" t="s">
        <v>457</v>
      </c>
      <c r="B186" s="305"/>
      <c r="C186" s="616"/>
      <c r="D186" s="615"/>
      <c r="E186" s="615"/>
      <c r="F186" s="615"/>
      <c r="G186" s="615"/>
      <c r="H186" s="615"/>
      <c r="I186" s="615"/>
      <c r="J186" s="615"/>
      <c r="K186" s="615"/>
      <c r="L186" s="615"/>
      <c r="M186" s="615"/>
      <c r="N186" s="615"/>
      <c r="O186" s="615"/>
      <c r="P186" s="615"/>
      <c r="Q186" s="615"/>
      <c r="R186" s="617"/>
      <c r="S186" s="529" t="s">
        <v>842</v>
      </c>
      <c r="AC186" s="364">
        <f>HLOOKUP(Start!$B$14,$C$2:$R$338,+AD186, FALSE)</f>
        <v>0</v>
      </c>
      <c r="AD186" s="373">
        <f t="shared" si="118"/>
        <v>185</v>
      </c>
    </row>
    <row r="187" spans="1:30" s="339" customFormat="1" x14ac:dyDescent="0.25">
      <c r="A187" s="467" t="s">
        <v>458</v>
      </c>
      <c r="B187" s="305"/>
      <c r="C187" s="616"/>
      <c r="D187" s="615"/>
      <c r="E187" s="615"/>
      <c r="F187" s="615"/>
      <c r="G187" s="615"/>
      <c r="H187" s="615"/>
      <c r="I187" s="615"/>
      <c r="J187" s="615"/>
      <c r="K187" s="615"/>
      <c r="L187" s="615"/>
      <c r="M187" s="615"/>
      <c r="N187" s="615"/>
      <c r="O187" s="615"/>
      <c r="P187" s="615"/>
      <c r="Q187" s="615"/>
      <c r="R187" s="617"/>
      <c r="S187" s="529" t="s">
        <v>842</v>
      </c>
      <c r="AC187" s="364">
        <f>HLOOKUP(Start!$B$14,$C$2:$R$338,+AD187, FALSE)</f>
        <v>0</v>
      </c>
      <c r="AD187" s="373">
        <f t="shared" si="118"/>
        <v>186</v>
      </c>
    </row>
    <row r="188" spans="1:30" s="339" customFormat="1" x14ac:dyDescent="0.25">
      <c r="A188" s="467" t="s">
        <v>461</v>
      </c>
      <c r="B188" s="305"/>
      <c r="C188" s="616"/>
      <c r="D188" s="615"/>
      <c r="E188" s="615"/>
      <c r="F188" s="615"/>
      <c r="G188" s="615"/>
      <c r="H188" s="615"/>
      <c r="I188" s="615"/>
      <c r="J188" s="615"/>
      <c r="K188" s="615"/>
      <c r="L188" s="615"/>
      <c r="M188" s="615"/>
      <c r="N188" s="615"/>
      <c r="O188" s="615"/>
      <c r="P188" s="615"/>
      <c r="Q188" s="615">
        <v>3</v>
      </c>
      <c r="R188" s="617">
        <v>3</v>
      </c>
      <c r="S188" s="529" t="s">
        <v>842</v>
      </c>
      <c r="AC188" s="364">
        <f>HLOOKUP(Start!$B$14,$C$2:$R$338,+AD188, FALSE)</f>
        <v>0</v>
      </c>
      <c r="AD188" s="373">
        <f t="shared" si="118"/>
        <v>187</v>
      </c>
    </row>
    <row r="189" spans="1:30" s="339" customFormat="1" x14ac:dyDescent="0.25">
      <c r="A189" s="472" t="s">
        <v>459</v>
      </c>
      <c r="B189" s="1016" t="s">
        <v>866</v>
      </c>
      <c r="C189" s="616"/>
      <c r="D189" s="615"/>
      <c r="E189" s="615"/>
      <c r="F189" s="615"/>
      <c r="G189" s="615"/>
      <c r="H189" s="615"/>
      <c r="I189" s="615"/>
      <c r="J189" s="615"/>
      <c r="K189" s="615"/>
      <c r="L189" s="615"/>
      <c r="M189" s="615"/>
      <c r="N189" s="615"/>
      <c r="O189" s="615"/>
      <c r="P189" s="615"/>
      <c r="Q189" s="615"/>
      <c r="R189" s="617"/>
      <c r="S189" s="529" t="s">
        <v>842</v>
      </c>
      <c r="AC189" s="364">
        <f>HLOOKUP(Start!$B$14,$C$2:$R$338,+AD189, FALSE)</f>
        <v>0</v>
      </c>
      <c r="AD189" s="373">
        <f t="shared" si="118"/>
        <v>188</v>
      </c>
    </row>
    <row r="190" spans="1:30" s="339" customFormat="1" ht="15.75" thickBot="1" x14ac:dyDescent="0.3">
      <c r="A190" s="467" t="s">
        <v>463</v>
      </c>
      <c r="B190" s="305"/>
      <c r="C190" s="834">
        <f t="shared" ref="C190:K190" si="129">SUM(C178:C189)</f>
        <v>100</v>
      </c>
      <c r="D190" s="835">
        <f t="shared" si="129"/>
        <v>100</v>
      </c>
      <c r="E190" s="835">
        <f t="shared" si="129"/>
        <v>100</v>
      </c>
      <c r="F190" s="835">
        <f t="shared" si="129"/>
        <v>100</v>
      </c>
      <c r="G190" s="835">
        <f t="shared" si="129"/>
        <v>0</v>
      </c>
      <c r="H190" s="835">
        <f t="shared" si="129"/>
        <v>0</v>
      </c>
      <c r="I190" s="835">
        <f t="shared" si="129"/>
        <v>0</v>
      </c>
      <c r="J190" s="835">
        <f t="shared" si="129"/>
        <v>0</v>
      </c>
      <c r="K190" s="835">
        <f t="shared" si="129"/>
        <v>0</v>
      </c>
      <c r="L190" s="835"/>
      <c r="M190" s="835"/>
      <c r="N190" s="835"/>
      <c r="O190" s="835">
        <f>SUM(O178:O189)</f>
        <v>0</v>
      </c>
      <c r="P190" s="835">
        <f>SUM(P178:P189)</f>
        <v>0</v>
      </c>
      <c r="Q190" s="835">
        <f>SUM(Q178:Q189)</f>
        <v>100</v>
      </c>
      <c r="R190" s="836">
        <f>SUM(R178:R189)</f>
        <v>100</v>
      </c>
      <c r="S190" s="529" t="s">
        <v>842</v>
      </c>
      <c r="AC190" s="364">
        <f>HLOOKUP(Start!$B$14,$C$2:$R$338,+AD190, FALSE)</f>
        <v>100</v>
      </c>
      <c r="AD190" s="373">
        <f t="shared" si="118"/>
        <v>189</v>
      </c>
    </row>
    <row r="191" spans="1:30" s="339" customFormat="1" x14ac:dyDescent="0.25">
      <c r="A191" s="467"/>
      <c r="B191" s="305"/>
      <c r="C191" s="467"/>
      <c r="D191" s="446"/>
      <c r="E191" s="906"/>
      <c r="F191" s="446"/>
      <c r="G191" s="446"/>
      <c r="H191" s="906"/>
      <c r="I191" s="446"/>
      <c r="J191" s="446"/>
      <c r="K191" s="906"/>
      <c r="L191" s="446"/>
      <c r="M191" s="446"/>
      <c r="N191" s="906"/>
      <c r="O191" s="446"/>
      <c r="P191" s="446"/>
      <c r="Q191" s="446"/>
      <c r="R191" s="446"/>
      <c r="AC191" s="364">
        <f>HLOOKUP(Start!$B$14,$C$2:$R$338,+AD191, FALSE)</f>
        <v>0</v>
      </c>
      <c r="AD191" s="373">
        <f t="shared" si="118"/>
        <v>190</v>
      </c>
    </row>
    <row r="192" spans="1:30" s="339" customFormat="1" ht="18.75" x14ac:dyDescent="0.25">
      <c r="A192" s="561" t="s">
        <v>532</v>
      </c>
      <c r="B192" s="1000"/>
      <c r="C192" s="559"/>
      <c r="D192" s="559"/>
      <c r="E192" s="559"/>
      <c r="F192" s="559"/>
      <c r="G192" s="559"/>
      <c r="H192" s="559"/>
      <c r="I192" s="559"/>
      <c r="J192" s="559"/>
      <c r="K192" s="559"/>
      <c r="L192" s="559"/>
      <c r="M192" s="559"/>
      <c r="N192" s="559"/>
      <c r="O192" s="559"/>
      <c r="P192" s="559"/>
      <c r="Q192" s="559"/>
      <c r="R192" s="560"/>
      <c r="S192" s="527"/>
      <c r="T192" s="467"/>
      <c r="U192" s="467"/>
      <c r="V192" s="467"/>
      <c r="W192" s="467"/>
      <c r="X192" s="467"/>
      <c r="Y192" s="467"/>
      <c r="Z192" s="467"/>
      <c r="AA192" s="467"/>
      <c r="AC192" s="364">
        <f>HLOOKUP(Start!$B$14,$C$2:$R$338,+AD192, FALSE)</f>
        <v>0</v>
      </c>
      <c r="AD192" s="373">
        <f t="shared" si="118"/>
        <v>191</v>
      </c>
    </row>
    <row r="193" spans="1:30" s="339" customFormat="1" ht="25.5" x14ac:dyDescent="0.25">
      <c r="A193" s="566" t="s">
        <v>850</v>
      </c>
      <c r="B193" s="1017"/>
      <c r="C193" s="1099">
        <v>1840</v>
      </c>
      <c r="D193" s="1100">
        <v>1840</v>
      </c>
      <c r="E193" s="1100">
        <v>1840</v>
      </c>
      <c r="F193" s="1100">
        <v>1840</v>
      </c>
      <c r="G193" s="1100">
        <v>1840</v>
      </c>
      <c r="H193" s="1101"/>
      <c r="I193" s="1100"/>
      <c r="J193" s="1100"/>
      <c r="K193" s="1100"/>
      <c r="L193" s="1100"/>
      <c r="M193" s="1100"/>
      <c r="N193" s="1100"/>
      <c r="O193" s="1100">
        <v>36</v>
      </c>
      <c r="P193" s="1100">
        <v>36</v>
      </c>
      <c r="Q193" s="1100">
        <v>13</v>
      </c>
      <c r="R193" s="1102">
        <v>13</v>
      </c>
      <c r="S193" s="527" t="s">
        <v>819</v>
      </c>
      <c r="T193" s="467"/>
      <c r="U193" s="467"/>
      <c r="V193" s="467"/>
      <c r="W193" s="467"/>
      <c r="X193" s="467"/>
      <c r="Y193" s="467"/>
      <c r="Z193" s="467"/>
      <c r="AA193" s="467"/>
      <c r="AC193" s="364">
        <f>HLOOKUP(Start!$B$14,$C$2:$R$338,+AD193, FALSE)</f>
        <v>1840</v>
      </c>
      <c r="AD193" s="373">
        <f t="shared" si="118"/>
        <v>192</v>
      </c>
    </row>
    <row r="194" spans="1:30" s="339" customFormat="1" ht="60" x14ac:dyDescent="0.25">
      <c r="A194" s="566" t="s">
        <v>818</v>
      </c>
      <c r="B194" s="1018" t="s">
        <v>817</v>
      </c>
      <c r="C194" s="1099">
        <v>367.4</v>
      </c>
      <c r="D194" s="1100">
        <v>367.4</v>
      </c>
      <c r="E194" s="1100">
        <v>367.4</v>
      </c>
      <c r="F194" s="1100">
        <v>367.4</v>
      </c>
      <c r="G194" s="1100">
        <v>367.4</v>
      </c>
      <c r="H194" s="1103"/>
      <c r="I194" s="1100"/>
      <c r="J194" s="1100"/>
      <c r="K194" s="1100"/>
      <c r="L194" s="1100"/>
      <c r="M194" s="1100"/>
      <c r="N194" s="1100"/>
      <c r="O194" s="1100"/>
      <c r="P194" s="1100"/>
      <c r="Q194" s="1100">
        <f>1.9*8.5</f>
        <v>16.149999999999999</v>
      </c>
      <c r="R194" s="1102">
        <f>1.9*8.5</f>
        <v>16.149999999999999</v>
      </c>
      <c r="S194" s="527" t="s">
        <v>819</v>
      </c>
      <c r="T194" s="467"/>
      <c r="U194" s="467"/>
      <c r="V194" s="467"/>
      <c r="W194" s="467"/>
      <c r="X194" s="467"/>
      <c r="Y194" s="467"/>
      <c r="Z194" s="467"/>
      <c r="AA194" s="467"/>
      <c r="AC194" s="364">
        <f>HLOOKUP(Start!$B$14,$C$2:$R$338,+AD194, FALSE)</f>
        <v>367.4</v>
      </c>
      <c r="AD194" s="373">
        <f t="shared" si="118"/>
        <v>193</v>
      </c>
    </row>
    <row r="195" spans="1:30" customFormat="1" x14ac:dyDescent="0.25">
      <c r="A195" s="577"/>
      <c r="B195" s="999"/>
      <c r="C195" s="558"/>
      <c r="D195" s="558"/>
      <c r="E195" s="558"/>
      <c r="F195" s="558"/>
      <c r="G195" s="558"/>
      <c r="H195" s="558"/>
      <c r="I195" s="558"/>
      <c r="J195" s="558"/>
      <c r="K195" s="558"/>
      <c r="L195" s="558"/>
      <c r="M195" s="558"/>
      <c r="N195" s="558"/>
      <c r="O195" s="558"/>
      <c r="P195" s="558"/>
      <c r="Q195" s="558"/>
      <c r="R195" s="558"/>
      <c r="S195" s="527"/>
      <c r="T195" s="467"/>
      <c r="U195" s="467"/>
      <c r="V195" s="467"/>
      <c r="W195" s="467"/>
      <c r="X195" s="467"/>
      <c r="Y195" s="467"/>
      <c r="Z195" s="467"/>
      <c r="AA195" s="467"/>
      <c r="AC195" s="364">
        <f>HLOOKUP(Start!$B$14,$C$2:$R$338,+AD195, FALSE)</f>
        <v>0</v>
      </c>
      <c r="AD195" s="373">
        <f t="shared" si="118"/>
        <v>194</v>
      </c>
    </row>
    <row r="196" spans="1:30" customFormat="1" ht="18.75" x14ac:dyDescent="0.25">
      <c r="A196" s="561" t="s">
        <v>700</v>
      </c>
      <c r="B196" s="1019"/>
      <c r="C196" s="993"/>
      <c r="D196" s="993"/>
      <c r="E196" s="993"/>
      <c r="F196" s="993"/>
      <c r="G196" s="993"/>
      <c r="H196" s="993"/>
      <c r="I196" s="993"/>
      <c r="J196" s="993"/>
      <c r="K196" s="993"/>
      <c r="L196" s="993"/>
      <c r="M196" s="993"/>
      <c r="N196" s="993"/>
      <c r="O196" s="993"/>
      <c r="P196" s="993"/>
      <c r="Q196" s="993"/>
      <c r="R196" s="1034"/>
      <c r="S196" s="587"/>
      <c r="T196" s="341"/>
      <c r="U196" s="341"/>
      <c r="V196" s="341"/>
      <c r="W196" s="341"/>
      <c r="X196" s="341"/>
      <c r="Y196" s="341"/>
      <c r="Z196" s="341"/>
      <c r="AA196" s="341"/>
      <c r="AC196" s="364">
        <f>HLOOKUP(Start!$B$14,$C$2:$R$338,+AD196, FALSE)</f>
        <v>0</v>
      </c>
      <c r="AD196" s="373">
        <f t="shared" si="118"/>
        <v>195</v>
      </c>
    </row>
    <row r="197" spans="1:30" customFormat="1" ht="25.5" x14ac:dyDescent="0.25">
      <c r="A197" s="567" t="s">
        <v>701</v>
      </c>
      <c r="B197" s="1003" t="s">
        <v>692</v>
      </c>
      <c r="C197" s="1065">
        <f t="shared" ref="C197:R197" si="130">-C92*C$193</f>
        <v>1313.76</v>
      </c>
      <c r="D197" s="1066">
        <f t="shared" si="130"/>
        <v>1378.9176470588236</v>
      </c>
      <c r="E197" s="1066">
        <f t="shared" si="130"/>
        <v>887.61599999999999</v>
      </c>
      <c r="F197" s="1066">
        <f t="shared" si="130"/>
        <v>1793.2239263803685</v>
      </c>
      <c r="G197" s="1066">
        <f t="shared" si="130"/>
        <v>1648.696903473395</v>
      </c>
      <c r="H197" s="1066">
        <f t="shared" si="130"/>
        <v>0</v>
      </c>
      <c r="I197" s="1066">
        <f t="shared" si="130"/>
        <v>0</v>
      </c>
      <c r="J197" s="1066">
        <f t="shared" si="130"/>
        <v>0</v>
      </c>
      <c r="K197" s="1066">
        <f t="shared" si="130"/>
        <v>0</v>
      </c>
      <c r="L197" s="1066">
        <f t="shared" si="130"/>
        <v>0</v>
      </c>
      <c r="M197" s="1066">
        <f t="shared" si="130"/>
        <v>0</v>
      </c>
      <c r="N197" s="1066">
        <f t="shared" si="130"/>
        <v>0</v>
      </c>
      <c r="O197" s="1067">
        <f t="shared" si="130"/>
        <v>173.12946428571428</v>
      </c>
      <c r="P197" s="1067">
        <f t="shared" ref="P197" si="131">-P92*P$193</f>
        <v>94.941964285714278</v>
      </c>
      <c r="Q197" s="1067">
        <f t="shared" si="130"/>
        <v>43.940000000000005</v>
      </c>
      <c r="R197" s="1068">
        <f t="shared" si="130"/>
        <v>52.780000000000008</v>
      </c>
      <c r="S197" s="588"/>
      <c r="T197" s="318"/>
      <c r="U197" s="318"/>
      <c r="V197" s="318"/>
      <c r="W197" s="318"/>
      <c r="X197" s="318"/>
      <c r="Y197" s="318"/>
      <c r="Z197" s="318"/>
      <c r="AA197" s="318"/>
      <c r="AC197" s="364">
        <f>HLOOKUP(Start!$B$14,$C$2:$R$338,+AD197, FALSE)</f>
        <v>1313.76</v>
      </c>
      <c r="AD197" s="373">
        <f t="shared" si="118"/>
        <v>196</v>
      </c>
    </row>
    <row r="198" spans="1:30" customFormat="1" ht="25.5" x14ac:dyDescent="0.25">
      <c r="A198" s="567" t="s">
        <v>702</v>
      </c>
      <c r="B198" s="1002" t="s">
        <v>693</v>
      </c>
      <c r="C198" s="1065">
        <f t="shared" ref="C198:R198" si="132">-C98*C$193</f>
        <v>181.61503800000003</v>
      </c>
      <c r="D198" s="1066">
        <f t="shared" si="132"/>
        <v>943.65024547358712</v>
      </c>
      <c r="E198" s="1066">
        <f t="shared" si="132"/>
        <v>894.05001651891882</v>
      </c>
      <c r="F198" s="1066">
        <f t="shared" si="132"/>
        <v>438.87317833966472</v>
      </c>
      <c r="G198" s="1066">
        <f t="shared" si="132"/>
        <v>3470.8038714220838</v>
      </c>
      <c r="H198" s="1066">
        <f t="shared" si="132"/>
        <v>0</v>
      </c>
      <c r="I198" s="1067">
        <f t="shared" si="132"/>
        <v>0</v>
      </c>
      <c r="J198" s="1067">
        <f t="shared" si="132"/>
        <v>0</v>
      </c>
      <c r="K198" s="1067">
        <f t="shared" si="132"/>
        <v>0</v>
      </c>
      <c r="L198" s="1067">
        <f t="shared" si="132"/>
        <v>0</v>
      </c>
      <c r="M198" s="1067">
        <f t="shared" si="132"/>
        <v>0</v>
      </c>
      <c r="N198" s="1067">
        <f t="shared" si="132"/>
        <v>0</v>
      </c>
      <c r="O198" s="1067">
        <f t="shared" si="132"/>
        <v>13.298390624999996</v>
      </c>
      <c r="P198" s="1067">
        <f t="shared" ref="P198" si="133">-P98*P$193</f>
        <v>17.207765624999997</v>
      </c>
      <c r="Q198" s="1067">
        <f t="shared" si="132"/>
        <v>42.089884441877601</v>
      </c>
      <c r="R198" s="1068">
        <f t="shared" si="132"/>
        <v>49.900542764800001</v>
      </c>
      <c r="S198" s="588"/>
      <c r="T198" s="318"/>
      <c r="U198" s="318"/>
      <c r="V198" s="318"/>
      <c r="W198" s="318"/>
      <c r="X198" s="318"/>
      <c r="Y198" s="318"/>
      <c r="Z198" s="318"/>
      <c r="AA198" s="318"/>
      <c r="AC198" s="364">
        <f>HLOOKUP(Start!$B$14,$C$2:$R$338,+AD198, FALSE)</f>
        <v>181.61503800000003</v>
      </c>
      <c r="AD198" s="373">
        <f t="shared" si="118"/>
        <v>197</v>
      </c>
    </row>
    <row r="199" spans="1:30" customFormat="1" ht="25.5" x14ac:dyDescent="0.25">
      <c r="A199" s="571" t="s">
        <v>703</v>
      </c>
      <c r="B199" s="1002" t="s">
        <v>694</v>
      </c>
      <c r="C199" s="1065">
        <f t="shared" ref="C199:R199" si="134">-C104*C$193</f>
        <v>1162.0886430113455</v>
      </c>
      <c r="D199" s="1066">
        <f t="shared" si="134"/>
        <v>1289.7051058178508</v>
      </c>
      <c r="E199" s="1066">
        <f t="shared" si="134"/>
        <v>1310.5758876212954</v>
      </c>
      <c r="F199" s="1066">
        <f t="shared" si="134"/>
        <v>1855.5328767436592</v>
      </c>
      <c r="G199" s="1066">
        <f t="shared" si="134"/>
        <v>491.58389326807168</v>
      </c>
      <c r="H199" s="1066">
        <f t="shared" si="134"/>
        <v>0</v>
      </c>
      <c r="I199" s="1066">
        <f t="shared" si="134"/>
        <v>0</v>
      </c>
      <c r="J199" s="1066">
        <f t="shared" si="134"/>
        <v>0</v>
      </c>
      <c r="K199" s="1066">
        <f t="shared" si="134"/>
        <v>0</v>
      </c>
      <c r="L199" s="1066">
        <f t="shared" si="134"/>
        <v>0</v>
      </c>
      <c r="M199" s="1066">
        <f t="shared" si="134"/>
        <v>0</v>
      </c>
      <c r="N199" s="1066">
        <f t="shared" si="134"/>
        <v>0</v>
      </c>
      <c r="O199" s="1066">
        <f t="shared" si="134"/>
        <v>34.782310218013379</v>
      </c>
      <c r="P199" s="1066">
        <f t="shared" ref="P199" si="135">-P104*P$193</f>
        <v>45.019907811763368</v>
      </c>
      <c r="Q199" s="1066">
        <f t="shared" si="134"/>
        <v>9.0823889637917503</v>
      </c>
      <c r="R199" s="1069">
        <f t="shared" si="134"/>
        <v>66.228215445005816</v>
      </c>
      <c r="S199" s="588"/>
      <c r="T199" s="318"/>
      <c r="U199" s="318"/>
      <c r="V199" s="318"/>
      <c r="W199" s="318"/>
      <c r="X199" s="318"/>
      <c r="Y199" s="318"/>
      <c r="Z199" s="318"/>
      <c r="AA199" s="318"/>
      <c r="AC199" s="364">
        <f>HLOOKUP(Start!$B$14,$C$2:$R$338,+AD199, FALSE)</f>
        <v>1162.0886430113455</v>
      </c>
      <c r="AD199" s="373">
        <f t="shared" ref="AD199:AD237" si="136">+AD198+1</f>
        <v>198</v>
      </c>
    </row>
    <row r="200" spans="1:30" customFormat="1" x14ac:dyDescent="0.25">
      <c r="A200" s="557"/>
      <c r="B200" s="999"/>
      <c r="C200" s="583"/>
      <c r="D200" s="583"/>
      <c r="E200" s="583"/>
      <c r="F200" s="584"/>
      <c r="G200" s="583"/>
      <c r="H200" s="583"/>
      <c r="I200" s="584"/>
      <c r="J200" s="583"/>
      <c r="K200" s="583"/>
      <c r="L200" s="584"/>
      <c r="M200" s="583"/>
      <c r="N200" s="583"/>
      <c r="O200" s="583"/>
      <c r="P200" s="583"/>
      <c r="Q200" s="583"/>
      <c r="R200" s="583"/>
      <c r="S200" s="588"/>
      <c r="T200" s="318"/>
      <c r="U200" s="318"/>
      <c r="V200" s="318"/>
      <c r="W200" s="318"/>
      <c r="X200" s="318"/>
      <c r="Y200" s="318"/>
      <c r="Z200" s="318"/>
      <c r="AA200" s="318"/>
      <c r="AC200" s="364">
        <f>HLOOKUP(Start!$B$14,$C$2:$R$338,+AD200, FALSE)</f>
        <v>0</v>
      </c>
      <c r="AD200" s="373">
        <f t="shared" si="136"/>
        <v>199</v>
      </c>
    </row>
    <row r="201" spans="1:30" customFormat="1" ht="18.75" x14ac:dyDescent="0.25">
      <c r="A201" s="561" t="s">
        <v>707</v>
      </c>
      <c r="B201" s="1019"/>
      <c r="C201" s="993"/>
      <c r="D201" s="993"/>
      <c r="E201" s="993"/>
      <c r="F201" s="993"/>
      <c r="G201" s="993"/>
      <c r="H201" s="993"/>
      <c r="I201" s="993"/>
      <c r="J201" s="993"/>
      <c r="K201" s="993"/>
      <c r="L201" s="993"/>
      <c r="M201" s="993"/>
      <c r="N201" s="993"/>
      <c r="O201" s="993"/>
      <c r="P201" s="993"/>
      <c r="Q201" s="993"/>
      <c r="R201" s="1034"/>
      <c r="S201" s="587"/>
      <c r="T201" s="341"/>
      <c r="U201" s="341"/>
      <c r="V201" s="341"/>
      <c r="W201" s="341"/>
      <c r="X201" s="341"/>
      <c r="Y201" s="341"/>
      <c r="Z201" s="341"/>
      <c r="AA201" s="341"/>
      <c r="AC201" s="364">
        <f>HLOOKUP(Start!$B$14,$C$2:$R$338,+AD201, FALSE)</f>
        <v>0</v>
      </c>
      <c r="AD201" s="373">
        <f t="shared" si="136"/>
        <v>200</v>
      </c>
    </row>
    <row r="202" spans="1:30" customFormat="1" ht="25.5" x14ac:dyDescent="0.25">
      <c r="A202" s="567" t="s">
        <v>704</v>
      </c>
      <c r="B202" s="1003" t="s">
        <v>692</v>
      </c>
      <c r="C202" s="1065">
        <f t="shared" ref="C202:R202" si="137">-C93*C$193</f>
        <v>16.560000000000002</v>
      </c>
      <c r="D202" s="1067">
        <f t="shared" si="137"/>
        <v>19.32</v>
      </c>
      <c r="E202" s="1067">
        <f t="shared" si="137"/>
        <v>14.7936</v>
      </c>
      <c r="F202" s="1067">
        <f t="shared" si="137"/>
        <v>19.213113496932518</v>
      </c>
      <c r="G202" s="1067">
        <f t="shared" si="137"/>
        <v>0.54956563449113172</v>
      </c>
      <c r="H202" s="1067">
        <f t="shared" si="137"/>
        <v>0</v>
      </c>
      <c r="I202" s="1070">
        <f t="shared" si="137"/>
        <v>0</v>
      </c>
      <c r="J202" s="1070">
        <f t="shared" si="137"/>
        <v>0</v>
      </c>
      <c r="K202" s="1070">
        <f t="shared" si="137"/>
        <v>0</v>
      </c>
      <c r="L202" s="1070">
        <f t="shared" si="137"/>
        <v>0</v>
      </c>
      <c r="M202" s="1070">
        <f t="shared" si="137"/>
        <v>0</v>
      </c>
      <c r="N202" s="1070">
        <f t="shared" si="137"/>
        <v>0</v>
      </c>
      <c r="O202" s="1070">
        <f t="shared" si="137"/>
        <v>0.27924107142857141</v>
      </c>
      <c r="P202" s="1070">
        <f t="shared" ref="P202" si="138">-P93*P$193</f>
        <v>0.27924107142857141</v>
      </c>
      <c r="Q202" s="1070">
        <f t="shared" si="137"/>
        <v>0.13208</v>
      </c>
      <c r="R202" s="1071">
        <f t="shared" si="137"/>
        <v>0.26390000000000002</v>
      </c>
      <c r="S202" s="588"/>
      <c r="T202" s="318"/>
      <c r="U202" s="318"/>
      <c r="V202" s="318"/>
      <c r="W202" s="318"/>
      <c r="X202" s="318"/>
      <c r="Y202" s="318"/>
      <c r="Z202" s="318"/>
      <c r="AA202" s="318"/>
      <c r="AC202" s="364">
        <f>HLOOKUP(Start!$B$14,$C$2:$R$338,+AD202, FALSE)</f>
        <v>16.560000000000002</v>
      </c>
      <c r="AD202" s="373">
        <f t="shared" si="136"/>
        <v>201</v>
      </c>
    </row>
    <row r="203" spans="1:30" customFormat="1" ht="25.5" x14ac:dyDescent="0.25">
      <c r="A203" s="567" t="s">
        <v>705</v>
      </c>
      <c r="B203" s="1002" t="s">
        <v>693</v>
      </c>
      <c r="C203" s="1065">
        <f t="shared" ref="C203:R203" si="139">-C99*C$193</f>
        <v>38.639999999999993</v>
      </c>
      <c r="D203" s="1067">
        <f t="shared" si="139"/>
        <v>45.08</v>
      </c>
      <c r="E203" s="1067">
        <f t="shared" si="139"/>
        <v>34.5184</v>
      </c>
      <c r="F203" s="1067">
        <f t="shared" si="139"/>
        <v>44.830598159509201</v>
      </c>
      <c r="G203" s="1067">
        <f t="shared" si="139"/>
        <v>54.406997814622038</v>
      </c>
      <c r="H203" s="1067">
        <f t="shared" si="139"/>
        <v>0</v>
      </c>
      <c r="I203" s="1070">
        <f t="shared" si="139"/>
        <v>0</v>
      </c>
      <c r="J203" s="1070">
        <f t="shared" si="139"/>
        <v>0</v>
      </c>
      <c r="K203" s="1070">
        <f t="shared" si="139"/>
        <v>0</v>
      </c>
      <c r="L203" s="1070">
        <f t="shared" si="139"/>
        <v>0</v>
      </c>
      <c r="M203" s="1070">
        <f t="shared" si="139"/>
        <v>0</v>
      </c>
      <c r="N203" s="1070">
        <f t="shared" si="139"/>
        <v>0</v>
      </c>
      <c r="O203" s="1070">
        <f t="shared" si="139"/>
        <v>0.27924107142857135</v>
      </c>
      <c r="P203" s="1070">
        <f t="shared" ref="P203" si="140">-P99*P$193</f>
        <v>0.27924107142857141</v>
      </c>
      <c r="Q203" s="1070">
        <f t="shared" si="139"/>
        <v>0.13208</v>
      </c>
      <c r="R203" s="1071">
        <f t="shared" si="139"/>
        <v>0.26390000000000002</v>
      </c>
      <c r="S203" s="588"/>
      <c r="T203" s="318"/>
      <c r="U203" s="318"/>
      <c r="V203" s="318"/>
      <c r="W203" s="318"/>
      <c r="X203" s="318"/>
      <c r="Y203" s="318"/>
      <c r="Z203" s="318"/>
      <c r="AA203" s="318"/>
      <c r="AC203" s="364">
        <f>HLOOKUP(Start!$B$14,$C$2:$R$338,+AD203, FALSE)</f>
        <v>38.639999999999993</v>
      </c>
      <c r="AD203" s="373">
        <f t="shared" si="136"/>
        <v>202</v>
      </c>
    </row>
    <row r="204" spans="1:30" customFormat="1" ht="25.5" x14ac:dyDescent="0.25">
      <c r="A204" s="571" t="s">
        <v>706</v>
      </c>
      <c r="B204" s="1002" t="s">
        <v>694</v>
      </c>
      <c r="C204" s="1065">
        <f t="shared" ref="C204:R204" si="141">-C105*C$193</f>
        <v>94.437475027023993</v>
      </c>
      <c r="D204" s="1066">
        <f t="shared" si="141"/>
        <v>104.43696954001814</v>
      </c>
      <c r="E204" s="1066">
        <f t="shared" si="141"/>
        <v>79.942633872627368</v>
      </c>
      <c r="F204" s="1066">
        <f t="shared" si="141"/>
        <v>261.57637629199473</v>
      </c>
      <c r="G204" s="1066">
        <f t="shared" si="141"/>
        <v>29.397614952140657</v>
      </c>
      <c r="H204" s="1066">
        <f t="shared" si="141"/>
        <v>0</v>
      </c>
      <c r="I204" s="1067">
        <f t="shared" si="141"/>
        <v>0</v>
      </c>
      <c r="J204" s="1067">
        <f t="shared" si="141"/>
        <v>0</v>
      </c>
      <c r="K204" s="1067">
        <f t="shared" si="141"/>
        <v>0</v>
      </c>
      <c r="L204" s="1067">
        <f t="shared" si="141"/>
        <v>0</v>
      </c>
      <c r="M204" s="1067">
        <f t="shared" si="141"/>
        <v>0</v>
      </c>
      <c r="N204" s="1067">
        <f t="shared" si="141"/>
        <v>0</v>
      </c>
      <c r="O204" s="1067">
        <f t="shared" si="141"/>
        <v>2.2808072274107132</v>
      </c>
      <c r="P204" s="1067">
        <f t="shared" ref="P204" si="142">-P105*P$193</f>
        <v>2.9521251024107129</v>
      </c>
      <c r="Q204" s="1067">
        <f t="shared" si="141"/>
        <v>1.3444107775036973</v>
      </c>
      <c r="R204" s="1068">
        <f t="shared" si="141"/>
        <v>8.1916458384002677</v>
      </c>
      <c r="S204" s="588"/>
      <c r="T204" s="318"/>
      <c r="U204" s="318"/>
      <c r="V204" s="318"/>
      <c r="W204" s="318"/>
      <c r="X204" s="318"/>
      <c r="Y204" s="318"/>
      <c r="Z204" s="318"/>
      <c r="AA204" s="318"/>
      <c r="AC204" s="364">
        <f>HLOOKUP(Start!$B$14,$C$2:$R$338,+AD204, FALSE)</f>
        <v>94.437475027023993</v>
      </c>
      <c r="AD204" s="373">
        <f t="shared" si="136"/>
        <v>203</v>
      </c>
    </row>
    <row r="205" spans="1:30" customFormat="1" x14ac:dyDescent="0.25">
      <c r="A205" s="557"/>
      <c r="B205" s="999"/>
      <c r="C205" s="583"/>
      <c r="D205" s="583"/>
      <c r="E205" s="583"/>
      <c r="F205" s="584"/>
      <c r="G205" s="583"/>
      <c r="H205" s="583"/>
      <c r="I205" s="584"/>
      <c r="J205" s="583"/>
      <c r="K205" s="583"/>
      <c r="L205" s="584"/>
      <c r="M205" s="583"/>
      <c r="N205" s="583"/>
      <c r="O205" s="583"/>
      <c r="P205" s="583"/>
      <c r="Q205" s="583"/>
      <c r="R205" s="583"/>
      <c r="S205" s="588"/>
      <c r="T205" s="318"/>
      <c r="U205" s="318"/>
      <c r="V205" s="318"/>
      <c r="W205" s="318"/>
      <c r="X205" s="318"/>
      <c r="Y205" s="318"/>
      <c r="Z205" s="318"/>
      <c r="AA205" s="318"/>
      <c r="AC205" s="364">
        <f>HLOOKUP(Start!$B$14,$C$2:$R$338,+AD205, FALSE)</f>
        <v>0</v>
      </c>
      <c r="AD205" s="373">
        <f t="shared" si="136"/>
        <v>204</v>
      </c>
    </row>
    <row r="206" spans="1:30" customFormat="1" ht="18.75" x14ac:dyDescent="0.25">
      <c r="A206" s="561" t="s">
        <v>708</v>
      </c>
      <c r="B206" s="1019"/>
      <c r="C206" s="993"/>
      <c r="D206" s="993"/>
      <c r="E206" s="993"/>
      <c r="F206" s="993"/>
      <c r="G206" s="993"/>
      <c r="H206" s="993"/>
      <c r="I206" s="993"/>
      <c r="J206" s="993"/>
      <c r="K206" s="993"/>
      <c r="L206" s="993"/>
      <c r="M206" s="993"/>
      <c r="N206" s="993"/>
      <c r="O206" s="993"/>
      <c r="P206" s="993"/>
      <c r="Q206" s="993"/>
      <c r="R206" s="1034"/>
      <c r="S206" s="587"/>
      <c r="T206" s="341"/>
      <c r="U206" s="341"/>
      <c r="V206" s="341"/>
      <c r="W206" s="341"/>
      <c r="X206" s="341"/>
      <c r="Y206" s="341"/>
      <c r="Z206" s="341"/>
      <c r="AA206" s="341"/>
      <c r="AC206" s="364">
        <f>HLOOKUP(Start!$B$14,$C$2:$R$338,+AD206, FALSE)</f>
        <v>0</v>
      </c>
      <c r="AD206" s="373">
        <f t="shared" si="136"/>
        <v>205</v>
      </c>
    </row>
    <row r="207" spans="1:30" customFormat="1" ht="25.5" x14ac:dyDescent="0.25">
      <c r="A207" s="567" t="s">
        <v>709</v>
      </c>
      <c r="B207" s="1003" t="s">
        <v>692</v>
      </c>
      <c r="C207" s="1065">
        <f t="shared" ref="C207:R207" si="143">-C115*C$193</f>
        <v>1099.6470512404485</v>
      </c>
      <c r="D207" s="1072">
        <f t="shared" si="143"/>
        <v>244.62759288891462</v>
      </c>
      <c r="E207" s="1072">
        <f t="shared" si="143"/>
        <v>434.85435851849604</v>
      </c>
      <c r="F207" s="1072">
        <f t="shared" si="143"/>
        <v>150.10653783429879</v>
      </c>
      <c r="G207" s="1072">
        <f t="shared" si="143"/>
        <v>6.3748088000000216</v>
      </c>
      <c r="H207" s="1072">
        <f t="shared" si="143"/>
        <v>0</v>
      </c>
      <c r="I207" s="1066">
        <f t="shared" si="143"/>
        <v>0</v>
      </c>
      <c r="J207" s="1066">
        <f t="shared" si="143"/>
        <v>0</v>
      </c>
      <c r="K207" s="1066">
        <f t="shared" si="143"/>
        <v>0</v>
      </c>
      <c r="L207" s="1066">
        <f t="shared" si="143"/>
        <v>0</v>
      </c>
      <c r="M207" s="1066">
        <f t="shared" si="143"/>
        <v>0</v>
      </c>
      <c r="N207" s="1066">
        <f t="shared" si="143"/>
        <v>0</v>
      </c>
      <c r="O207" s="1066">
        <f t="shared" si="143"/>
        <v>16.342536526874994</v>
      </c>
      <c r="P207" s="1066">
        <f t="shared" ref="P207" si="144">-P115*P$193</f>
        <v>16.342536526874994</v>
      </c>
      <c r="Q207" s="1066">
        <f t="shared" si="143"/>
        <v>10.685384802277978</v>
      </c>
      <c r="R207" s="1069">
        <f t="shared" si="143"/>
        <v>20.688484942856249</v>
      </c>
      <c r="S207" s="588"/>
      <c r="T207" s="318"/>
      <c r="U207" s="318"/>
      <c r="V207" s="318"/>
      <c r="W207" s="318"/>
      <c r="X207" s="318"/>
      <c r="Y207" s="318"/>
      <c r="Z207" s="318"/>
      <c r="AA207" s="318"/>
      <c r="AC207" s="364">
        <f>HLOOKUP(Start!$B$14,$C$2:$R$338,+AD207, FALSE)</f>
        <v>1099.6470512404485</v>
      </c>
      <c r="AD207" s="373">
        <f t="shared" si="136"/>
        <v>206</v>
      </c>
    </row>
    <row r="208" spans="1:30" customFormat="1" ht="25.5" x14ac:dyDescent="0.25">
      <c r="A208" s="571" t="s">
        <v>710</v>
      </c>
      <c r="B208" s="1002" t="s">
        <v>693</v>
      </c>
      <c r="C208" s="1065">
        <f t="shared" ref="C208:R208" si="145">-C120*C$193</f>
        <v>3298.9411537213455</v>
      </c>
      <c r="D208" s="1072">
        <f t="shared" si="145"/>
        <v>3773.8610540227537</v>
      </c>
      <c r="E208" s="1072">
        <f t="shared" si="145"/>
        <v>3746.6713312413144</v>
      </c>
      <c r="F208" s="1072">
        <f t="shared" si="145"/>
        <v>5421.3112447828908</v>
      </c>
      <c r="G208" s="1072">
        <f t="shared" si="145"/>
        <v>71.099265333530823</v>
      </c>
      <c r="H208" s="1072">
        <f t="shared" si="145"/>
        <v>0</v>
      </c>
      <c r="I208" s="1066">
        <f t="shared" si="145"/>
        <v>0</v>
      </c>
      <c r="J208" s="1066">
        <f t="shared" si="145"/>
        <v>0</v>
      </c>
      <c r="K208" s="1066">
        <f t="shared" si="145"/>
        <v>0</v>
      </c>
      <c r="L208" s="1066">
        <f t="shared" si="145"/>
        <v>0</v>
      </c>
      <c r="M208" s="1066">
        <f t="shared" si="145"/>
        <v>0</v>
      </c>
      <c r="N208" s="1066">
        <f t="shared" si="145"/>
        <v>0</v>
      </c>
      <c r="O208" s="1066">
        <f t="shared" si="145"/>
        <v>16.342536526874994</v>
      </c>
      <c r="P208" s="1066">
        <f t="shared" ref="P208" si="146">-P120*P$193</f>
        <v>16.342536526874994</v>
      </c>
      <c r="Q208" s="1066">
        <f t="shared" si="145"/>
        <v>12.681327237767075</v>
      </c>
      <c r="R208" s="1069">
        <f t="shared" si="145"/>
        <v>23.157020527412737</v>
      </c>
      <c r="S208" s="588"/>
      <c r="T208" s="318"/>
      <c r="U208" s="318"/>
      <c r="V208" s="318"/>
      <c r="W208" s="318"/>
      <c r="X208" s="318"/>
      <c r="Y208" s="318"/>
      <c r="Z208" s="318"/>
      <c r="AA208" s="318"/>
      <c r="AC208" s="364">
        <f>HLOOKUP(Start!$B$14,$C$2:$R$338,+AD208, FALSE)</f>
        <v>3298.9411537213455</v>
      </c>
      <c r="AD208" s="373">
        <f t="shared" si="136"/>
        <v>207</v>
      </c>
    </row>
    <row r="209" spans="1:30" customFormat="1" ht="25.5" x14ac:dyDescent="0.25">
      <c r="A209" s="571" t="s">
        <v>711</v>
      </c>
      <c r="B209" s="1002" t="s">
        <v>694</v>
      </c>
      <c r="C209" s="1065">
        <v>0</v>
      </c>
      <c r="D209" s="1073">
        <v>0</v>
      </c>
      <c r="E209" s="1073">
        <v>0</v>
      </c>
      <c r="F209" s="1073">
        <v>0</v>
      </c>
      <c r="G209" s="1073">
        <v>0</v>
      </c>
      <c r="H209" s="1073">
        <v>0</v>
      </c>
      <c r="I209" s="1073">
        <v>0</v>
      </c>
      <c r="J209" s="1073">
        <v>0</v>
      </c>
      <c r="K209" s="1073">
        <v>0</v>
      </c>
      <c r="L209" s="1073">
        <v>0</v>
      </c>
      <c r="M209" s="1073">
        <v>0</v>
      </c>
      <c r="N209" s="1073">
        <v>0</v>
      </c>
      <c r="O209" s="1073">
        <v>0</v>
      </c>
      <c r="P209" s="1073">
        <v>0</v>
      </c>
      <c r="Q209" s="1073">
        <v>0</v>
      </c>
      <c r="R209" s="1074">
        <v>0</v>
      </c>
      <c r="S209" s="589"/>
      <c r="T209" s="339"/>
      <c r="U209" s="339"/>
      <c r="V209" s="339"/>
      <c r="W209" s="339"/>
      <c r="X209" s="339"/>
      <c r="Y209" s="339"/>
      <c r="Z209" s="339"/>
      <c r="AA209" s="339"/>
      <c r="AC209" s="364">
        <f>HLOOKUP(Start!$B$14,$C$2:$R$338,+AD209, FALSE)</f>
        <v>0</v>
      </c>
      <c r="AD209" s="373">
        <f t="shared" si="136"/>
        <v>208</v>
      </c>
    </row>
    <row r="210" spans="1:30" customFormat="1" x14ac:dyDescent="0.25">
      <c r="A210" s="339"/>
      <c r="B210" s="305"/>
      <c r="C210" s="1075"/>
      <c r="D210" s="1075"/>
      <c r="E210" s="1076"/>
      <c r="F210" s="1075"/>
      <c r="G210" s="1075"/>
      <c r="H210" s="1076"/>
      <c r="I210" s="1075"/>
      <c r="J210" s="1075"/>
      <c r="K210" s="1076"/>
      <c r="L210" s="1075"/>
      <c r="M210" s="1075"/>
      <c r="N210" s="1076"/>
      <c r="O210" s="1075"/>
      <c r="P210" s="1075"/>
      <c r="Q210" s="1075"/>
      <c r="R210" s="1075"/>
      <c r="S210" s="589"/>
      <c r="T210" s="339"/>
      <c r="U210" s="339"/>
      <c r="V210" s="339"/>
      <c r="W210" s="339"/>
      <c r="X210" s="339"/>
      <c r="Y210" s="339"/>
      <c r="Z210" s="339"/>
      <c r="AA210" s="339"/>
      <c r="AC210" s="364">
        <f>HLOOKUP(Start!$B$14,$C$2:$R$338,+AD210, FALSE)</f>
        <v>0</v>
      </c>
      <c r="AD210" s="373">
        <f t="shared" si="136"/>
        <v>209</v>
      </c>
    </row>
    <row r="211" spans="1:30" customFormat="1" x14ac:dyDescent="0.25">
      <c r="A211" s="339"/>
      <c r="B211" s="305"/>
      <c r="C211" s="1075"/>
      <c r="D211" s="1075"/>
      <c r="E211" s="1076"/>
      <c r="F211" s="1075"/>
      <c r="G211" s="1075"/>
      <c r="H211" s="1076"/>
      <c r="I211" s="1075"/>
      <c r="J211" s="1075"/>
      <c r="K211" s="1076"/>
      <c r="L211" s="1075"/>
      <c r="M211" s="1075"/>
      <c r="N211" s="1076"/>
      <c r="O211" s="1075"/>
      <c r="P211" s="1075"/>
      <c r="Q211" s="1075"/>
      <c r="R211" s="1075"/>
      <c r="S211" s="589"/>
      <c r="T211" s="339"/>
      <c r="U211" s="339"/>
      <c r="V211" s="339"/>
      <c r="W211" s="339"/>
      <c r="X211" s="339"/>
      <c r="Y211" s="339"/>
      <c r="Z211" s="339"/>
      <c r="AA211" s="339"/>
      <c r="AC211" s="364">
        <f>HLOOKUP(Start!$B$14,$C$2:$R$338,+AD211, FALSE)</f>
        <v>0</v>
      </c>
      <c r="AD211" s="373">
        <f t="shared" si="136"/>
        <v>210</v>
      </c>
    </row>
    <row r="212" spans="1:30" s="339" customFormat="1" x14ac:dyDescent="0.25">
      <c r="B212" s="305"/>
      <c r="C212" s="1075"/>
      <c r="D212" s="1075"/>
      <c r="E212" s="1076"/>
      <c r="F212" s="1075"/>
      <c r="G212" s="1075"/>
      <c r="H212" s="1076"/>
      <c r="I212" s="1075"/>
      <c r="J212" s="1075"/>
      <c r="K212" s="1076"/>
      <c r="L212" s="1075"/>
      <c r="M212" s="1075"/>
      <c r="N212" s="1076"/>
      <c r="O212" s="1075"/>
      <c r="P212" s="1075"/>
      <c r="Q212" s="1075"/>
      <c r="R212" s="1075"/>
      <c r="S212" s="587"/>
      <c r="T212" s="341"/>
      <c r="U212" s="341"/>
      <c r="V212" s="341"/>
      <c r="W212" s="341"/>
      <c r="X212" s="341"/>
      <c r="Y212" s="341"/>
      <c r="Z212" s="341"/>
      <c r="AA212" s="341"/>
      <c r="AC212" s="364">
        <f>HLOOKUP(Start!$B$14,$C$2:$R$338,+AD212, FALSE)</f>
        <v>0</v>
      </c>
      <c r="AD212" s="373">
        <f t="shared" si="136"/>
        <v>211</v>
      </c>
    </row>
    <row r="213" spans="1:30" customFormat="1" x14ac:dyDescent="0.25">
      <c r="A213" s="339"/>
      <c r="B213" s="305"/>
      <c r="C213" s="1075"/>
      <c r="D213" s="1075"/>
      <c r="E213" s="1076"/>
      <c r="F213" s="1075"/>
      <c r="G213" s="1075"/>
      <c r="H213" s="1076"/>
      <c r="I213" s="1075"/>
      <c r="J213" s="1075"/>
      <c r="K213" s="1076"/>
      <c r="L213" s="1075"/>
      <c r="M213" s="1075"/>
      <c r="N213" s="1076"/>
      <c r="O213" s="1075"/>
      <c r="P213" s="1075"/>
      <c r="Q213" s="1075"/>
      <c r="R213" s="1075"/>
      <c r="S213" s="527"/>
      <c r="T213" s="467"/>
      <c r="U213" s="467"/>
      <c r="V213" s="467"/>
      <c r="W213" s="467"/>
      <c r="X213" s="467"/>
      <c r="Y213" s="467"/>
      <c r="Z213" s="467"/>
      <c r="AA213" s="467"/>
      <c r="AC213" s="364">
        <f>HLOOKUP(Start!$B$14,$C$2:$R$338,+AD213, FALSE)</f>
        <v>0</v>
      </c>
      <c r="AD213" s="373">
        <f t="shared" si="136"/>
        <v>212</v>
      </c>
    </row>
    <row r="214" spans="1:30" x14ac:dyDescent="0.25">
      <c r="C214" s="1075"/>
      <c r="D214" s="1075"/>
      <c r="E214" s="1076"/>
      <c r="F214" s="1075"/>
      <c r="G214" s="1075"/>
      <c r="H214" s="1076"/>
      <c r="I214" s="1075"/>
      <c r="J214" s="1075"/>
      <c r="K214" s="1076"/>
      <c r="L214" s="1075"/>
      <c r="M214" s="1075"/>
      <c r="N214" s="1076"/>
      <c r="O214" s="1075"/>
      <c r="P214" s="1075"/>
      <c r="Q214" s="1075"/>
      <c r="R214" s="1075"/>
      <c r="AC214" s="364">
        <f>HLOOKUP(Start!$B$14,$C$2:$R$338,+AD214, FALSE)</f>
        <v>0</v>
      </c>
      <c r="AD214" s="373">
        <f t="shared" si="136"/>
        <v>213</v>
      </c>
    </row>
    <row r="215" spans="1:30" x14ac:dyDescent="0.25">
      <c r="C215" s="1075"/>
      <c r="D215" s="1075"/>
      <c r="E215" s="1076"/>
      <c r="F215" s="1075"/>
      <c r="G215" s="1075"/>
      <c r="H215" s="1076"/>
      <c r="I215" s="1075"/>
      <c r="J215" s="1075"/>
      <c r="K215" s="1076"/>
      <c r="L215" s="1075"/>
      <c r="M215" s="1075"/>
      <c r="N215" s="1076"/>
      <c r="O215" s="1075"/>
      <c r="P215" s="1075"/>
      <c r="Q215" s="1075"/>
      <c r="R215" s="1075"/>
      <c r="AC215" s="364">
        <f>HLOOKUP(Start!$B$14,$C$2:$R$338,+AD215, FALSE)</f>
        <v>0</v>
      </c>
      <c r="AD215" s="373">
        <f t="shared" si="136"/>
        <v>214</v>
      </c>
    </row>
    <row r="216" spans="1:30" x14ac:dyDescent="0.25">
      <c r="C216" s="1075"/>
      <c r="D216" s="1075"/>
      <c r="E216" s="1076"/>
      <c r="F216" s="1075"/>
      <c r="G216" s="1075"/>
      <c r="H216" s="1076"/>
      <c r="I216" s="1075"/>
      <c r="J216" s="1075"/>
      <c r="K216" s="1076"/>
      <c r="L216" s="1075"/>
      <c r="M216" s="1075"/>
      <c r="N216" s="1076"/>
      <c r="O216" s="1075"/>
      <c r="P216" s="1075"/>
      <c r="Q216" s="1075"/>
      <c r="R216" s="1075"/>
      <c r="AC216" s="364">
        <f>HLOOKUP(Start!$B$14,$C$2:$R$338,+AD216, FALSE)</f>
        <v>0</v>
      </c>
      <c r="AD216" s="373">
        <f t="shared" si="136"/>
        <v>215</v>
      </c>
    </row>
    <row r="217" spans="1:30" x14ac:dyDescent="0.25">
      <c r="C217" s="1075"/>
      <c r="D217" s="1075"/>
      <c r="E217" s="1076"/>
      <c r="F217" s="1075"/>
      <c r="G217" s="1075"/>
      <c r="H217" s="1076"/>
      <c r="I217" s="1075"/>
      <c r="J217" s="1075"/>
      <c r="K217" s="1076"/>
      <c r="L217" s="1075"/>
      <c r="M217" s="1075"/>
      <c r="N217" s="1076"/>
      <c r="O217" s="1075"/>
      <c r="P217" s="1075"/>
      <c r="Q217" s="1075"/>
      <c r="R217" s="1075"/>
      <c r="AC217" s="364">
        <f>HLOOKUP(Start!$B$14,$C$2:$R$338,+AD217, FALSE)</f>
        <v>0</v>
      </c>
      <c r="AD217" s="373">
        <f t="shared" si="136"/>
        <v>216</v>
      </c>
    </row>
    <row r="218" spans="1:30" x14ac:dyDescent="0.25">
      <c r="C218" s="1075"/>
      <c r="D218" s="1075"/>
      <c r="E218" s="1076"/>
      <c r="F218" s="1075"/>
      <c r="G218" s="1075"/>
      <c r="H218" s="1076"/>
      <c r="I218" s="1075"/>
      <c r="J218" s="1075"/>
      <c r="K218" s="1076"/>
      <c r="L218" s="1075"/>
      <c r="M218" s="1075"/>
      <c r="N218" s="1076"/>
      <c r="O218" s="1075"/>
      <c r="P218" s="1075"/>
      <c r="Q218" s="1075"/>
      <c r="R218" s="1075"/>
      <c r="AC218" s="364">
        <f>HLOOKUP(Start!$B$14,$C$2:$R$338,+AD218, FALSE)</f>
        <v>0</v>
      </c>
      <c r="AD218" s="373">
        <f t="shared" si="136"/>
        <v>217</v>
      </c>
    </row>
    <row r="219" spans="1:30" x14ac:dyDescent="0.25">
      <c r="C219" s="1075"/>
      <c r="D219" s="1075"/>
      <c r="E219" s="1076"/>
      <c r="F219" s="1075"/>
      <c r="G219" s="1075"/>
      <c r="H219" s="1076"/>
      <c r="I219" s="1075"/>
      <c r="J219" s="1075"/>
      <c r="K219" s="1076"/>
      <c r="L219" s="1075"/>
      <c r="M219" s="1075"/>
      <c r="N219" s="1076"/>
      <c r="O219" s="1075"/>
      <c r="P219" s="1075"/>
      <c r="Q219" s="1075"/>
      <c r="R219" s="1075"/>
      <c r="AC219" s="364">
        <f>HLOOKUP(Start!$B$14,$C$2:$R$338,+AD219, FALSE)</f>
        <v>0</v>
      </c>
      <c r="AD219" s="373">
        <f t="shared" si="136"/>
        <v>218</v>
      </c>
    </row>
    <row r="220" spans="1:30" x14ac:dyDescent="0.25">
      <c r="C220" s="1075"/>
      <c r="D220" s="1075"/>
      <c r="E220" s="1076"/>
      <c r="F220" s="1075"/>
      <c r="G220" s="1075"/>
      <c r="H220" s="1076"/>
      <c r="I220" s="1075"/>
      <c r="J220" s="1075"/>
      <c r="K220" s="1076"/>
      <c r="L220" s="1075"/>
      <c r="M220" s="1075"/>
      <c r="N220" s="1076"/>
      <c r="O220" s="1075"/>
      <c r="P220" s="1075"/>
      <c r="Q220" s="1075"/>
      <c r="R220" s="1075"/>
      <c r="AC220" s="364">
        <f>HLOOKUP(Start!$B$14,$C$2:$R$338,+AD220, FALSE)</f>
        <v>0</v>
      </c>
      <c r="AD220" s="373">
        <f t="shared" si="136"/>
        <v>219</v>
      </c>
    </row>
    <row r="221" spans="1:30" x14ac:dyDescent="0.25">
      <c r="C221" s="1075"/>
      <c r="D221" s="1075"/>
      <c r="E221" s="1076"/>
      <c r="F221" s="1075"/>
      <c r="G221" s="1075"/>
      <c r="H221" s="1076"/>
      <c r="I221" s="1075"/>
      <c r="J221" s="1075"/>
      <c r="K221" s="1076"/>
      <c r="L221" s="1075"/>
      <c r="M221" s="1075"/>
      <c r="N221" s="1076"/>
      <c r="O221" s="1075"/>
      <c r="P221" s="1075"/>
      <c r="Q221" s="1075"/>
      <c r="R221" s="1075"/>
      <c r="AC221" s="364">
        <f>HLOOKUP(Start!$B$14,$C$2:$R$338,+AD221, FALSE)</f>
        <v>0</v>
      </c>
      <c r="AD221" s="373">
        <f t="shared" si="136"/>
        <v>220</v>
      </c>
    </row>
    <row r="222" spans="1:30" x14ac:dyDescent="0.25">
      <c r="C222" s="1075"/>
      <c r="D222" s="1075"/>
      <c r="E222" s="1076"/>
      <c r="F222" s="1075"/>
      <c r="G222" s="1075"/>
      <c r="H222" s="1076"/>
      <c r="I222" s="1075"/>
      <c r="J222" s="1075"/>
      <c r="K222" s="1076"/>
      <c r="L222" s="1075"/>
      <c r="M222" s="1075"/>
      <c r="N222" s="1076"/>
      <c r="O222" s="1075"/>
      <c r="P222" s="1075"/>
      <c r="Q222" s="1075"/>
      <c r="R222" s="1075"/>
      <c r="AC222" s="364">
        <f>HLOOKUP(Start!$B$14,$C$2:$R$338,+AD222, FALSE)</f>
        <v>0</v>
      </c>
      <c r="AD222" s="373">
        <f t="shared" si="136"/>
        <v>221</v>
      </c>
    </row>
    <row r="223" spans="1:30" x14ac:dyDescent="0.25">
      <c r="C223" s="1075"/>
      <c r="D223" s="1075"/>
      <c r="E223" s="1076"/>
      <c r="F223" s="1075"/>
      <c r="G223" s="1075"/>
      <c r="H223" s="1076"/>
      <c r="I223" s="1075"/>
      <c r="J223" s="1075"/>
      <c r="K223" s="1076"/>
      <c r="L223" s="1075"/>
      <c r="M223" s="1075"/>
      <c r="N223" s="1076"/>
      <c r="O223" s="1075"/>
      <c r="P223" s="1075"/>
      <c r="Q223" s="1075"/>
      <c r="R223" s="1075"/>
      <c r="AC223" s="364">
        <f>HLOOKUP(Start!$B$14,$C$2:$R$338,+AD223, FALSE)</f>
        <v>0</v>
      </c>
      <c r="AD223" s="373">
        <f t="shared" si="136"/>
        <v>222</v>
      </c>
    </row>
    <row r="224" spans="1:30" x14ac:dyDescent="0.25">
      <c r="C224" s="1075"/>
      <c r="D224" s="1075"/>
      <c r="E224" s="1076"/>
      <c r="F224" s="1075"/>
      <c r="G224" s="1075"/>
      <c r="H224" s="1076"/>
      <c r="I224" s="1075"/>
      <c r="J224" s="1075"/>
      <c r="K224" s="1076"/>
      <c r="L224" s="1075"/>
      <c r="M224" s="1075"/>
      <c r="N224" s="1076"/>
      <c r="O224" s="1075"/>
      <c r="P224" s="1075"/>
      <c r="Q224" s="1075"/>
      <c r="R224" s="1075"/>
      <c r="AC224" s="364">
        <f>HLOOKUP(Start!$B$14,$C$2:$R$338,+AD224, FALSE)</f>
        <v>0</v>
      </c>
      <c r="AD224" s="373">
        <f t="shared" si="136"/>
        <v>223</v>
      </c>
    </row>
    <row r="225" spans="3:30" x14ac:dyDescent="0.25">
      <c r="C225" s="1075"/>
      <c r="D225" s="1075"/>
      <c r="E225" s="1076"/>
      <c r="F225" s="1075"/>
      <c r="G225" s="1075"/>
      <c r="H225" s="1076"/>
      <c r="I225" s="1075"/>
      <c r="J225" s="1075"/>
      <c r="K225" s="1076"/>
      <c r="L225" s="1075"/>
      <c r="M225" s="1075"/>
      <c r="N225" s="1076"/>
      <c r="O225" s="1075"/>
      <c r="P225" s="1075"/>
      <c r="Q225" s="1075"/>
      <c r="R225" s="1075"/>
      <c r="AC225" s="364">
        <f>HLOOKUP(Start!$B$14,$C$2:$R$338,+AD225, FALSE)</f>
        <v>0</v>
      </c>
      <c r="AD225" s="373">
        <f t="shared" si="136"/>
        <v>224</v>
      </c>
    </row>
    <row r="226" spans="3:30" x14ac:dyDescent="0.25">
      <c r="C226" s="1075"/>
      <c r="D226" s="1075"/>
      <c r="E226" s="1076"/>
      <c r="F226" s="1075"/>
      <c r="G226" s="1075"/>
      <c r="H226" s="1076"/>
      <c r="I226" s="1075"/>
      <c r="J226" s="1075"/>
      <c r="K226" s="1076"/>
      <c r="L226" s="1075"/>
      <c r="M226" s="1075"/>
      <c r="N226" s="1076"/>
      <c r="O226" s="1075"/>
      <c r="P226" s="1075"/>
      <c r="Q226" s="1075"/>
      <c r="R226" s="1075"/>
      <c r="AC226" s="364">
        <f>HLOOKUP(Start!$B$14,$C$2:$R$338,+AD226, FALSE)</f>
        <v>0</v>
      </c>
      <c r="AD226" s="373">
        <f t="shared" si="136"/>
        <v>225</v>
      </c>
    </row>
    <row r="227" spans="3:30" x14ac:dyDescent="0.25">
      <c r="C227" s="1075"/>
      <c r="D227" s="1075"/>
      <c r="E227" s="1076"/>
      <c r="F227" s="1075"/>
      <c r="G227" s="1075"/>
      <c r="H227" s="1076"/>
      <c r="I227" s="1075"/>
      <c r="J227" s="1075"/>
      <c r="K227" s="1076"/>
      <c r="L227" s="1075"/>
      <c r="M227" s="1075"/>
      <c r="N227" s="1076"/>
      <c r="O227" s="1075"/>
      <c r="P227" s="1075"/>
      <c r="Q227" s="1075"/>
      <c r="R227" s="1075"/>
      <c r="AC227" s="364">
        <f>HLOOKUP(Start!$B$14,$C$2:$R$338,+AD227, FALSE)</f>
        <v>0</v>
      </c>
      <c r="AD227" s="373">
        <f t="shared" si="136"/>
        <v>226</v>
      </c>
    </row>
    <row r="228" spans="3:30" x14ac:dyDescent="0.25">
      <c r="C228" s="1075"/>
      <c r="D228" s="1075"/>
      <c r="E228" s="1076"/>
      <c r="F228" s="1075"/>
      <c r="G228" s="1075"/>
      <c r="H228" s="1076"/>
      <c r="I228" s="1075"/>
      <c r="J228" s="1075"/>
      <c r="K228" s="1076"/>
      <c r="L228" s="1075"/>
      <c r="M228" s="1075"/>
      <c r="N228" s="1076"/>
      <c r="O228" s="1075"/>
      <c r="P228" s="1075"/>
      <c r="Q228" s="1075"/>
      <c r="R228" s="1075"/>
      <c r="AC228" s="364">
        <f>HLOOKUP(Start!$B$14,$C$2:$R$338,+AD228, FALSE)</f>
        <v>0</v>
      </c>
      <c r="AD228" s="373">
        <f t="shared" si="136"/>
        <v>227</v>
      </c>
    </row>
    <row r="229" spans="3:30" x14ac:dyDescent="0.25">
      <c r="C229" s="1075"/>
      <c r="D229" s="1075"/>
      <c r="E229" s="1076"/>
      <c r="F229" s="1075"/>
      <c r="G229" s="1075"/>
      <c r="H229" s="1076"/>
      <c r="I229" s="1075"/>
      <c r="J229" s="1075"/>
      <c r="K229" s="1076"/>
      <c r="L229" s="1075"/>
      <c r="M229" s="1075"/>
      <c r="N229" s="1076"/>
      <c r="O229" s="1075"/>
      <c r="P229" s="1075"/>
      <c r="Q229" s="1075"/>
      <c r="R229" s="1075"/>
      <c r="AC229" s="364">
        <f>HLOOKUP(Start!$B$14,$C$2:$R$338,+AD229, FALSE)</f>
        <v>0</v>
      </c>
      <c r="AD229" s="373">
        <f t="shared" si="136"/>
        <v>228</v>
      </c>
    </row>
    <row r="230" spans="3:30" x14ac:dyDescent="0.25">
      <c r="C230" s="1075"/>
      <c r="D230" s="1075"/>
      <c r="E230" s="1076"/>
      <c r="F230" s="1075"/>
      <c r="G230" s="1075"/>
      <c r="H230" s="1076"/>
      <c r="I230" s="1075"/>
      <c r="J230" s="1075"/>
      <c r="K230" s="1076"/>
      <c r="L230" s="1075"/>
      <c r="M230" s="1075"/>
      <c r="N230" s="1076"/>
      <c r="O230" s="1075"/>
      <c r="P230" s="1075"/>
      <c r="Q230" s="1075"/>
      <c r="R230" s="1075"/>
      <c r="AC230" s="364">
        <f>HLOOKUP(Start!$B$14,$C$2:$R$338,+AD230, FALSE)</f>
        <v>0</v>
      </c>
      <c r="AD230" s="373">
        <f t="shared" si="136"/>
        <v>229</v>
      </c>
    </row>
    <row r="231" spans="3:30" x14ac:dyDescent="0.25">
      <c r="C231" s="1075"/>
      <c r="D231" s="1075"/>
      <c r="E231" s="1076"/>
      <c r="F231" s="1075"/>
      <c r="G231" s="1075"/>
      <c r="H231" s="1076"/>
      <c r="I231" s="1075"/>
      <c r="J231" s="1075"/>
      <c r="K231" s="1076"/>
      <c r="L231" s="1075"/>
      <c r="M231" s="1075"/>
      <c r="N231" s="1076"/>
      <c r="O231" s="1075"/>
      <c r="P231" s="1075"/>
      <c r="Q231" s="1075"/>
      <c r="R231" s="1075"/>
      <c r="AC231" s="364">
        <f>HLOOKUP(Start!$B$14,$C$2:$R$338,+AD231, FALSE)</f>
        <v>0</v>
      </c>
      <c r="AD231" s="373">
        <f t="shared" si="136"/>
        <v>230</v>
      </c>
    </row>
    <row r="232" spans="3:30" x14ac:dyDescent="0.25">
      <c r="C232" s="1075"/>
      <c r="D232" s="1075"/>
      <c r="E232" s="1076"/>
      <c r="F232" s="1075"/>
      <c r="G232" s="1075"/>
      <c r="H232" s="1076"/>
      <c r="I232" s="1075"/>
      <c r="J232" s="1075"/>
      <c r="K232" s="1076"/>
      <c r="L232" s="1075"/>
      <c r="M232" s="1075"/>
      <c r="N232" s="1076"/>
      <c r="O232" s="1075"/>
      <c r="P232" s="1075"/>
      <c r="Q232" s="1075"/>
      <c r="R232" s="1075"/>
      <c r="AC232" s="364">
        <f>HLOOKUP(Start!$B$14,$C$2:$R$338,+AD232, FALSE)</f>
        <v>0</v>
      </c>
      <c r="AD232" s="373">
        <f t="shared" si="136"/>
        <v>231</v>
      </c>
    </row>
    <row r="233" spans="3:30" x14ac:dyDescent="0.25">
      <c r="AC233" s="364">
        <f>HLOOKUP(Start!$B$14,$C$2:$R$338,+AD233, FALSE)</f>
        <v>0</v>
      </c>
      <c r="AD233" s="373">
        <f t="shared" si="136"/>
        <v>232</v>
      </c>
    </row>
    <row r="234" spans="3:30" x14ac:dyDescent="0.25">
      <c r="AC234" s="364">
        <f>HLOOKUP(Start!$B$14,$C$2:$R$338,+AD234, FALSE)</f>
        <v>0</v>
      </c>
      <c r="AD234" s="373">
        <f t="shared" si="136"/>
        <v>233</v>
      </c>
    </row>
    <row r="235" spans="3:30" x14ac:dyDescent="0.25">
      <c r="AC235" s="364">
        <f>HLOOKUP(Start!$B$14,$C$2:$R$338,+AD235, FALSE)</f>
        <v>0</v>
      </c>
      <c r="AD235" s="373">
        <f t="shared" si="136"/>
        <v>234</v>
      </c>
    </row>
    <row r="236" spans="3:30" x14ac:dyDescent="0.25">
      <c r="AC236" s="364">
        <f>HLOOKUP(Start!$B$14,$C$2:$R$338,+AD236, FALSE)</f>
        <v>0</v>
      </c>
      <c r="AD236" s="373">
        <f t="shared" si="136"/>
        <v>235</v>
      </c>
    </row>
    <row r="237" spans="3:30" x14ac:dyDescent="0.25">
      <c r="AC237" s="364">
        <f>HLOOKUP(Start!$B$14,$C$2:$R$338,+AD237, FALSE)</f>
        <v>0</v>
      </c>
      <c r="AD237" s="373">
        <f t="shared" si="136"/>
        <v>236</v>
      </c>
    </row>
    <row r="238" spans="3:30" x14ac:dyDescent="0.25">
      <c r="AC238" s="364">
        <f>HLOOKUP(Start!$B$14,$C$2:$R$338,+AD238, FALSE)</f>
        <v>0</v>
      </c>
      <c r="AD238" s="373">
        <f t="shared" ref="AD238" si="147">+AD237+1</f>
        <v>237</v>
      </c>
    </row>
  </sheetData>
  <mergeCells count="4">
    <mergeCell ref="S54:S55"/>
    <mergeCell ref="S59:S60"/>
    <mergeCell ref="S94:S95"/>
    <mergeCell ref="S100:S101"/>
  </mergeCells>
  <dataValidations disablePrompts="1" count="2">
    <dataValidation allowBlank="1" showInputMessage="1" showErrorMessage="1" promptTitle="Climatic Zone" sqref="AG3"/>
    <dataValidation allowBlank="1" showInputMessage="1" showErrorMessage="1" promptTitle="Animal Category" sqref="AG1"/>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C00"/>
  </sheetPr>
  <dimension ref="A1:DE103"/>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RowHeight="15" x14ac:dyDescent="0.25"/>
  <cols>
    <col min="1" max="1" width="47.28515625" style="339" customWidth="1"/>
    <col min="2" max="2" width="28" style="733" hidden="1" customWidth="1"/>
    <col min="3" max="3" width="0.28515625" style="733" customWidth="1"/>
    <col min="4" max="4" width="9.28515625" style="339" customWidth="1"/>
    <col min="5" max="5" width="9.28515625" style="502" customWidth="1"/>
    <col min="6" max="6" width="9.28515625" style="339" customWidth="1"/>
    <col min="7" max="35" width="41.42578125" style="339" customWidth="1"/>
    <col min="36" max="36" width="12.140625" style="339" customWidth="1"/>
    <col min="37" max="37" width="12.85546875" style="339" customWidth="1"/>
    <col min="38" max="38" width="41.42578125" style="339" customWidth="1"/>
    <col min="39" max="43" width="42.7109375" style="339" customWidth="1"/>
    <col min="44" max="44" width="12.140625" style="339" customWidth="1"/>
    <col min="45" max="45" width="12.85546875" style="339" customWidth="1"/>
    <col min="46" max="46" width="12.7109375" style="339" customWidth="1"/>
    <col min="47" max="47" width="13.85546875" style="339" customWidth="1"/>
    <col min="48" max="48" width="12.85546875" style="339" customWidth="1"/>
    <col min="49" max="59" width="36" style="339" customWidth="1"/>
    <col min="60" max="61" width="41.42578125" style="339" customWidth="1"/>
    <col min="62" max="62" width="14.28515625" style="569" customWidth="1"/>
    <col min="63" max="63" width="12.85546875" style="339" customWidth="1"/>
    <col min="64" max="67" width="43.7109375" style="339" customWidth="1"/>
    <col min="69" max="70" width="9.85546875" style="339" customWidth="1"/>
    <col min="71" max="73" width="41.42578125" style="339" customWidth="1"/>
    <col min="74" max="78" width="36" style="339" customWidth="1"/>
    <col min="79" max="81" width="41.42578125" style="339" customWidth="1"/>
    <col min="82" max="82" width="9.7109375" style="339" customWidth="1"/>
    <col min="83" max="84" width="12.5703125" style="339" customWidth="1"/>
    <col min="85" max="89" width="12" style="339" customWidth="1"/>
    <col min="90" max="106" width="39.28515625" style="339" customWidth="1"/>
    <col min="107" max="108" width="9.140625" style="339"/>
    <col min="110" max="16384" width="9.140625" style="339"/>
  </cols>
  <sheetData>
    <row r="1" spans="1:84" s="425" customFormat="1" ht="69.75" customHeight="1" x14ac:dyDescent="0.25">
      <c r="A1" s="463" t="s">
        <v>797</v>
      </c>
      <c r="B1" s="726" t="str">
        <f>HLOOKUP(Start!$B$17,$D$1:$CE$75,+C1, FALSE)</f>
        <v>Fatt. pigs. Housing. Floor system: Cooling of manure chanal. Partly slatted floor, 25-49% solid floor. Cooling effect applied: 30 W/m2. (Ref. Denmark)</v>
      </c>
      <c r="C1" s="462">
        <v>1</v>
      </c>
      <c r="D1" s="523" t="s">
        <v>1169</v>
      </c>
      <c r="E1" s="1114"/>
      <c r="F1" s="523" t="s">
        <v>793</v>
      </c>
      <c r="G1" s="1133" t="s">
        <v>1121</v>
      </c>
      <c r="H1" s="1133" t="s">
        <v>1122</v>
      </c>
      <c r="I1" s="1133" t="s">
        <v>601</v>
      </c>
      <c r="J1" s="1133" t="s">
        <v>903</v>
      </c>
      <c r="K1" s="1133" t="s">
        <v>904</v>
      </c>
      <c r="L1" s="1133" t="s">
        <v>602</v>
      </c>
      <c r="M1" s="1133" t="s">
        <v>603</v>
      </c>
      <c r="N1" s="1133" t="s">
        <v>604</v>
      </c>
      <c r="O1" s="1133" t="s">
        <v>605</v>
      </c>
      <c r="P1" s="1133" t="s">
        <v>606</v>
      </c>
      <c r="Q1" s="1133" t="s">
        <v>607</v>
      </c>
      <c r="R1" s="1134" t="s">
        <v>608</v>
      </c>
      <c r="S1" s="1133" t="s">
        <v>536</v>
      </c>
      <c r="T1" s="1133" t="s">
        <v>609</v>
      </c>
      <c r="U1" s="1133" t="s">
        <v>610</v>
      </c>
      <c r="V1" s="1133" t="s">
        <v>611</v>
      </c>
      <c r="W1" s="1133" t="s">
        <v>905</v>
      </c>
      <c r="X1" s="1133" t="s">
        <v>612</v>
      </c>
      <c r="Y1" s="1133" t="s">
        <v>613</v>
      </c>
      <c r="Z1" s="1133" t="s">
        <v>614</v>
      </c>
      <c r="AA1" s="1133" t="s">
        <v>622</v>
      </c>
      <c r="AB1" s="1133" t="s">
        <v>626</v>
      </c>
      <c r="AC1" s="1133" t="s">
        <v>628</v>
      </c>
      <c r="AD1" s="1133" t="s">
        <v>629</v>
      </c>
      <c r="AE1" s="1133" t="s">
        <v>615</v>
      </c>
      <c r="AF1" s="1133" t="s">
        <v>906</v>
      </c>
      <c r="AG1" s="1133" t="s">
        <v>616</v>
      </c>
      <c r="AH1" s="1133" t="s">
        <v>617</v>
      </c>
      <c r="AI1" s="1133" t="s">
        <v>618</v>
      </c>
      <c r="AK1" s="523" t="s">
        <v>1172</v>
      </c>
      <c r="AL1" s="1133" t="s">
        <v>1173</v>
      </c>
      <c r="AM1" s="1133" t="s">
        <v>1190</v>
      </c>
      <c r="AN1" s="1133" t="s">
        <v>1191</v>
      </c>
      <c r="AO1" s="1133" t="s">
        <v>1192</v>
      </c>
      <c r="AP1" s="1133" t="s">
        <v>1178</v>
      </c>
      <c r="AQ1" s="1133" t="s">
        <v>1181</v>
      </c>
      <c r="AS1" s="523" t="s">
        <v>1118</v>
      </c>
      <c r="AT1" s="1133" t="s">
        <v>1119</v>
      </c>
      <c r="AU1" s="1124"/>
      <c r="AV1" s="523" t="s">
        <v>823</v>
      </c>
      <c r="AW1" s="1133" t="s">
        <v>824</v>
      </c>
      <c r="AX1" s="1133" t="s">
        <v>825</v>
      </c>
      <c r="AY1" s="1133" t="s">
        <v>826</v>
      </c>
      <c r="AZ1" s="1133" t="s">
        <v>827</v>
      </c>
      <c r="BA1" s="1133" t="s">
        <v>828</v>
      </c>
      <c r="BB1" s="1133" t="s">
        <v>829</v>
      </c>
      <c r="BC1" s="1133" t="s">
        <v>830</v>
      </c>
      <c r="BD1" s="1133" t="s">
        <v>831</v>
      </c>
      <c r="BE1" s="1133" t="s">
        <v>832</v>
      </c>
      <c r="BF1" s="1133" t="s">
        <v>833</v>
      </c>
      <c r="BG1" s="1133" t="s">
        <v>834</v>
      </c>
      <c r="BH1" s="1133" t="s">
        <v>835</v>
      </c>
      <c r="BI1" s="1133" t="s">
        <v>907</v>
      </c>
      <c r="BK1" s="523" t="s">
        <v>836</v>
      </c>
      <c r="BL1" s="1133" t="s">
        <v>837</v>
      </c>
      <c r="BM1" s="1133" t="s">
        <v>1197</v>
      </c>
      <c r="BN1" s="1133" t="s">
        <v>839</v>
      </c>
      <c r="BO1" s="1133" t="s">
        <v>838</v>
      </c>
      <c r="BR1" s="523" t="s">
        <v>795</v>
      </c>
      <c r="BS1" s="1133" t="s">
        <v>663</v>
      </c>
      <c r="BT1" s="1133" t="s">
        <v>1114</v>
      </c>
      <c r="BU1" s="1133" t="s">
        <v>1116</v>
      </c>
      <c r="BV1" s="1133" t="s">
        <v>670</v>
      </c>
      <c r="BW1" s="1133" t="s">
        <v>671</v>
      </c>
      <c r="BX1" s="1133" t="s">
        <v>672</v>
      </c>
      <c r="BY1" s="1133" t="s">
        <v>673</v>
      </c>
      <c r="BZ1" s="1133" t="s">
        <v>674</v>
      </c>
      <c r="CA1" s="1133" t="s">
        <v>633</v>
      </c>
      <c r="CB1" s="1133" t="s">
        <v>1112</v>
      </c>
      <c r="CC1" s="1133" t="s">
        <v>1120</v>
      </c>
      <c r="CE1" s="958"/>
      <c r="CF1" s="339"/>
    </row>
    <row r="2" spans="1:84" s="357" customFormat="1" ht="242.25" x14ac:dyDescent="0.25">
      <c r="A2" s="380" t="s">
        <v>1064</v>
      </c>
      <c r="B2" s="727" t="str">
        <f>HLOOKUP(Start!$B$17,$D$1:$DD$75,+C2, FALSE)</f>
        <v>Danish Environmental Agency (2011): The Technology List and Danish EPA technology sheet, 23.05.2011. Teknologitype: Køling af gylle i slagtesvinestalde. In Danish. www. mst.dk/NR/rdonlyres/C52DE881-AFCB-4845-954C-F330F1B18373/0/Slagtesvin_Kølingafgylle_version3.pdf combied with information from the online system for revision of the IRPP BREF document the by the European IPPC Bureau, BAT Information System (BATIS), datasheet from Denmark: "DK_housing_cooling_2.pdf" and "Appendix_DK_housing_manurecooling.pdf"</v>
      </c>
      <c r="C2" s="426">
        <f>+C1+1</f>
        <v>2</v>
      </c>
      <c r="D2" s="511"/>
      <c r="E2" s="1115"/>
      <c r="F2" s="511"/>
      <c r="G2" s="968" t="s">
        <v>1124</v>
      </c>
      <c r="H2" s="968" t="s">
        <v>1125</v>
      </c>
      <c r="I2" s="968" t="s">
        <v>1126</v>
      </c>
      <c r="J2" s="968" t="s">
        <v>1105</v>
      </c>
      <c r="K2" s="968" t="s">
        <v>1106</v>
      </c>
      <c r="L2" s="1123" t="s">
        <v>1193</v>
      </c>
      <c r="M2" s="1123" t="s">
        <v>1193</v>
      </c>
      <c r="N2" s="1123" t="s">
        <v>1193</v>
      </c>
      <c r="O2" s="1123" t="s">
        <v>1193</v>
      </c>
      <c r="P2" s="1123" t="s">
        <v>1193</v>
      </c>
      <c r="Q2" s="1123" t="s">
        <v>1193</v>
      </c>
      <c r="R2" s="1123" t="s">
        <v>1127</v>
      </c>
      <c r="S2" s="1123" t="s">
        <v>1194</v>
      </c>
      <c r="T2" s="1123" t="s">
        <v>1128</v>
      </c>
      <c r="U2" s="1123" t="s">
        <v>1129</v>
      </c>
      <c r="V2" s="1123" t="s">
        <v>1130</v>
      </c>
      <c r="W2" s="968" t="s">
        <v>1117</v>
      </c>
      <c r="X2" s="968" t="s">
        <v>1131</v>
      </c>
      <c r="Y2" s="968" t="s">
        <v>1132</v>
      </c>
      <c r="Z2" s="968" t="s">
        <v>1133</v>
      </c>
      <c r="AA2" s="968" t="s">
        <v>1134</v>
      </c>
      <c r="AB2" s="968" t="s">
        <v>1135</v>
      </c>
      <c r="AC2" s="968" t="s">
        <v>1136</v>
      </c>
      <c r="AD2" s="968" t="s">
        <v>1137</v>
      </c>
      <c r="AE2" s="1123" t="s">
        <v>1138</v>
      </c>
      <c r="AF2" s="1123" t="s">
        <v>1139</v>
      </c>
      <c r="AG2" s="1123" t="s">
        <v>1140</v>
      </c>
      <c r="AH2" s="1123" t="s">
        <v>1141</v>
      </c>
      <c r="AI2" s="1123" t="s">
        <v>1142</v>
      </c>
      <c r="AJ2" s="966"/>
      <c r="AK2" s="967"/>
      <c r="AL2" s="1123" t="s">
        <v>1175</v>
      </c>
      <c r="AM2" s="1123" t="s">
        <v>1189</v>
      </c>
      <c r="AN2" s="1123" t="s">
        <v>1189</v>
      </c>
      <c r="AO2" s="1123" t="s">
        <v>1189</v>
      </c>
      <c r="AP2" s="1123" t="s">
        <v>1176</v>
      </c>
      <c r="AQ2" s="1123" t="s">
        <v>1177</v>
      </c>
      <c r="AR2" s="966"/>
      <c r="AS2" s="967"/>
      <c r="AT2" s="966"/>
      <c r="AU2" s="966"/>
      <c r="AV2" s="967"/>
      <c r="AW2" s="968" t="s">
        <v>1143</v>
      </c>
      <c r="AX2" s="968" t="s">
        <v>1144</v>
      </c>
      <c r="AY2" s="968" t="s">
        <v>1145</v>
      </c>
      <c r="AZ2" s="968" t="s">
        <v>1146</v>
      </c>
      <c r="BA2" s="968" t="s">
        <v>1147</v>
      </c>
      <c r="BB2" s="968" t="s">
        <v>1148</v>
      </c>
      <c r="BC2" s="968" t="s">
        <v>1149</v>
      </c>
      <c r="BD2" s="968" t="s">
        <v>1150</v>
      </c>
      <c r="BE2" s="968" t="s">
        <v>1151</v>
      </c>
      <c r="BF2" s="968" t="s">
        <v>1152</v>
      </c>
      <c r="BG2" s="968" t="s">
        <v>1153</v>
      </c>
      <c r="BH2" s="968" t="s">
        <v>1154</v>
      </c>
      <c r="BI2" s="968" t="s">
        <v>1107</v>
      </c>
      <c r="BJ2" s="966"/>
      <c r="BK2" s="967"/>
      <c r="BL2" s="968" t="s">
        <v>1198</v>
      </c>
      <c r="BM2" s="968" t="s">
        <v>1196</v>
      </c>
      <c r="BN2" s="968" t="s">
        <v>1196</v>
      </c>
      <c r="BO2" s="968" t="s">
        <v>1155</v>
      </c>
      <c r="BQ2" s="964"/>
      <c r="BR2" s="967"/>
      <c r="BS2" s="968" t="s">
        <v>1156</v>
      </c>
      <c r="BT2" s="968" t="s">
        <v>1113</v>
      </c>
      <c r="BU2" s="968" t="s">
        <v>1115</v>
      </c>
      <c r="BV2" s="968" t="s">
        <v>1157</v>
      </c>
      <c r="BW2" s="968" t="s">
        <v>1158</v>
      </c>
      <c r="BX2" s="968" t="s">
        <v>1159</v>
      </c>
      <c r="BY2" s="968" t="s">
        <v>1160</v>
      </c>
      <c r="BZ2" s="968" t="s">
        <v>1161</v>
      </c>
      <c r="CA2" s="968" t="s">
        <v>1154</v>
      </c>
      <c r="CB2" s="968" t="s">
        <v>1111</v>
      </c>
      <c r="CC2" s="968" t="s">
        <v>1162</v>
      </c>
      <c r="CD2" s="965"/>
      <c r="CE2" s="959"/>
    </row>
    <row r="3" spans="1:84" s="357" customFormat="1" ht="204" x14ac:dyDescent="0.25">
      <c r="A3" s="375" t="s">
        <v>368</v>
      </c>
      <c r="B3" s="727" t="str">
        <f>HLOOKUP(Start!$B$17,$D$1:$DD$75,+C3, FALSE)</f>
        <v>Manure cooling system can be installed under manure chanals with vacuum cleaning or with scrabers (typically wire type). PEL -pipes are cast down in the concrete under chanals in new buildings with a distance of 35-40 cm between each loop. (see pictures below). Alternatively cooling pipes can be installed above concrete. The pipes are connected to af heat exchange pump and the heat recovered from this proces might be used for heating in other parts of the farm (house for weaning pig, farrowing pen, private farmhouse etc.</v>
      </c>
      <c r="C3" s="426">
        <f t="shared" ref="C3:C66" si="0">+C2+1</f>
        <v>3</v>
      </c>
      <c r="D3" s="511"/>
      <c r="E3" s="1115"/>
      <c r="F3" s="511"/>
      <c r="G3" s="359" t="s">
        <v>1123</v>
      </c>
      <c r="H3" s="359" t="s">
        <v>1123</v>
      </c>
      <c r="I3" s="359" t="s">
        <v>581</v>
      </c>
      <c r="J3" s="359" t="s">
        <v>576</v>
      </c>
      <c r="K3" s="359" t="s">
        <v>578</v>
      </c>
      <c r="L3" s="359" t="s">
        <v>542</v>
      </c>
      <c r="M3" s="359" t="s">
        <v>542</v>
      </c>
      <c r="N3" s="359" t="s">
        <v>542</v>
      </c>
      <c r="O3" s="359" t="s">
        <v>542</v>
      </c>
      <c r="P3" s="359" t="s">
        <v>542</v>
      </c>
      <c r="Q3" s="359" t="s">
        <v>542</v>
      </c>
      <c r="R3" s="359" t="s">
        <v>574</v>
      </c>
      <c r="S3" s="359" t="s">
        <v>1174</v>
      </c>
      <c r="T3" s="359" t="s">
        <v>552</v>
      </c>
      <c r="U3" s="359" t="s">
        <v>526</v>
      </c>
      <c r="V3" s="359" t="s">
        <v>556</v>
      </c>
      <c r="W3" s="359" t="s">
        <v>589</v>
      </c>
      <c r="X3" s="359" t="s">
        <v>593</v>
      </c>
      <c r="Y3" s="359" t="s">
        <v>596</v>
      </c>
      <c r="Z3" s="359" t="s">
        <v>600</v>
      </c>
      <c r="AA3" s="359" t="s">
        <v>623</v>
      </c>
      <c r="AB3" s="359" t="s">
        <v>627</v>
      </c>
      <c r="AC3" s="359" t="s">
        <v>631</v>
      </c>
      <c r="AD3" s="359" t="s">
        <v>632</v>
      </c>
      <c r="AE3" s="379" t="s">
        <v>534</v>
      </c>
      <c r="AF3" s="379" t="s">
        <v>554</v>
      </c>
      <c r="AG3" s="359" t="s">
        <v>529</v>
      </c>
      <c r="AH3" s="359" t="s">
        <v>530</v>
      </c>
      <c r="AI3" s="359" t="s">
        <v>619</v>
      </c>
      <c r="AJ3" s="359"/>
      <c r="AK3" s="511"/>
      <c r="AL3" s="359" t="s">
        <v>1185</v>
      </c>
      <c r="AM3" s="359" t="s">
        <v>1188</v>
      </c>
      <c r="AN3" s="359" t="s">
        <v>1188</v>
      </c>
      <c r="AO3" s="359" t="s">
        <v>1188</v>
      </c>
      <c r="AP3" s="359" t="s">
        <v>1182</v>
      </c>
      <c r="AQ3" s="359" t="s">
        <v>1183</v>
      </c>
      <c r="AR3" s="359"/>
      <c r="AS3" s="511"/>
      <c r="AT3" s="359"/>
      <c r="AU3" s="359"/>
      <c r="AV3" s="511"/>
      <c r="AW3" s="359" t="s">
        <v>519</v>
      </c>
      <c r="AX3" s="359" t="s">
        <v>548</v>
      </c>
      <c r="AY3" s="359" t="s">
        <v>523</v>
      </c>
      <c r="AZ3" s="359" t="s">
        <v>640</v>
      </c>
      <c r="BA3" s="359" t="s">
        <v>642</v>
      </c>
      <c r="BB3" s="359" t="s">
        <v>658</v>
      </c>
      <c r="BC3" s="359" t="s">
        <v>676</v>
      </c>
      <c r="BD3" s="359" t="s">
        <v>675</v>
      </c>
      <c r="BE3" s="359" t="s">
        <v>677</v>
      </c>
      <c r="BF3" s="359" t="s">
        <v>678</v>
      </c>
      <c r="BG3" s="359" t="s">
        <v>645</v>
      </c>
      <c r="BH3" s="359" t="s">
        <v>631</v>
      </c>
      <c r="BI3" s="359" t="s">
        <v>660</v>
      </c>
      <c r="BJ3" s="379"/>
      <c r="BK3" s="511"/>
      <c r="BL3" s="359" t="s">
        <v>545</v>
      </c>
      <c r="BM3" s="359" t="s">
        <v>545</v>
      </c>
      <c r="BN3" s="359" t="s">
        <v>545</v>
      </c>
      <c r="BO3" s="359" t="s">
        <v>635</v>
      </c>
      <c r="BQ3" s="359"/>
      <c r="BR3" s="511"/>
      <c r="BS3" s="359" t="s">
        <v>661</v>
      </c>
      <c r="BT3" s="359" t="s">
        <v>664</v>
      </c>
      <c r="BU3" s="359" t="s">
        <v>666</v>
      </c>
      <c r="BV3" s="359" t="s">
        <v>650</v>
      </c>
      <c r="BW3" s="359" t="s">
        <v>653</v>
      </c>
      <c r="BX3" s="359" t="s">
        <v>654</v>
      </c>
      <c r="BY3" s="359" t="s">
        <v>657</v>
      </c>
      <c r="BZ3" s="359" t="s">
        <v>656</v>
      </c>
      <c r="CA3" s="359" t="s">
        <v>631</v>
      </c>
      <c r="CB3" s="359" t="s">
        <v>660</v>
      </c>
      <c r="CC3" s="359" t="s">
        <v>851</v>
      </c>
      <c r="CD3" s="359"/>
      <c r="CE3" s="959"/>
    </row>
    <row r="4" spans="1:84" s="357" customFormat="1" ht="178.5" x14ac:dyDescent="0.25">
      <c r="A4" s="380" t="s">
        <v>415</v>
      </c>
      <c r="B4" s="727" t="str">
        <f>HLOOKUP(Start!$B$17,$D$1:$DD$75,+C4, FALSE)</f>
        <v>Reason for design: Ammonia emission reduction. Tests has shown that emission can be reduced with 10 % for every 10 W/m2 cooling effect applied. Reduction of temperature in manure and wet surface of the chanal floor results in a reduction of evaporation/emission. Necessary management handlings: Frequent scraping of manurechanal or frequent emtying in manure chanals with vacuum systems.</v>
      </c>
      <c r="C4" s="426">
        <f t="shared" si="0"/>
        <v>4</v>
      </c>
      <c r="D4" s="511"/>
      <c r="E4" s="1115"/>
      <c r="F4" s="511"/>
      <c r="G4" s="461" t="s">
        <v>450</v>
      </c>
      <c r="H4" s="461" t="s">
        <v>450</v>
      </c>
      <c r="I4" s="359" t="s">
        <v>582</v>
      </c>
      <c r="J4" s="359" t="s">
        <v>577</v>
      </c>
      <c r="K4" s="359" t="s">
        <v>577</v>
      </c>
      <c r="L4" s="359" t="s">
        <v>543</v>
      </c>
      <c r="M4" s="359" t="s">
        <v>543</v>
      </c>
      <c r="N4" s="359" t="s">
        <v>543</v>
      </c>
      <c r="O4" s="359" t="s">
        <v>543</v>
      </c>
      <c r="P4" s="359" t="s">
        <v>543</v>
      </c>
      <c r="Q4" s="359" t="s">
        <v>543</v>
      </c>
      <c r="R4" s="359" t="s">
        <v>572</v>
      </c>
      <c r="S4" s="379" t="s">
        <v>521</v>
      </c>
      <c r="T4" s="379"/>
      <c r="U4" s="379" t="s">
        <v>527</v>
      </c>
      <c r="V4" s="379" t="s">
        <v>557</v>
      </c>
      <c r="W4" s="524" t="s">
        <v>585</v>
      </c>
      <c r="X4" s="524" t="s">
        <v>594</v>
      </c>
      <c r="Y4" s="524" t="s">
        <v>597</v>
      </c>
      <c r="Z4" s="524"/>
      <c r="AA4" s="524" t="s">
        <v>624</v>
      </c>
      <c r="AB4" s="524" t="s">
        <v>624</v>
      </c>
      <c r="AC4" s="524" t="s">
        <v>630</v>
      </c>
      <c r="AD4" s="524"/>
      <c r="AE4" s="379" t="s">
        <v>535</v>
      </c>
      <c r="AF4" s="379" t="s">
        <v>553</v>
      </c>
      <c r="AG4" s="379"/>
      <c r="AH4" s="379" t="s">
        <v>531</v>
      </c>
      <c r="AI4" s="379"/>
      <c r="AJ4" s="379"/>
      <c r="AK4" s="511"/>
      <c r="AL4" s="379" t="s">
        <v>521</v>
      </c>
      <c r="AM4" s="379"/>
      <c r="AN4" s="379"/>
      <c r="AO4" s="379"/>
      <c r="AP4" s="379" t="s">
        <v>1179</v>
      </c>
      <c r="AQ4" s="379"/>
      <c r="AR4" s="379"/>
      <c r="AS4" s="511"/>
      <c r="AT4" s="379"/>
      <c r="AU4" s="359"/>
      <c r="AV4" s="511"/>
      <c r="AW4" s="359" t="s">
        <v>520</v>
      </c>
      <c r="AX4" s="359"/>
      <c r="AY4" s="359" t="s">
        <v>524</v>
      </c>
      <c r="AZ4" s="359" t="s">
        <v>641</v>
      </c>
      <c r="BA4" s="359" t="s">
        <v>643</v>
      </c>
      <c r="BB4" s="359"/>
      <c r="BC4" s="359"/>
      <c r="BD4" s="359"/>
      <c r="BE4" s="359"/>
      <c r="BF4" s="359"/>
      <c r="BG4" s="359" t="s">
        <v>646</v>
      </c>
      <c r="BH4" s="524" t="s">
        <v>630</v>
      </c>
      <c r="BI4" s="524"/>
      <c r="BJ4" s="736"/>
      <c r="BK4" s="511"/>
      <c r="BL4" s="359"/>
      <c r="BM4" s="359"/>
      <c r="BN4" s="359"/>
      <c r="BO4" s="359" t="s">
        <v>636</v>
      </c>
      <c r="BQ4" s="359"/>
      <c r="BR4" s="511"/>
      <c r="BS4" s="524" t="s">
        <v>662</v>
      </c>
      <c r="BT4" s="524" t="s">
        <v>665</v>
      </c>
      <c r="BU4" s="524"/>
      <c r="BV4" s="359" t="s">
        <v>651</v>
      </c>
      <c r="BW4" s="359" t="s">
        <v>651</v>
      </c>
      <c r="BX4" s="359"/>
      <c r="BY4" s="359" t="s">
        <v>655</v>
      </c>
      <c r="BZ4" s="359"/>
      <c r="CA4" s="524" t="s">
        <v>630</v>
      </c>
      <c r="CB4" s="524"/>
      <c r="CC4" s="524"/>
      <c r="CD4" s="524"/>
      <c r="CE4" s="959"/>
    </row>
    <row r="5" spans="1:84" s="357" customFormat="1" ht="45.75" customHeight="1" x14ac:dyDescent="0.25">
      <c r="A5" s="380" t="s">
        <v>812</v>
      </c>
      <c r="B5" s="727" t="str">
        <f>HLOOKUP(Start!$B$17,$D$1:$DD$75,+C5, FALSE)</f>
        <v>Warning: This technique does not contain data for N2O or CH4. Please interpret results with care.</v>
      </c>
      <c r="C5" s="426">
        <f t="shared" si="0"/>
        <v>5</v>
      </c>
      <c r="D5" s="511"/>
      <c r="E5" s="1115"/>
      <c r="F5" s="511"/>
      <c r="G5" s="379" t="s">
        <v>843</v>
      </c>
      <c r="H5" s="379" t="s">
        <v>843</v>
      </c>
      <c r="I5" s="379" t="s">
        <v>822</v>
      </c>
      <c r="J5" s="379" t="s">
        <v>822</v>
      </c>
      <c r="K5" s="379" t="s">
        <v>822</v>
      </c>
      <c r="L5" s="379" t="s">
        <v>822</v>
      </c>
      <c r="M5" s="379" t="s">
        <v>822</v>
      </c>
      <c r="N5" s="379" t="s">
        <v>822</v>
      </c>
      <c r="O5" s="379" t="s">
        <v>822</v>
      </c>
      <c r="P5" s="379" t="s">
        <v>822</v>
      </c>
      <c r="Q5" s="379" t="s">
        <v>822</v>
      </c>
      <c r="R5" s="379" t="s">
        <v>822</v>
      </c>
      <c r="S5" s="379"/>
      <c r="T5" s="379" t="s">
        <v>822</v>
      </c>
      <c r="U5" s="379" t="s">
        <v>822</v>
      </c>
      <c r="V5" s="379" t="s">
        <v>822</v>
      </c>
      <c r="W5" s="379" t="s">
        <v>822</v>
      </c>
      <c r="X5" s="379" t="s">
        <v>822</v>
      </c>
      <c r="Y5" s="379" t="s">
        <v>822</v>
      </c>
      <c r="Z5" s="379" t="s">
        <v>822</v>
      </c>
      <c r="AA5" s="379" t="s">
        <v>822</v>
      </c>
      <c r="AB5" s="379" t="s">
        <v>822</v>
      </c>
      <c r="AC5" s="379" t="s">
        <v>822</v>
      </c>
      <c r="AD5" s="379" t="s">
        <v>822</v>
      </c>
      <c r="AE5" s="379" t="s">
        <v>822</v>
      </c>
      <c r="AF5" s="379" t="s">
        <v>822</v>
      </c>
      <c r="AG5" s="379" t="s">
        <v>822</v>
      </c>
      <c r="AH5" s="379" t="s">
        <v>822</v>
      </c>
      <c r="AI5" s="379" t="s">
        <v>822</v>
      </c>
      <c r="AJ5" s="379"/>
      <c r="AK5" s="511"/>
      <c r="AL5" s="379"/>
      <c r="AM5" s="379"/>
      <c r="AN5" s="379"/>
      <c r="AO5" s="379"/>
      <c r="AP5" s="379"/>
      <c r="AQ5" s="379"/>
      <c r="AR5" s="379"/>
      <c r="AS5" s="511"/>
      <c r="AT5" s="379"/>
      <c r="AU5" s="379"/>
      <c r="AV5" s="511"/>
      <c r="AW5" s="379" t="s">
        <v>844</v>
      </c>
      <c r="AX5" s="379" t="s">
        <v>822</v>
      </c>
      <c r="AY5" s="379" t="s">
        <v>822</v>
      </c>
      <c r="AZ5" s="379" t="s">
        <v>822</v>
      </c>
      <c r="BA5" s="379" t="s">
        <v>822</v>
      </c>
      <c r="BB5" s="379" t="s">
        <v>822</v>
      </c>
      <c r="BC5" s="379" t="s">
        <v>822</v>
      </c>
      <c r="BD5" s="379" t="s">
        <v>822</v>
      </c>
      <c r="BE5" s="379" t="s">
        <v>822</v>
      </c>
      <c r="BF5" s="379" t="s">
        <v>822</v>
      </c>
      <c r="BG5" s="379" t="s">
        <v>822</v>
      </c>
      <c r="BH5" s="379" t="s">
        <v>822</v>
      </c>
      <c r="BI5" s="379" t="s">
        <v>822</v>
      </c>
      <c r="BJ5" s="379"/>
      <c r="BK5" s="511"/>
      <c r="BL5" s="379" t="s">
        <v>822</v>
      </c>
      <c r="BM5" s="379" t="s">
        <v>822</v>
      </c>
      <c r="BN5" s="379" t="s">
        <v>822</v>
      </c>
      <c r="BO5" s="379" t="s">
        <v>822</v>
      </c>
      <c r="BQ5" s="359"/>
      <c r="BR5" s="511"/>
      <c r="BS5" s="379" t="s">
        <v>822</v>
      </c>
      <c r="BT5" s="379" t="s">
        <v>822</v>
      </c>
      <c r="BU5" s="379" t="s">
        <v>822</v>
      </c>
      <c r="BV5" s="379" t="s">
        <v>822</v>
      </c>
      <c r="BW5" s="379" t="s">
        <v>822</v>
      </c>
      <c r="BX5" s="379" t="s">
        <v>822</v>
      </c>
      <c r="BY5" s="379" t="s">
        <v>822</v>
      </c>
      <c r="BZ5" s="379" t="s">
        <v>822</v>
      </c>
      <c r="CA5" s="379" t="s">
        <v>822</v>
      </c>
      <c r="CB5" s="379" t="s">
        <v>822</v>
      </c>
      <c r="CC5" s="379"/>
      <c r="CD5" s="524"/>
      <c r="CE5" s="960"/>
    </row>
    <row r="6" spans="1:84" s="382" customFormat="1" ht="25.5" hidden="1" x14ac:dyDescent="0.25">
      <c r="A6" s="376" t="s">
        <v>428</v>
      </c>
      <c r="B6" s="727"/>
      <c r="C6" s="426">
        <f t="shared" si="0"/>
        <v>6</v>
      </c>
      <c r="D6" s="512"/>
      <c r="E6" s="826"/>
      <c r="F6" s="512"/>
      <c r="AK6" s="512"/>
      <c r="AS6" s="512"/>
      <c r="AV6" s="512"/>
      <c r="BJ6" s="381"/>
      <c r="BK6" s="512"/>
      <c r="BR6" s="512"/>
      <c r="CE6" s="959"/>
    </row>
    <row r="7" spans="1:84" s="357" customFormat="1" ht="12.75" hidden="1" x14ac:dyDescent="0.25">
      <c r="A7" s="390" t="s">
        <v>859</v>
      </c>
      <c r="B7" s="728">
        <f>HLOOKUP(Start!$B$17,$D$1:$DD$75,+C7, FALSE)</f>
        <v>0</v>
      </c>
      <c r="C7" s="426">
        <f t="shared" si="0"/>
        <v>7</v>
      </c>
      <c r="D7" s="513"/>
      <c r="E7" s="1109"/>
      <c r="F7" s="513"/>
      <c r="G7" s="358">
        <v>0</v>
      </c>
      <c r="H7" s="358">
        <v>0</v>
      </c>
      <c r="I7" s="358"/>
      <c r="J7" s="358"/>
      <c r="K7" s="358"/>
      <c r="L7" s="358">
        <v>0</v>
      </c>
      <c r="M7" s="358">
        <v>0</v>
      </c>
      <c r="N7" s="358">
        <v>0</v>
      </c>
      <c r="O7" s="358">
        <v>0</v>
      </c>
      <c r="P7" s="358">
        <v>0</v>
      </c>
      <c r="Q7" s="358">
        <v>0</v>
      </c>
      <c r="R7" s="358"/>
      <c r="S7" s="384">
        <v>0</v>
      </c>
      <c r="T7" s="384"/>
      <c r="U7" s="384">
        <v>0</v>
      </c>
      <c r="V7" s="384">
        <v>0</v>
      </c>
      <c r="W7" s="384"/>
      <c r="X7" s="384"/>
      <c r="Y7" s="384"/>
      <c r="Z7" s="384"/>
      <c r="AA7" s="384"/>
      <c r="AB7" s="384"/>
      <c r="AC7" s="384"/>
      <c r="AD7" s="384"/>
      <c r="AE7" s="384">
        <v>0</v>
      </c>
      <c r="AF7" s="384"/>
      <c r="AG7" s="384">
        <v>0</v>
      </c>
      <c r="AH7" s="384">
        <v>0</v>
      </c>
      <c r="AI7" s="384"/>
      <c r="AJ7" s="384"/>
      <c r="AK7" s="513"/>
      <c r="AL7" s="384">
        <v>0</v>
      </c>
      <c r="AM7" s="384"/>
      <c r="AN7" s="384"/>
      <c r="AO7" s="384"/>
      <c r="AP7" s="384"/>
      <c r="AQ7" s="384"/>
      <c r="AR7" s="384"/>
      <c r="AS7" s="513"/>
      <c r="AT7" s="384"/>
      <c r="AU7" s="384"/>
      <c r="AV7" s="513"/>
      <c r="AW7" s="358">
        <v>0</v>
      </c>
      <c r="AX7" s="358">
        <v>0</v>
      </c>
      <c r="AY7" s="358">
        <v>0</v>
      </c>
      <c r="AZ7" s="358"/>
      <c r="BA7" s="358"/>
      <c r="BB7" s="358"/>
      <c r="BC7" s="358"/>
      <c r="BD7" s="358"/>
      <c r="BE7" s="358"/>
      <c r="BF7" s="358"/>
      <c r="BG7" s="358"/>
      <c r="BH7" s="384"/>
      <c r="BI7" s="384"/>
      <c r="BJ7" s="537"/>
      <c r="BK7" s="513"/>
      <c r="BL7" s="358"/>
      <c r="BM7" s="358"/>
      <c r="BN7" s="358"/>
      <c r="BO7" s="358"/>
      <c r="BQ7" s="358"/>
      <c r="BR7" s="513"/>
      <c r="BS7" s="384"/>
      <c r="BT7" s="384"/>
      <c r="BU7" s="384"/>
      <c r="BV7" s="358"/>
      <c r="BW7" s="358"/>
      <c r="BX7" s="358"/>
      <c r="BY7" s="358"/>
      <c r="BZ7" s="358"/>
      <c r="CA7" s="384"/>
      <c r="CB7" s="384"/>
      <c r="CC7" s="384"/>
      <c r="CD7" s="384"/>
      <c r="CE7" s="959"/>
    </row>
    <row r="8" spans="1:84" s="357" customFormat="1" ht="12.75" hidden="1" x14ac:dyDescent="0.25">
      <c r="A8" s="391" t="s">
        <v>860</v>
      </c>
      <c r="B8" s="728">
        <f>HLOOKUP(Start!$B$17,$D$1:$DD$75,+C8, FALSE)</f>
        <v>0</v>
      </c>
      <c r="C8" s="426">
        <f t="shared" si="0"/>
        <v>8</v>
      </c>
      <c r="D8" s="513"/>
      <c r="E8" s="1109"/>
      <c r="F8" s="513"/>
      <c r="G8" s="358">
        <v>0</v>
      </c>
      <c r="H8" s="358">
        <v>0</v>
      </c>
      <c r="I8" s="358"/>
      <c r="J8" s="358"/>
      <c r="K8" s="358"/>
      <c r="L8" s="358">
        <v>0</v>
      </c>
      <c r="M8" s="358">
        <v>0</v>
      </c>
      <c r="N8" s="358">
        <v>0</v>
      </c>
      <c r="O8" s="358">
        <v>0</v>
      </c>
      <c r="P8" s="358">
        <v>0</v>
      </c>
      <c r="Q8" s="358">
        <v>0</v>
      </c>
      <c r="R8" s="358"/>
      <c r="S8" s="384">
        <v>0</v>
      </c>
      <c r="T8" s="384"/>
      <c r="U8" s="384">
        <v>0</v>
      </c>
      <c r="V8" s="384">
        <v>0</v>
      </c>
      <c r="W8" s="384"/>
      <c r="X8" s="384"/>
      <c r="Y8" s="384"/>
      <c r="Z8" s="384"/>
      <c r="AA8" s="384"/>
      <c r="AB8" s="384"/>
      <c r="AC8" s="384"/>
      <c r="AD8" s="384"/>
      <c r="AE8" s="384">
        <v>0</v>
      </c>
      <c r="AF8" s="384"/>
      <c r="AG8" s="384">
        <v>0</v>
      </c>
      <c r="AH8" s="384">
        <v>0</v>
      </c>
      <c r="AI8" s="384"/>
      <c r="AJ8" s="384"/>
      <c r="AK8" s="513"/>
      <c r="AL8" s="384">
        <v>0</v>
      </c>
      <c r="AM8" s="384"/>
      <c r="AN8" s="384"/>
      <c r="AO8" s="384"/>
      <c r="AP8" s="384"/>
      <c r="AQ8" s="384"/>
      <c r="AR8" s="384"/>
      <c r="AS8" s="513"/>
      <c r="AT8" s="384"/>
      <c r="AU8" s="384"/>
      <c r="AV8" s="513"/>
      <c r="AW8" s="358">
        <v>0</v>
      </c>
      <c r="AX8" s="358">
        <v>0</v>
      </c>
      <c r="AY8" s="358">
        <v>0</v>
      </c>
      <c r="AZ8" s="358"/>
      <c r="BA8" s="358"/>
      <c r="BB8" s="358"/>
      <c r="BC8" s="358"/>
      <c r="BD8" s="358"/>
      <c r="BE8" s="358"/>
      <c r="BF8" s="358"/>
      <c r="BG8" s="358"/>
      <c r="BH8" s="384"/>
      <c r="BI8" s="384"/>
      <c r="BJ8" s="537"/>
      <c r="BK8" s="513"/>
      <c r="BL8" s="358"/>
      <c r="BM8" s="358"/>
      <c r="BN8" s="358"/>
      <c r="BO8" s="358"/>
      <c r="BQ8" s="358"/>
      <c r="BR8" s="513"/>
      <c r="BS8" s="384"/>
      <c r="BT8" s="384"/>
      <c r="BU8" s="384"/>
      <c r="BV8" s="358"/>
      <c r="BW8" s="358"/>
      <c r="BX8" s="358"/>
      <c r="BY8" s="358"/>
      <c r="BZ8" s="358"/>
      <c r="CA8" s="384"/>
      <c r="CB8" s="384"/>
      <c r="CC8" s="384"/>
      <c r="CD8" s="384"/>
      <c r="CE8" s="961"/>
    </row>
    <row r="9" spans="1:84" s="357" customFormat="1" ht="12.75" hidden="1" x14ac:dyDescent="0.25">
      <c r="A9" s="390" t="s">
        <v>858</v>
      </c>
      <c r="B9" s="728">
        <f>HLOOKUP(Start!$B$17,$D$1:$DD$75,+C9, FALSE)</f>
        <v>0</v>
      </c>
      <c r="C9" s="426">
        <f t="shared" si="0"/>
        <v>9</v>
      </c>
      <c r="D9" s="513"/>
      <c r="E9" s="1109"/>
      <c r="F9" s="513"/>
      <c r="G9" s="358">
        <v>0</v>
      </c>
      <c r="H9" s="358">
        <v>0</v>
      </c>
      <c r="I9" s="358"/>
      <c r="J9" s="358"/>
      <c r="K9" s="358"/>
      <c r="L9" s="358">
        <v>0</v>
      </c>
      <c r="M9" s="358">
        <v>0</v>
      </c>
      <c r="N9" s="358">
        <v>0</v>
      </c>
      <c r="O9" s="358">
        <v>0</v>
      </c>
      <c r="P9" s="358">
        <v>0</v>
      </c>
      <c r="Q9" s="358">
        <v>0</v>
      </c>
      <c r="R9" s="358"/>
      <c r="S9" s="384">
        <v>0</v>
      </c>
      <c r="T9" s="384"/>
      <c r="U9" s="384">
        <v>0</v>
      </c>
      <c r="V9" s="384">
        <v>0</v>
      </c>
      <c r="W9" s="384"/>
      <c r="X9" s="384"/>
      <c r="Y9" s="384"/>
      <c r="Z9" s="384"/>
      <c r="AA9" s="384"/>
      <c r="AB9" s="384"/>
      <c r="AC9" s="384"/>
      <c r="AD9" s="384"/>
      <c r="AE9" s="384">
        <v>0</v>
      </c>
      <c r="AF9" s="384"/>
      <c r="AG9" s="384">
        <v>0</v>
      </c>
      <c r="AH9" s="384">
        <v>0</v>
      </c>
      <c r="AI9" s="384"/>
      <c r="AJ9" s="384"/>
      <c r="AK9" s="513"/>
      <c r="AL9" s="384">
        <v>0</v>
      </c>
      <c r="AM9" s="384"/>
      <c r="AN9" s="384"/>
      <c r="AO9" s="384"/>
      <c r="AP9" s="384"/>
      <c r="AQ9" s="384"/>
      <c r="AR9" s="384"/>
      <c r="AS9" s="513"/>
      <c r="AT9" s="384"/>
      <c r="AU9" s="384"/>
      <c r="AV9" s="513"/>
      <c r="AW9" s="358">
        <v>0</v>
      </c>
      <c r="AX9" s="358">
        <v>0</v>
      </c>
      <c r="AY9" s="358">
        <v>0</v>
      </c>
      <c r="AZ9" s="358"/>
      <c r="BA9" s="358"/>
      <c r="BB9" s="358"/>
      <c r="BC9" s="358"/>
      <c r="BD9" s="358"/>
      <c r="BE9" s="358"/>
      <c r="BF9" s="358"/>
      <c r="BG9" s="358"/>
      <c r="BH9" s="384"/>
      <c r="BI9" s="384"/>
      <c r="BJ9" s="537"/>
      <c r="BK9" s="513"/>
      <c r="BL9" s="358"/>
      <c r="BM9" s="358"/>
      <c r="BN9" s="358"/>
      <c r="BO9" s="358"/>
      <c r="BQ9" s="358"/>
      <c r="BR9" s="513"/>
      <c r="BS9" s="384"/>
      <c r="BT9" s="384"/>
      <c r="BU9" s="384"/>
      <c r="BV9" s="358"/>
      <c r="BW9" s="358"/>
      <c r="BX9" s="358"/>
      <c r="BY9" s="358"/>
      <c r="BZ9" s="358"/>
      <c r="CA9" s="384"/>
      <c r="CB9" s="384"/>
      <c r="CC9" s="384"/>
      <c r="CD9" s="384"/>
      <c r="CE9" s="959"/>
    </row>
    <row r="10" spans="1:84" s="382" customFormat="1" ht="25.5" x14ac:dyDescent="0.25">
      <c r="A10" s="376" t="s">
        <v>424</v>
      </c>
      <c r="B10" s="728"/>
      <c r="C10" s="426">
        <f t="shared" si="0"/>
        <v>10</v>
      </c>
      <c r="D10" s="513"/>
      <c r="E10" s="1109"/>
      <c r="F10" s="513"/>
      <c r="AK10" s="513"/>
      <c r="AS10" s="513"/>
      <c r="AV10" s="513"/>
      <c r="BJ10" s="381"/>
      <c r="BK10" s="513"/>
      <c r="BR10" s="513"/>
      <c r="CE10" s="959"/>
    </row>
    <row r="11" spans="1:84" s="357" customFormat="1" ht="12.75" x14ac:dyDescent="0.25">
      <c r="A11" s="357" t="s">
        <v>416</v>
      </c>
      <c r="B11" s="728">
        <f>HLOOKUP(Start!$B$17,$D$1:$DD$75,+C11, FALSE)</f>
        <v>-30</v>
      </c>
      <c r="C11" s="426">
        <f t="shared" si="0"/>
        <v>11</v>
      </c>
      <c r="D11" s="514"/>
      <c r="E11" s="1116"/>
      <c r="F11" s="514"/>
      <c r="G11" s="358">
        <v>-10</v>
      </c>
      <c r="H11" s="358">
        <v>-24</v>
      </c>
      <c r="I11" s="509">
        <v>-28</v>
      </c>
      <c r="J11" s="509">
        <v>-60</v>
      </c>
      <c r="K11" s="509">
        <v>-60</v>
      </c>
      <c r="L11" s="509">
        <v>-10</v>
      </c>
      <c r="M11" s="509">
        <v>-20</v>
      </c>
      <c r="N11" s="509">
        <v>-30</v>
      </c>
      <c r="O11" s="509">
        <v>-10</v>
      </c>
      <c r="P11" s="509">
        <v>-20</v>
      </c>
      <c r="Q11" s="509">
        <v>-30</v>
      </c>
      <c r="R11" s="358">
        <v>-25</v>
      </c>
      <c r="S11" s="384">
        <v>-80</v>
      </c>
      <c r="T11" s="384"/>
      <c r="U11" s="384">
        <v>0</v>
      </c>
      <c r="V11" s="384">
        <f>-(50+85)/2</f>
        <v>-67.5</v>
      </c>
      <c r="W11" s="384">
        <v>-70</v>
      </c>
      <c r="X11" s="384">
        <v>-70</v>
      </c>
      <c r="Y11" s="384">
        <v>-85</v>
      </c>
      <c r="Z11" s="384">
        <v>-85</v>
      </c>
      <c r="AA11" s="384">
        <v>-95</v>
      </c>
      <c r="AB11" s="384">
        <v>-95</v>
      </c>
      <c r="AC11" s="384">
        <v>-95</v>
      </c>
      <c r="AD11" s="384">
        <v>-85</v>
      </c>
      <c r="AE11" s="384">
        <v>-80</v>
      </c>
      <c r="AF11" s="384">
        <v>-90</v>
      </c>
      <c r="AG11" s="384">
        <v>-90</v>
      </c>
      <c r="AH11" s="384">
        <v>-90</v>
      </c>
      <c r="AI11" s="384">
        <v>-70</v>
      </c>
      <c r="AJ11" s="384"/>
      <c r="AK11" s="514"/>
      <c r="AL11" s="384">
        <v>-50</v>
      </c>
      <c r="AM11" s="384">
        <v>-28</v>
      </c>
      <c r="AN11" s="384">
        <v>-28</v>
      </c>
      <c r="AO11" s="384">
        <v>-28</v>
      </c>
      <c r="AP11" s="384">
        <v>-25</v>
      </c>
      <c r="AQ11" s="384">
        <v>-25</v>
      </c>
      <c r="AR11" s="384"/>
      <c r="AS11" s="514"/>
      <c r="AT11" s="384"/>
      <c r="AU11" s="384"/>
      <c r="AV11" s="514"/>
      <c r="AW11" s="358">
        <v>-72</v>
      </c>
      <c r="AX11" s="358">
        <v>-60</v>
      </c>
      <c r="AY11" s="358">
        <v>-71</v>
      </c>
      <c r="AZ11" s="358">
        <v>-88</v>
      </c>
      <c r="BA11" s="358">
        <v>-82.5</v>
      </c>
      <c r="BB11" s="358">
        <v>-92</v>
      </c>
      <c r="BC11" s="358">
        <v>-83</v>
      </c>
      <c r="BD11" s="358">
        <v>-71</v>
      </c>
      <c r="BE11" s="358">
        <v>-88</v>
      </c>
      <c r="BF11" s="358">
        <v>-83</v>
      </c>
      <c r="BG11" s="358">
        <v>-78</v>
      </c>
      <c r="BH11" s="384">
        <v>-90</v>
      </c>
      <c r="BI11" s="384">
        <v>-70</v>
      </c>
      <c r="BJ11" s="537"/>
      <c r="BK11" s="514"/>
      <c r="BL11" s="358">
        <v>-54</v>
      </c>
      <c r="BM11" s="358">
        <v>-66</v>
      </c>
      <c r="BN11" s="358">
        <v>-76</v>
      </c>
      <c r="BO11" s="358">
        <v>-70</v>
      </c>
      <c r="BQ11" s="358"/>
      <c r="BR11" s="514"/>
      <c r="BS11" s="384">
        <v>-56</v>
      </c>
      <c r="BT11" s="384">
        <v>-70</v>
      </c>
      <c r="BU11" s="384">
        <v>-90</v>
      </c>
      <c r="BV11" s="358">
        <v>-71</v>
      </c>
      <c r="BW11" s="358">
        <v>-60</v>
      </c>
      <c r="BX11" s="358">
        <v>-25</v>
      </c>
      <c r="BY11" s="358">
        <v>-58</v>
      </c>
      <c r="BZ11" s="358">
        <v>-57</v>
      </c>
      <c r="CA11" s="384">
        <v>-90</v>
      </c>
      <c r="CB11" s="384">
        <v>-70</v>
      </c>
      <c r="CC11" s="384">
        <v>-25</v>
      </c>
      <c r="CD11" s="384"/>
      <c r="CE11" s="961"/>
    </row>
    <row r="12" spans="1:84" s="357" customFormat="1" ht="12.75" x14ac:dyDescent="0.25">
      <c r="A12" s="357" t="s">
        <v>417</v>
      </c>
      <c r="B12" s="728">
        <f>HLOOKUP(Start!$B$17,$D$1:$DD$75,+C12, FALSE)</f>
        <v>0</v>
      </c>
      <c r="C12" s="426">
        <f t="shared" si="0"/>
        <v>12</v>
      </c>
      <c r="D12" s="514"/>
      <c r="E12" s="1116"/>
      <c r="F12" s="514"/>
      <c r="G12" s="358">
        <v>-65</v>
      </c>
      <c r="H12" s="358">
        <v>-10</v>
      </c>
      <c r="I12" s="358"/>
      <c r="J12" s="358"/>
      <c r="K12" s="358"/>
      <c r="L12" s="358">
        <v>0</v>
      </c>
      <c r="M12" s="358">
        <v>0</v>
      </c>
      <c r="N12" s="358">
        <v>0</v>
      </c>
      <c r="O12" s="358">
        <v>0</v>
      </c>
      <c r="P12" s="358">
        <v>0</v>
      </c>
      <c r="Q12" s="358">
        <v>0</v>
      </c>
      <c r="R12" s="358"/>
      <c r="S12" s="385">
        <v>-32</v>
      </c>
      <c r="T12" s="385"/>
      <c r="U12" s="385">
        <v>0</v>
      </c>
      <c r="V12" s="385">
        <v>0</v>
      </c>
      <c r="W12" s="385"/>
      <c r="X12" s="385"/>
      <c r="Y12" s="385"/>
      <c r="Z12" s="385"/>
      <c r="AA12" s="385"/>
      <c r="AB12" s="385"/>
      <c r="AC12" s="385"/>
      <c r="AD12" s="385"/>
      <c r="AE12" s="385">
        <v>0</v>
      </c>
      <c r="AF12" s="385"/>
      <c r="AG12" s="385">
        <v>0</v>
      </c>
      <c r="AH12" s="385">
        <v>0</v>
      </c>
      <c r="AI12" s="385"/>
      <c r="AJ12" s="385"/>
      <c r="AK12" s="514"/>
      <c r="AL12" s="429">
        <v>0</v>
      </c>
      <c r="AM12" s="385">
        <v>-26</v>
      </c>
      <c r="AN12" s="385">
        <v>-26</v>
      </c>
      <c r="AO12" s="385">
        <v>-26</v>
      </c>
      <c r="AP12" s="385">
        <v>0</v>
      </c>
      <c r="AQ12" s="385">
        <v>0</v>
      </c>
      <c r="AR12" s="385"/>
      <c r="AS12" s="514"/>
      <c r="AT12" s="385"/>
      <c r="AU12" s="384"/>
      <c r="AV12" s="514"/>
      <c r="AW12" s="358">
        <v>0</v>
      </c>
      <c r="AX12" s="358">
        <v>0</v>
      </c>
      <c r="AY12" s="358">
        <v>0</v>
      </c>
      <c r="AZ12" s="358"/>
      <c r="BA12" s="358"/>
      <c r="BB12" s="358"/>
      <c r="BC12" s="358"/>
      <c r="BD12" s="358"/>
      <c r="BE12" s="358"/>
      <c r="BF12" s="358"/>
      <c r="BG12" s="358"/>
      <c r="BH12" s="385"/>
      <c r="BI12" s="385"/>
      <c r="BJ12" s="429"/>
      <c r="BK12" s="514"/>
      <c r="BL12" s="358">
        <v>-8</v>
      </c>
      <c r="BM12" s="358">
        <v>-8</v>
      </c>
      <c r="BN12" s="358">
        <v>0</v>
      </c>
      <c r="BO12" s="358"/>
      <c r="BQ12" s="358"/>
      <c r="BR12" s="514"/>
      <c r="BS12" s="385"/>
      <c r="BT12" s="385"/>
      <c r="BU12" s="385"/>
      <c r="BV12" s="358"/>
      <c r="BW12" s="358"/>
      <c r="BX12" s="358"/>
      <c r="BY12" s="358"/>
      <c r="BZ12" s="358"/>
      <c r="CA12" s="385"/>
      <c r="CB12" s="385"/>
      <c r="CC12" s="385"/>
      <c r="CD12" s="385"/>
      <c r="CE12" s="959"/>
    </row>
    <row r="13" spans="1:84" s="357" customFormat="1" ht="12.75" x14ac:dyDescent="0.25">
      <c r="A13" s="357" t="s">
        <v>418</v>
      </c>
      <c r="B13" s="728">
        <f>HLOOKUP(Start!$B$17,$D$1:$DD$75,+C13, FALSE)</f>
        <v>0</v>
      </c>
      <c r="C13" s="426">
        <f t="shared" si="0"/>
        <v>13</v>
      </c>
      <c r="D13" s="514"/>
      <c r="E13" s="1116"/>
      <c r="F13" s="514"/>
      <c r="G13" s="429">
        <v>0</v>
      </c>
      <c r="H13" s="429">
        <v>0</v>
      </c>
      <c r="I13" s="358"/>
      <c r="J13" s="358"/>
      <c r="K13" s="358"/>
      <c r="L13" s="358">
        <v>0</v>
      </c>
      <c r="M13" s="358">
        <v>0</v>
      </c>
      <c r="N13" s="358">
        <v>0</v>
      </c>
      <c r="O13" s="358">
        <v>0</v>
      </c>
      <c r="P13" s="358">
        <v>0</v>
      </c>
      <c r="Q13" s="358">
        <v>0</v>
      </c>
      <c r="R13" s="429"/>
      <c r="S13" s="385">
        <v>-80</v>
      </c>
      <c r="T13" s="385"/>
      <c r="U13" s="385">
        <v>0</v>
      </c>
      <c r="V13" s="385">
        <v>0</v>
      </c>
      <c r="W13" s="385"/>
      <c r="X13" s="385"/>
      <c r="Y13" s="385"/>
      <c r="Z13" s="385"/>
      <c r="AA13" s="385"/>
      <c r="AB13" s="385"/>
      <c r="AC13" s="385"/>
      <c r="AD13" s="385"/>
      <c r="AE13" s="385">
        <v>0</v>
      </c>
      <c r="AF13" s="385"/>
      <c r="AG13" s="385">
        <v>0</v>
      </c>
      <c r="AH13" s="385">
        <v>0</v>
      </c>
      <c r="AI13" s="385"/>
      <c r="AJ13" s="385"/>
      <c r="AK13" s="514"/>
      <c r="AL13" s="429">
        <v>0</v>
      </c>
      <c r="AM13" s="429">
        <v>1</v>
      </c>
      <c r="AN13" s="429">
        <v>2</v>
      </c>
      <c r="AO13" s="429">
        <v>3</v>
      </c>
      <c r="AP13" s="385">
        <v>0</v>
      </c>
      <c r="AQ13" s="385">
        <v>0</v>
      </c>
      <c r="AR13" s="385"/>
      <c r="AS13" s="514"/>
      <c r="AT13" s="385"/>
      <c r="AU13" s="384"/>
      <c r="AV13" s="514"/>
      <c r="AW13" s="358">
        <v>-67</v>
      </c>
      <c r="AX13" s="358">
        <v>0</v>
      </c>
      <c r="AY13" s="358">
        <v>0</v>
      </c>
      <c r="AZ13" s="358"/>
      <c r="BA13" s="358"/>
      <c r="BB13" s="358"/>
      <c r="BC13" s="358"/>
      <c r="BD13" s="358"/>
      <c r="BE13" s="358"/>
      <c r="BF13" s="358"/>
      <c r="BG13" s="358"/>
      <c r="BH13" s="385"/>
      <c r="BI13" s="385"/>
      <c r="BJ13" s="429"/>
      <c r="BK13" s="514"/>
      <c r="BL13" s="429">
        <v>-29</v>
      </c>
      <c r="BM13" s="429">
        <v>-29</v>
      </c>
      <c r="BN13" s="429">
        <v>0</v>
      </c>
      <c r="BO13" s="429"/>
      <c r="BQ13" s="358"/>
      <c r="BR13" s="514"/>
      <c r="BS13" s="385"/>
      <c r="BT13" s="385"/>
      <c r="BU13" s="385"/>
      <c r="BV13" s="358"/>
      <c r="BW13" s="358"/>
      <c r="BX13" s="358"/>
      <c r="BY13" s="358"/>
      <c r="BZ13" s="358"/>
      <c r="CA13" s="385"/>
      <c r="CB13" s="385"/>
      <c r="CC13" s="385"/>
      <c r="CD13" s="385"/>
      <c r="CE13" s="959"/>
    </row>
    <row r="14" spans="1:84" s="357" customFormat="1" ht="12.75" x14ac:dyDescent="0.25">
      <c r="A14" s="357" t="s">
        <v>419</v>
      </c>
      <c r="B14" s="728">
        <f>HLOOKUP(Start!$B$17,$D$1:$DD$75,+C14, FALSE)</f>
        <v>0</v>
      </c>
      <c r="C14" s="426">
        <f t="shared" si="0"/>
        <v>14</v>
      </c>
      <c r="D14" s="514"/>
      <c r="E14" s="1116"/>
      <c r="F14" s="514"/>
      <c r="G14" s="429">
        <v>0</v>
      </c>
      <c r="H14" s="429">
        <v>0</v>
      </c>
      <c r="I14" s="358"/>
      <c r="J14" s="358"/>
      <c r="K14" s="358"/>
      <c r="L14" s="358">
        <v>0</v>
      </c>
      <c r="M14" s="358">
        <v>0</v>
      </c>
      <c r="N14" s="358">
        <v>0</v>
      </c>
      <c r="O14" s="358">
        <v>0</v>
      </c>
      <c r="P14" s="358">
        <v>0</v>
      </c>
      <c r="Q14" s="358">
        <v>0</v>
      </c>
      <c r="R14" s="358">
        <v>-25</v>
      </c>
      <c r="S14" s="385" t="s">
        <v>399</v>
      </c>
      <c r="T14" s="538">
        <v>-0.4</v>
      </c>
      <c r="U14" s="548" t="s">
        <v>559</v>
      </c>
      <c r="V14" s="548" t="s">
        <v>560</v>
      </c>
      <c r="W14" s="548"/>
      <c r="X14" s="548">
        <v>-45</v>
      </c>
      <c r="Y14" s="548">
        <v>-75</v>
      </c>
      <c r="Z14" s="548">
        <v>-75</v>
      </c>
      <c r="AA14" s="548">
        <v>-30</v>
      </c>
      <c r="AB14" s="548">
        <v>-30</v>
      </c>
      <c r="AC14" s="548">
        <v>-40</v>
      </c>
      <c r="AD14" s="548">
        <v>-75</v>
      </c>
      <c r="AE14" s="385">
        <v>-70</v>
      </c>
      <c r="AF14" s="385"/>
      <c r="AG14" s="385">
        <v>-70</v>
      </c>
      <c r="AH14" s="385">
        <v>-70</v>
      </c>
      <c r="AI14" s="548">
        <v>-80</v>
      </c>
      <c r="AJ14" s="385"/>
      <c r="AK14" s="514"/>
      <c r="AL14" s="429" t="s">
        <v>399</v>
      </c>
      <c r="AM14" s="429" t="s">
        <v>399</v>
      </c>
      <c r="AN14" s="429" t="s">
        <v>399</v>
      </c>
      <c r="AO14" s="429" t="s">
        <v>399</v>
      </c>
      <c r="AP14" s="385" t="s">
        <v>399</v>
      </c>
      <c r="AQ14" s="385" t="s">
        <v>399</v>
      </c>
      <c r="AR14" s="385"/>
      <c r="AS14" s="514"/>
      <c r="AT14" s="385"/>
      <c r="AU14" s="384"/>
      <c r="AV14" s="514"/>
      <c r="AW14" s="429">
        <v>0</v>
      </c>
      <c r="AX14" s="429">
        <v>0</v>
      </c>
      <c r="AY14" s="429">
        <v>0</v>
      </c>
      <c r="AZ14" s="429" t="s">
        <v>639</v>
      </c>
      <c r="BA14" s="429" t="s">
        <v>639</v>
      </c>
      <c r="BB14" s="429" t="s">
        <v>639</v>
      </c>
      <c r="BC14" s="429" t="s">
        <v>639</v>
      </c>
      <c r="BD14" s="429" t="s">
        <v>639</v>
      </c>
      <c r="BE14" s="429" t="s">
        <v>639</v>
      </c>
      <c r="BF14" s="429" t="s">
        <v>639</v>
      </c>
      <c r="BG14" s="429" t="s">
        <v>639</v>
      </c>
      <c r="BH14" s="548">
        <v>-40</v>
      </c>
      <c r="BI14" s="548"/>
      <c r="BJ14" s="737"/>
      <c r="BK14" s="514"/>
      <c r="BL14" s="429">
        <v>0</v>
      </c>
      <c r="BM14" s="429">
        <v>0</v>
      </c>
      <c r="BN14" s="429">
        <v>0</v>
      </c>
      <c r="BO14" s="429" t="s">
        <v>639</v>
      </c>
      <c r="BQ14" s="429"/>
      <c r="BR14" s="514"/>
      <c r="BS14" s="548"/>
      <c r="BT14" s="548"/>
      <c r="BU14" s="548"/>
      <c r="BV14" s="429" t="s">
        <v>639</v>
      </c>
      <c r="BW14" s="429" t="s">
        <v>639</v>
      </c>
      <c r="BX14" s="429" t="s">
        <v>639</v>
      </c>
      <c r="BY14" s="429" t="s">
        <v>639</v>
      </c>
      <c r="BZ14" s="429"/>
      <c r="CA14" s="548">
        <v>-40</v>
      </c>
      <c r="CB14" s="548"/>
      <c r="CC14" s="548">
        <v>-25</v>
      </c>
      <c r="CD14" s="548"/>
      <c r="CE14" s="959"/>
    </row>
    <row r="15" spans="1:84" s="382" customFormat="1" ht="25.5" x14ac:dyDescent="0.25">
      <c r="A15" s="376" t="s">
        <v>425</v>
      </c>
      <c r="B15" s="728"/>
      <c r="C15" s="426">
        <f t="shared" si="0"/>
        <v>15</v>
      </c>
      <c r="D15" s="515"/>
      <c r="E15" s="1117"/>
      <c r="F15" s="515"/>
      <c r="S15" s="387"/>
      <c r="T15" s="387"/>
      <c r="U15" s="387"/>
      <c r="V15" s="387"/>
      <c r="W15" s="387"/>
      <c r="X15" s="387"/>
      <c r="Y15" s="387"/>
      <c r="Z15" s="387"/>
      <c r="AA15" s="387"/>
      <c r="AB15" s="387"/>
      <c r="AC15" s="387"/>
      <c r="AD15" s="387"/>
      <c r="AE15" s="387"/>
      <c r="AF15" s="387"/>
      <c r="AG15" s="387"/>
      <c r="AH15" s="387"/>
      <c r="AI15" s="387"/>
      <c r="AJ15" s="387"/>
      <c r="AK15" s="515"/>
      <c r="AL15" s="387"/>
      <c r="AM15" s="387"/>
      <c r="AN15" s="387"/>
      <c r="AO15" s="387"/>
      <c r="AP15" s="387"/>
      <c r="AQ15" s="387"/>
      <c r="AR15" s="387"/>
      <c r="AS15" s="515"/>
      <c r="AT15" s="387"/>
      <c r="AV15" s="515"/>
      <c r="BH15" s="387"/>
      <c r="BI15" s="387"/>
      <c r="BJ15" s="662"/>
      <c r="BK15" s="515"/>
      <c r="BR15" s="515"/>
      <c r="BS15" s="387"/>
      <c r="BT15" s="387"/>
      <c r="BU15" s="387"/>
      <c r="CA15" s="387"/>
      <c r="CB15" s="387"/>
      <c r="CC15" s="387"/>
      <c r="CD15" s="387"/>
      <c r="CE15" s="959"/>
    </row>
    <row r="16" spans="1:84" s="357" customFormat="1" ht="12.75" x14ac:dyDescent="0.25">
      <c r="A16" s="357" t="s">
        <v>416</v>
      </c>
      <c r="B16" s="728">
        <f>HLOOKUP(Start!$B$17,$D$1:$DD$75,+C16, FALSE)</f>
        <v>0</v>
      </c>
      <c r="C16" s="426">
        <f t="shared" si="0"/>
        <v>16</v>
      </c>
      <c r="D16" s="516"/>
      <c r="E16" s="1110"/>
      <c r="F16" s="516"/>
      <c r="G16" s="384">
        <v>0</v>
      </c>
      <c r="H16" s="384">
        <v>0</v>
      </c>
      <c r="I16" s="384"/>
      <c r="J16" s="384"/>
      <c r="K16" s="384"/>
      <c r="L16" s="384">
        <v>0</v>
      </c>
      <c r="M16" s="384">
        <v>0</v>
      </c>
      <c r="N16" s="384">
        <v>0</v>
      </c>
      <c r="O16" s="384">
        <v>0</v>
      </c>
      <c r="P16" s="384">
        <v>0</v>
      </c>
      <c r="Q16" s="384">
        <v>0</v>
      </c>
      <c r="R16" s="384"/>
      <c r="S16" s="385">
        <v>-90</v>
      </c>
      <c r="T16" s="385"/>
      <c r="U16" s="384">
        <v>0</v>
      </c>
      <c r="V16" s="384">
        <v>85</v>
      </c>
      <c r="W16" s="384"/>
      <c r="X16" s="384"/>
      <c r="Y16" s="384"/>
      <c r="Z16" s="384"/>
      <c r="AA16" s="384"/>
      <c r="AB16" s="384"/>
      <c r="AC16" s="384"/>
      <c r="AD16" s="384"/>
      <c r="AE16" s="384">
        <v>0</v>
      </c>
      <c r="AF16" s="384">
        <v>0</v>
      </c>
      <c r="AG16" s="384">
        <v>0</v>
      </c>
      <c r="AH16" s="384">
        <f>-90*1.5/5</f>
        <v>-27</v>
      </c>
      <c r="AI16" s="384"/>
      <c r="AJ16" s="385"/>
      <c r="AK16" s="516"/>
      <c r="AL16" s="429">
        <v>-50</v>
      </c>
      <c r="AM16" s="385">
        <v>0</v>
      </c>
      <c r="AN16" s="385">
        <v>0</v>
      </c>
      <c r="AO16" s="385">
        <v>0</v>
      </c>
      <c r="AP16" s="385">
        <v>0</v>
      </c>
      <c r="AQ16" s="385">
        <v>0</v>
      </c>
      <c r="AR16" s="385"/>
      <c r="AS16" s="516"/>
      <c r="AT16" s="385"/>
      <c r="AU16" s="384"/>
      <c r="AV16" s="516"/>
      <c r="AW16" s="384">
        <v>0</v>
      </c>
      <c r="AX16" s="384">
        <v>0</v>
      </c>
      <c r="AY16" s="384">
        <v>0</v>
      </c>
      <c r="AZ16" s="384"/>
      <c r="BA16" s="384"/>
      <c r="BB16" s="384"/>
      <c r="BC16" s="384"/>
      <c r="BD16" s="384"/>
      <c r="BE16" s="384"/>
      <c r="BF16" s="384"/>
      <c r="BG16" s="384"/>
      <c r="BH16" s="384"/>
      <c r="BI16" s="384"/>
      <c r="BJ16" s="537"/>
      <c r="BK16" s="516"/>
      <c r="BL16" s="384">
        <v>0</v>
      </c>
      <c r="BM16" s="384">
        <v>0</v>
      </c>
      <c r="BN16" s="384">
        <v>0</v>
      </c>
      <c r="BO16" s="384"/>
      <c r="BQ16" s="384"/>
      <c r="BR16" s="516"/>
      <c r="BS16" s="384"/>
      <c r="BT16" s="384"/>
      <c r="BU16" s="384"/>
      <c r="BV16" s="384"/>
      <c r="BW16" s="384"/>
      <c r="BX16" s="384"/>
      <c r="BY16" s="384"/>
      <c r="BZ16" s="384"/>
      <c r="CA16" s="384"/>
      <c r="CB16" s="384"/>
      <c r="CC16" s="384"/>
      <c r="CD16" s="384"/>
      <c r="CE16" s="961"/>
    </row>
    <row r="17" spans="1:83" s="357" customFormat="1" ht="12.75" x14ac:dyDescent="0.25">
      <c r="A17" s="357" t="s">
        <v>417</v>
      </c>
      <c r="B17" s="728">
        <f>HLOOKUP(Start!$B$17,$D$1:$DD$75,+C17, FALSE)</f>
        <v>0</v>
      </c>
      <c r="C17" s="426">
        <f t="shared" si="0"/>
        <v>17</v>
      </c>
      <c r="D17" s="516"/>
      <c r="E17" s="1110"/>
      <c r="F17" s="516"/>
      <c r="G17" s="384">
        <v>0</v>
      </c>
      <c r="H17" s="384">
        <v>0</v>
      </c>
      <c r="I17" s="384"/>
      <c r="J17" s="384"/>
      <c r="K17" s="384"/>
      <c r="L17" s="384">
        <v>0</v>
      </c>
      <c r="M17" s="384">
        <v>0</v>
      </c>
      <c r="N17" s="384">
        <v>0</v>
      </c>
      <c r="O17" s="384">
        <v>0</v>
      </c>
      <c r="P17" s="384">
        <v>0</v>
      </c>
      <c r="Q17" s="384">
        <v>0</v>
      </c>
      <c r="R17" s="384"/>
      <c r="S17" s="385">
        <v>-60</v>
      </c>
      <c r="T17" s="385"/>
      <c r="U17" s="384">
        <v>0</v>
      </c>
      <c r="V17" s="384"/>
      <c r="W17" s="384"/>
      <c r="X17" s="384"/>
      <c r="Y17" s="384"/>
      <c r="Z17" s="384"/>
      <c r="AA17" s="384"/>
      <c r="AB17" s="384"/>
      <c r="AC17" s="384"/>
      <c r="AD17" s="384"/>
      <c r="AE17" s="384">
        <v>0</v>
      </c>
      <c r="AF17" s="384">
        <v>0</v>
      </c>
      <c r="AG17" s="384">
        <v>0</v>
      </c>
      <c r="AH17" s="384">
        <f>-60*1.5/5</f>
        <v>-18</v>
      </c>
      <c r="AI17" s="384"/>
      <c r="AJ17" s="385"/>
      <c r="AK17" s="516"/>
      <c r="AL17" s="429">
        <v>-67</v>
      </c>
      <c r="AM17" s="385">
        <v>0</v>
      </c>
      <c r="AN17" s="385">
        <v>0</v>
      </c>
      <c r="AO17" s="385">
        <v>0</v>
      </c>
      <c r="AP17" s="385">
        <v>0</v>
      </c>
      <c r="AQ17" s="385">
        <v>0</v>
      </c>
      <c r="AR17" s="385"/>
      <c r="AS17" s="516"/>
      <c r="AT17" s="385"/>
      <c r="AU17" s="384"/>
      <c r="AV17" s="516"/>
      <c r="AW17" s="384">
        <v>0</v>
      </c>
      <c r="AX17" s="384">
        <v>0</v>
      </c>
      <c r="AY17" s="384">
        <v>0</v>
      </c>
      <c r="AZ17" s="384"/>
      <c r="BA17" s="384"/>
      <c r="BB17" s="384"/>
      <c r="BC17" s="384"/>
      <c r="BD17" s="384"/>
      <c r="BE17" s="384"/>
      <c r="BF17" s="384"/>
      <c r="BG17" s="384"/>
      <c r="BH17" s="384"/>
      <c r="BI17" s="384"/>
      <c r="BJ17" s="537"/>
      <c r="BK17" s="516"/>
      <c r="BL17" s="384">
        <v>0</v>
      </c>
      <c r="BM17" s="384">
        <v>0</v>
      </c>
      <c r="BN17" s="384">
        <v>0</v>
      </c>
      <c r="BO17" s="384"/>
      <c r="BQ17" s="384"/>
      <c r="BR17" s="516"/>
      <c r="BS17" s="384"/>
      <c r="BT17" s="384"/>
      <c r="BU17" s="384"/>
      <c r="BV17" s="384"/>
      <c r="BW17" s="384"/>
      <c r="BX17" s="384"/>
      <c r="BY17" s="384"/>
      <c r="BZ17" s="384"/>
      <c r="CA17" s="384"/>
      <c r="CB17" s="384"/>
      <c r="CC17" s="384"/>
      <c r="CD17" s="384"/>
      <c r="CE17" s="959"/>
    </row>
    <row r="18" spans="1:83" s="357" customFormat="1" ht="12.75" x14ac:dyDescent="0.25">
      <c r="A18" s="357" t="s">
        <v>418</v>
      </c>
      <c r="B18" s="728">
        <f>HLOOKUP(Start!$B$17,$D$1:$DD$75,+C18, FALSE)</f>
        <v>0</v>
      </c>
      <c r="C18" s="426">
        <f t="shared" si="0"/>
        <v>18</v>
      </c>
      <c r="D18" s="516"/>
      <c r="E18" s="1110"/>
      <c r="F18" s="516"/>
      <c r="G18" s="384">
        <v>0</v>
      </c>
      <c r="H18" s="384">
        <v>0</v>
      </c>
      <c r="I18" s="384"/>
      <c r="J18" s="384"/>
      <c r="K18" s="384"/>
      <c r="L18" s="384">
        <v>0</v>
      </c>
      <c r="M18" s="384">
        <v>0</v>
      </c>
      <c r="N18" s="384">
        <v>0</v>
      </c>
      <c r="O18" s="384">
        <v>0</v>
      </c>
      <c r="P18" s="384">
        <v>0</v>
      </c>
      <c r="Q18" s="384">
        <v>0</v>
      </c>
      <c r="R18" s="384"/>
      <c r="S18" s="385">
        <v>-40</v>
      </c>
      <c r="T18" s="385"/>
      <c r="U18" s="384">
        <v>0</v>
      </c>
      <c r="V18" s="384"/>
      <c r="W18" s="384"/>
      <c r="X18" s="384"/>
      <c r="Y18" s="384"/>
      <c r="Z18" s="384"/>
      <c r="AA18" s="384"/>
      <c r="AB18" s="384"/>
      <c r="AC18" s="384"/>
      <c r="AD18" s="384"/>
      <c r="AE18" s="384">
        <v>0</v>
      </c>
      <c r="AF18" s="384">
        <v>0</v>
      </c>
      <c r="AG18" s="384">
        <v>0</v>
      </c>
      <c r="AH18" s="384">
        <f>-40*1.5/5</f>
        <v>-12</v>
      </c>
      <c r="AI18" s="384"/>
      <c r="AJ18" s="385"/>
      <c r="AK18" s="516"/>
      <c r="AL18" s="429">
        <v>0</v>
      </c>
      <c r="AM18" s="385">
        <v>0</v>
      </c>
      <c r="AN18" s="385">
        <v>0</v>
      </c>
      <c r="AO18" s="385">
        <v>0</v>
      </c>
      <c r="AP18" s="385">
        <v>0</v>
      </c>
      <c r="AQ18" s="385">
        <v>0</v>
      </c>
      <c r="AR18" s="385"/>
      <c r="AS18" s="516"/>
      <c r="AT18" s="385"/>
      <c r="AU18" s="384"/>
      <c r="AV18" s="516"/>
      <c r="AW18" s="384">
        <v>0</v>
      </c>
      <c r="AX18" s="384">
        <v>0</v>
      </c>
      <c r="AY18" s="384">
        <v>0</v>
      </c>
      <c r="AZ18" s="384"/>
      <c r="BA18" s="384"/>
      <c r="BB18" s="384"/>
      <c r="BC18" s="384"/>
      <c r="BD18" s="384"/>
      <c r="BE18" s="384"/>
      <c r="BF18" s="384"/>
      <c r="BG18" s="384"/>
      <c r="BH18" s="384"/>
      <c r="BI18" s="384"/>
      <c r="BJ18" s="537"/>
      <c r="BK18" s="516"/>
      <c r="BL18" s="384">
        <v>0</v>
      </c>
      <c r="BM18" s="384">
        <v>0</v>
      </c>
      <c r="BN18" s="384">
        <v>0</v>
      </c>
      <c r="BO18" s="384"/>
      <c r="BQ18" s="384"/>
      <c r="BR18" s="516"/>
      <c r="BS18" s="384"/>
      <c r="BT18" s="384"/>
      <c r="BU18" s="384"/>
      <c r="BV18" s="384"/>
      <c r="BW18" s="384"/>
      <c r="BX18" s="384"/>
      <c r="BY18" s="384"/>
      <c r="BZ18" s="384"/>
      <c r="CA18" s="384"/>
      <c r="CB18" s="384"/>
      <c r="CC18" s="384"/>
      <c r="CD18" s="384"/>
      <c r="CE18" s="959"/>
    </row>
    <row r="19" spans="1:83" s="357" customFormat="1" ht="12.75" x14ac:dyDescent="0.25">
      <c r="A19" s="357" t="s">
        <v>419</v>
      </c>
      <c r="B19" s="728">
        <f>HLOOKUP(Start!$B$17,$D$1:$DD$75,+C19, FALSE)</f>
        <v>0</v>
      </c>
      <c r="C19" s="426">
        <f t="shared" si="0"/>
        <v>19</v>
      </c>
      <c r="D19" s="516"/>
      <c r="E19" s="1110"/>
      <c r="F19" s="516"/>
      <c r="G19" s="384">
        <v>0</v>
      </c>
      <c r="H19" s="384">
        <v>0</v>
      </c>
      <c r="I19" s="384"/>
      <c r="J19" s="384"/>
      <c r="K19" s="384"/>
      <c r="L19" s="384">
        <v>0</v>
      </c>
      <c r="M19" s="384">
        <v>0</v>
      </c>
      <c r="N19" s="384">
        <v>0</v>
      </c>
      <c r="O19" s="384">
        <v>0</v>
      </c>
      <c r="P19" s="384">
        <v>0</v>
      </c>
      <c r="Q19" s="384">
        <v>0</v>
      </c>
      <c r="R19" s="384"/>
      <c r="S19" s="385" t="s">
        <v>399</v>
      </c>
      <c r="T19" s="385"/>
      <c r="U19" s="384">
        <v>0</v>
      </c>
      <c r="V19" s="384"/>
      <c r="W19" s="384"/>
      <c r="X19" s="384"/>
      <c r="Y19" s="384"/>
      <c r="Z19" s="384"/>
      <c r="AA19" s="384"/>
      <c r="AB19" s="384"/>
      <c r="AC19" s="384"/>
      <c r="AD19" s="384"/>
      <c r="AE19" s="384">
        <v>0</v>
      </c>
      <c r="AF19" s="384">
        <v>0</v>
      </c>
      <c r="AG19" s="384">
        <v>0</v>
      </c>
      <c r="AH19" s="384">
        <v>0</v>
      </c>
      <c r="AI19" s="384"/>
      <c r="AJ19" s="385"/>
      <c r="AK19" s="516"/>
      <c r="AL19" s="429" t="s">
        <v>399</v>
      </c>
      <c r="AM19" s="429" t="s">
        <v>399</v>
      </c>
      <c r="AN19" s="429" t="s">
        <v>399</v>
      </c>
      <c r="AO19" s="429" t="s">
        <v>399</v>
      </c>
      <c r="AP19" s="385" t="s">
        <v>399</v>
      </c>
      <c r="AQ19" s="385" t="s">
        <v>399</v>
      </c>
      <c r="AR19" s="385"/>
      <c r="AS19" s="516"/>
      <c r="AT19" s="385"/>
      <c r="AU19" s="384"/>
      <c r="AV19" s="516"/>
      <c r="AW19" s="384">
        <v>0</v>
      </c>
      <c r="AX19" s="384">
        <v>0</v>
      </c>
      <c r="AY19" s="384">
        <v>0</v>
      </c>
      <c r="AZ19" s="384"/>
      <c r="BA19" s="384"/>
      <c r="BB19" s="384"/>
      <c r="BC19" s="384"/>
      <c r="BD19" s="384"/>
      <c r="BE19" s="384"/>
      <c r="BF19" s="384"/>
      <c r="BG19" s="384"/>
      <c r="BH19" s="384"/>
      <c r="BI19" s="384"/>
      <c r="BJ19" s="537"/>
      <c r="BK19" s="516"/>
      <c r="BL19" s="384">
        <v>0</v>
      </c>
      <c r="BM19" s="384">
        <v>0</v>
      </c>
      <c r="BN19" s="384">
        <v>0</v>
      </c>
      <c r="BO19" s="384"/>
      <c r="BQ19" s="384"/>
      <c r="BR19" s="516"/>
      <c r="BS19" s="384"/>
      <c r="BT19" s="384"/>
      <c r="BU19" s="384"/>
      <c r="BV19" s="384"/>
      <c r="BW19" s="384"/>
      <c r="BX19" s="384"/>
      <c r="BY19" s="384"/>
      <c r="BZ19" s="384"/>
      <c r="CA19" s="384"/>
      <c r="CB19" s="384"/>
      <c r="CC19" s="384"/>
      <c r="CD19" s="384"/>
      <c r="CE19" s="959"/>
    </row>
    <row r="20" spans="1:83" s="382" customFormat="1" ht="12.75" x14ac:dyDescent="0.25">
      <c r="A20" s="376" t="s">
        <v>414</v>
      </c>
      <c r="B20" s="728"/>
      <c r="C20" s="426">
        <f t="shared" si="0"/>
        <v>20</v>
      </c>
      <c r="D20" s="515"/>
      <c r="E20" s="1117"/>
      <c r="F20" s="515"/>
      <c r="S20" s="387"/>
      <c r="T20" s="387"/>
      <c r="AJ20" s="387"/>
      <c r="AK20" s="515"/>
      <c r="AL20" s="387"/>
      <c r="AM20" s="387"/>
      <c r="AN20" s="387"/>
      <c r="AO20" s="387"/>
      <c r="AP20" s="387"/>
      <c r="AQ20" s="387"/>
      <c r="AR20" s="387"/>
      <c r="AS20" s="515"/>
      <c r="AT20" s="387"/>
      <c r="AV20" s="515"/>
      <c r="BJ20" s="381"/>
      <c r="BK20" s="515"/>
      <c r="BR20" s="515"/>
      <c r="CE20" s="959"/>
    </row>
    <row r="21" spans="1:83" s="357" customFormat="1" ht="12.75" x14ac:dyDescent="0.25">
      <c r="A21" s="357" t="s">
        <v>416</v>
      </c>
      <c r="B21" s="728">
        <f>HLOOKUP(Start!$B$17,$D$1:$DD$75,+C21, FALSE)</f>
        <v>0</v>
      </c>
      <c r="C21" s="426">
        <f t="shared" si="0"/>
        <v>21</v>
      </c>
      <c r="D21" s="516"/>
      <c r="E21" s="1110"/>
      <c r="F21" s="516"/>
      <c r="G21" s="389">
        <v>0</v>
      </c>
      <c r="H21" s="389">
        <v>0</v>
      </c>
      <c r="I21" s="389"/>
      <c r="J21" s="389"/>
      <c r="K21" s="389"/>
      <c r="L21" s="389">
        <v>0</v>
      </c>
      <c r="M21" s="389">
        <v>0</v>
      </c>
      <c r="N21" s="389">
        <v>0</v>
      </c>
      <c r="O21" s="389">
        <v>0</v>
      </c>
      <c r="P21" s="389">
        <v>0</v>
      </c>
      <c r="Q21" s="389">
        <v>0</v>
      </c>
      <c r="R21" s="389"/>
      <c r="S21" s="385">
        <v>-67</v>
      </c>
      <c r="T21" s="385"/>
      <c r="U21" s="389">
        <v>0</v>
      </c>
      <c r="V21" s="389"/>
      <c r="W21" s="389"/>
      <c r="X21" s="389"/>
      <c r="Y21" s="389"/>
      <c r="Z21" s="389"/>
      <c r="AA21" s="389"/>
      <c r="AB21" s="389"/>
      <c r="AC21" s="389"/>
      <c r="AD21" s="389"/>
      <c r="AE21" s="389">
        <v>-67</v>
      </c>
      <c r="AF21" s="389">
        <v>-67</v>
      </c>
      <c r="AG21" s="389">
        <v>-49</v>
      </c>
      <c r="AH21" s="389">
        <v>-49</v>
      </c>
      <c r="AI21" s="389"/>
      <c r="AJ21" s="385"/>
      <c r="AK21" s="516"/>
      <c r="AL21" s="385">
        <v>-60</v>
      </c>
      <c r="AM21" s="385">
        <v>0</v>
      </c>
      <c r="AN21" s="385">
        <v>0</v>
      </c>
      <c r="AO21" s="385">
        <v>0</v>
      </c>
      <c r="AP21" s="385">
        <v>0</v>
      </c>
      <c r="AQ21" s="385">
        <v>0</v>
      </c>
      <c r="AR21" s="385"/>
      <c r="AS21" s="516"/>
      <c r="AT21" s="385"/>
      <c r="AU21" s="358"/>
      <c r="AV21" s="516"/>
      <c r="AW21" s="389">
        <v>0</v>
      </c>
      <c r="AX21" s="389">
        <v>0</v>
      </c>
      <c r="AY21" s="389">
        <v>0</v>
      </c>
      <c r="AZ21" s="389"/>
      <c r="BA21" s="389"/>
      <c r="BB21" s="389"/>
      <c r="BC21" s="389"/>
      <c r="BD21" s="389"/>
      <c r="BE21" s="389"/>
      <c r="BF21" s="389"/>
      <c r="BG21" s="389"/>
      <c r="BH21" s="389"/>
      <c r="BI21" s="389"/>
      <c r="BJ21" s="738"/>
      <c r="BK21" s="516"/>
      <c r="BL21" s="389">
        <v>0</v>
      </c>
      <c r="BM21" s="389">
        <v>0</v>
      </c>
      <c r="BN21" s="389">
        <v>0</v>
      </c>
      <c r="BO21" s="389"/>
      <c r="BQ21" s="389"/>
      <c r="BR21" s="516"/>
      <c r="BS21" s="389"/>
      <c r="BT21" s="389"/>
      <c r="BU21" s="389"/>
      <c r="BV21" s="389"/>
      <c r="BW21" s="389"/>
      <c r="BX21" s="389"/>
      <c r="BY21" s="389"/>
      <c r="BZ21" s="389"/>
      <c r="CA21" s="389"/>
      <c r="CB21" s="389"/>
      <c r="CC21" s="389"/>
      <c r="CD21" s="389"/>
      <c r="CE21" s="961"/>
    </row>
    <row r="22" spans="1:83" s="357" customFormat="1" ht="12.75" x14ac:dyDescent="0.25">
      <c r="A22" s="357" t="s">
        <v>417</v>
      </c>
      <c r="B22" s="728">
        <f>HLOOKUP(Start!$B$17,$D$1:$DD$75,+C22, FALSE)</f>
        <v>0</v>
      </c>
      <c r="C22" s="426">
        <f t="shared" si="0"/>
        <v>22</v>
      </c>
      <c r="D22" s="516"/>
      <c r="E22" s="1110"/>
      <c r="F22" s="516"/>
      <c r="G22" s="384">
        <v>0</v>
      </c>
      <c r="H22" s="384">
        <v>0</v>
      </c>
      <c r="I22" s="384"/>
      <c r="J22" s="384"/>
      <c r="K22" s="384"/>
      <c r="L22" s="384">
        <v>0</v>
      </c>
      <c r="M22" s="384">
        <v>0</v>
      </c>
      <c r="N22" s="384">
        <v>0</v>
      </c>
      <c r="O22" s="384">
        <v>0</v>
      </c>
      <c r="P22" s="384">
        <v>0</v>
      </c>
      <c r="Q22" s="384">
        <v>0</v>
      </c>
      <c r="R22" s="384"/>
      <c r="S22" s="385">
        <v>0</v>
      </c>
      <c r="T22" s="385"/>
      <c r="U22" s="384">
        <v>0</v>
      </c>
      <c r="V22" s="384"/>
      <c r="W22" s="384"/>
      <c r="X22" s="384"/>
      <c r="Y22" s="384"/>
      <c r="Z22" s="384"/>
      <c r="AA22" s="384"/>
      <c r="AB22" s="384"/>
      <c r="AC22" s="384"/>
      <c r="AD22" s="384"/>
      <c r="AE22" s="384">
        <v>0</v>
      </c>
      <c r="AF22" s="384">
        <v>0</v>
      </c>
      <c r="AG22" s="384">
        <v>0</v>
      </c>
      <c r="AH22" s="384">
        <v>0</v>
      </c>
      <c r="AI22" s="384"/>
      <c r="AJ22" s="385"/>
      <c r="AK22" s="516"/>
      <c r="AL22" s="385">
        <v>0</v>
      </c>
      <c r="AM22" s="385">
        <v>0</v>
      </c>
      <c r="AN22" s="385">
        <v>0</v>
      </c>
      <c r="AO22" s="385">
        <v>0</v>
      </c>
      <c r="AP22" s="385">
        <v>0</v>
      </c>
      <c r="AQ22" s="385">
        <v>0</v>
      </c>
      <c r="AR22" s="385"/>
      <c r="AS22" s="516"/>
      <c r="AT22" s="385"/>
      <c r="AU22" s="358"/>
      <c r="AV22" s="516"/>
      <c r="AW22" s="384">
        <v>0</v>
      </c>
      <c r="AX22" s="384">
        <v>0</v>
      </c>
      <c r="AY22" s="384">
        <v>0</v>
      </c>
      <c r="AZ22" s="384"/>
      <c r="BA22" s="384"/>
      <c r="BB22" s="384"/>
      <c r="BC22" s="384"/>
      <c r="BD22" s="384"/>
      <c r="BE22" s="384"/>
      <c r="BF22" s="384"/>
      <c r="BG22" s="384"/>
      <c r="BH22" s="384"/>
      <c r="BI22" s="384"/>
      <c r="BJ22" s="537"/>
      <c r="BK22" s="516"/>
      <c r="BL22" s="384">
        <v>0</v>
      </c>
      <c r="BM22" s="384">
        <v>0</v>
      </c>
      <c r="BN22" s="384">
        <v>0</v>
      </c>
      <c r="BO22" s="384"/>
      <c r="BQ22" s="384"/>
      <c r="BR22" s="516"/>
      <c r="BS22" s="384"/>
      <c r="BT22" s="384"/>
      <c r="BU22" s="384"/>
      <c r="BV22" s="384"/>
      <c r="BW22" s="384"/>
      <c r="BX22" s="384"/>
      <c r="BY22" s="384"/>
      <c r="BZ22" s="384"/>
      <c r="CA22" s="384"/>
      <c r="CB22" s="384"/>
      <c r="CC22" s="384"/>
      <c r="CD22" s="384"/>
      <c r="CE22" s="959"/>
    </row>
    <row r="23" spans="1:83" s="357" customFormat="1" ht="12.75" x14ac:dyDescent="0.25">
      <c r="A23" s="357" t="s">
        <v>418</v>
      </c>
      <c r="B23" s="728">
        <f>HLOOKUP(Start!$B$17,$D$1:$DD$75,+C23, FALSE)</f>
        <v>0</v>
      </c>
      <c r="C23" s="426">
        <f t="shared" si="0"/>
        <v>23</v>
      </c>
      <c r="D23" s="516"/>
      <c r="E23" s="1110"/>
      <c r="F23" s="516"/>
      <c r="G23" s="384">
        <v>0</v>
      </c>
      <c r="H23" s="384">
        <v>0</v>
      </c>
      <c r="I23" s="384"/>
      <c r="J23" s="384"/>
      <c r="K23" s="384"/>
      <c r="L23" s="384">
        <v>0</v>
      </c>
      <c r="M23" s="384">
        <v>0</v>
      </c>
      <c r="N23" s="384">
        <v>0</v>
      </c>
      <c r="O23" s="384">
        <v>0</v>
      </c>
      <c r="P23" s="384">
        <v>0</v>
      </c>
      <c r="Q23" s="384">
        <v>0</v>
      </c>
      <c r="R23" s="384"/>
      <c r="S23" s="385">
        <v>0</v>
      </c>
      <c r="T23" s="385"/>
      <c r="U23" s="384">
        <v>0</v>
      </c>
      <c r="V23" s="384"/>
      <c r="W23" s="384"/>
      <c r="X23" s="384"/>
      <c r="Y23" s="384"/>
      <c r="Z23" s="384"/>
      <c r="AA23" s="384"/>
      <c r="AB23" s="384"/>
      <c r="AC23" s="384"/>
      <c r="AD23" s="384"/>
      <c r="AE23" s="384">
        <v>0</v>
      </c>
      <c r="AF23" s="384">
        <v>0</v>
      </c>
      <c r="AG23" s="384">
        <v>0</v>
      </c>
      <c r="AH23" s="384">
        <v>0</v>
      </c>
      <c r="AI23" s="384"/>
      <c r="AJ23" s="385"/>
      <c r="AK23" s="516"/>
      <c r="AL23" s="385">
        <v>0</v>
      </c>
      <c r="AM23" s="385">
        <v>0</v>
      </c>
      <c r="AN23" s="385">
        <v>0</v>
      </c>
      <c r="AO23" s="385">
        <v>0</v>
      </c>
      <c r="AP23" s="385">
        <v>0</v>
      </c>
      <c r="AQ23" s="385">
        <v>0</v>
      </c>
      <c r="AR23" s="385"/>
      <c r="AS23" s="516"/>
      <c r="AT23" s="385"/>
      <c r="AU23" s="358"/>
      <c r="AV23" s="516"/>
      <c r="AW23" s="384">
        <v>0</v>
      </c>
      <c r="AX23" s="384">
        <v>0</v>
      </c>
      <c r="AY23" s="384">
        <v>0</v>
      </c>
      <c r="AZ23" s="384"/>
      <c r="BA23" s="384"/>
      <c r="BB23" s="384"/>
      <c r="BC23" s="384"/>
      <c r="BD23" s="384"/>
      <c r="BE23" s="384"/>
      <c r="BF23" s="384"/>
      <c r="BG23" s="384"/>
      <c r="BH23" s="384"/>
      <c r="BI23" s="384"/>
      <c r="BJ23" s="537"/>
      <c r="BK23" s="516"/>
      <c r="BL23" s="384">
        <v>0</v>
      </c>
      <c r="BM23" s="384">
        <v>0</v>
      </c>
      <c r="BN23" s="384">
        <v>0</v>
      </c>
      <c r="BO23" s="384"/>
      <c r="BQ23" s="384"/>
      <c r="BR23" s="516"/>
      <c r="BS23" s="384"/>
      <c r="BT23" s="384"/>
      <c r="BU23" s="384"/>
      <c r="BV23" s="384"/>
      <c r="BW23" s="384"/>
      <c r="BX23" s="384"/>
      <c r="BY23" s="384"/>
      <c r="BZ23" s="384"/>
      <c r="CA23" s="384"/>
      <c r="CB23" s="384"/>
      <c r="CC23" s="384"/>
      <c r="CD23" s="384"/>
      <c r="CE23" s="959"/>
    </row>
    <row r="24" spans="1:83" s="357" customFormat="1" ht="12.75" x14ac:dyDescent="0.25">
      <c r="A24" s="357" t="s">
        <v>419</v>
      </c>
      <c r="B24" s="728">
        <f>HLOOKUP(Start!$B$17,$D$1:$DD$75,+C24, FALSE)</f>
        <v>0</v>
      </c>
      <c r="C24" s="426">
        <f t="shared" si="0"/>
        <v>24</v>
      </c>
      <c r="D24" s="516"/>
      <c r="E24" s="1110"/>
      <c r="F24" s="516"/>
      <c r="G24" s="384">
        <v>0</v>
      </c>
      <c r="H24" s="384">
        <v>0</v>
      </c>
      <c r="I24" s="384"/>
      <c r="J24" s="384"/>
      <c r="K24" s="384"/>
      <c r="L24" s="384">
        <v>0</v>
      </c>
      <c r="M24" s="384">
        <v>0</v>
      </c>
      <c r="N24" s="384">
        <v>0</v>
      </c>
      <c r="O24" s="384">
        <v>0</v>
      </c>
      <c r="P24" s="384">
        <v>0</v>
      </c>
      <c r="Q24" s="384">
        <v>0</v>
      </c>
      <c r="R24" s="384"/>
      <c r="S24" s="385" t="s">
        <v>399</v>
      </c>
      <c r="T24" s="385"/>
      <c r="U24" s="384">
        <v>0</v>
      </c>
      <c r="V24" s="384"/>
      <c r="W24" s="384"/>
      <c r="X24" s="384"/>
      <c r="Y24" s="384"/>
      <c r="Z24" s="384"/>
      <c r="AA24" s="384"/>
      <c r="AB24" s="384"/>
      <c r="AC24" s="384"/>
      <c r="AD24" s="384"/>
      <c r="AE24" s="384">
        <v>0</v>
      </c>
      <c r="AF24" s="384">
        <v>0</v>
      </c>
      <c r="AG24" s="384">
        <v>0</v>
      </c>
      <c r="AH24" s="384">
        <v>0</v>
      </c>
      <c r="AI24" s="384"/>
      <c r="AJ24" s="385"/>
      <c r="AK24" s="516"/>
      <c r="AL24" s="385" t="s">
        <v>399</v>
      </c>
      <c r="AM24" s="385" t="s">
        <v>399</v>
      </c>
      <c r="AN24" s="385" t="s">
        <v>399</v>
      </c>
      <c r="AO24" s="385" t="s">
        <v>399</v>
      </c>
      <c r="AP24" s="385" t="s">
        <v>399</v>
      </c>
      <c r="AQ24" s="385" t="s">
        <v>399</v>
      </c>
      <c r="AR24" s="385"/>
      <c r="AS24" s="516"/>
      <c r="AT24" s="385"/>
      <c r="AU24" s="358"/>
      <c r="AV24" s="516"/>
      <c r="AW24" s="384">
        <v>0</v>
      </c>
      <c r="AX24" s="384">
        <v>0</v>
      </c>
      <c r="AY24" s="384">
        <v>0</v>
      </c>
      <c r="AZ24" s="384"/>
      <c r="BA24" s="384"/>
      <c r="BB24" s="384"/>
      <c r="BC24" s="384"/>
      <c r="BD24" s="384"/>
      <c r="BE24" s="384"/>
      <c r="BF24" s="384"/>
      <c r="BG24" s="384"/>
      <c r="BH24" s="384"/>
      <c r="BI24" s="384"/>
      <c r="BJ24" s="537"/>
      <c r="BK24" s="516"/>
      <c r="BL24" s="384">
        <v>0</v>
      </c>
      <c r="BM24" s="384">
        <v>0</v>
      </c>
      <c r="BN24" s="384">
        <v>0</v>
      </c>
      <c r="BO24" s="384"/>
      <c r="BQ24" s="384"/>
      <c r="BR24" s="516"/>
      <c r="BS24" s="384"/>
      <c r="BT24" s="384"/>
      <c r="BU24" s="384"/>
      <c r="BV24" s="384"/>
      <c r="BW24" s="384"/>
      <c r="BX24" s="384"/>
      <c r="BY24" s="384"/>
      <c r="BZ24" s="384"/>
      <c r="CA24" s="384"/>
      <c r="CB24" s="384"/>
      <c r="CC24" s="384"/>
      <c r="CD24" s="384"/>
      <c r="CE24" s="959"/>
    </row>
    <row r="25" spans="1:83" s="357" customFormat="1" ht="243" thickBot="1" x14ac:dyDescent="0.3">
      <c r="A25" s="357" t="s">
        <v>415</v>
      </c>
      <c r="B25" s="727" t="str">
        <f>HLOOKUP(Start!$B$17,$D$1:$DD$75,+C25, FALSE)</f>
        <v>NH3 reduction of 10 % for every 10 W/m2 in cooling effect</v>
      </c>
      <c r="C25" s="426">
        <f t="shared" si="0"/>
        <v>25</v>
      </c>
      <c r="D25" s="511"/>
      <c r="E25" s="1115"/>
      <c r="F25" s="511"/>
      <c r="G25" s="357" t="s">
        <v>449</v>
      </c>
      <c r="H25" s="357" t="s">
        <v>449</v>
      </c>
      <c r="I25" s="359" t="s">
        <v>583</v>
      </c>
      <c r="J25" s="359" t="s">
        <v>579</v>
      </c>
      <c r="K25" s="359" t="s">
        <v>588</v>
      </c>
      <c r="L25" s="359" t="s">
        <v>541</v>
      </c>
      <c r="M25" s="359" t="s">
        <v>541</v>
      </c>
      <c r="N25" s="359" t="s">
        <v>541</v>
      </c>
      <c r="O25" s="359" t="s">
        <v>541</v>
      </c>
      <c r="P25" s="359" t="s">
        <v>541</v>
      </c>
      <c r="Q25" s="359" t="s">
        <v>541</v>
      </c>
      <c r="R25" s="359" t="s">
        <v>575</v>
      </c>
      <c r="S25" s="525" t="s">
        <v>1171</v>
      </c>
      <c r="T25" s="525"/>
      <c r="U25" s="392" t="s">
        <v>528</v>
      </c>
      <c r="V25" s="525" t="s">
        <v>558</v>
      </c>
      <c r="W25" s="525" t="s">
        <v>584</v>
      </c>
      <c r="X25" s="525"/>
      <c r="Y25" s="525" t="s">
        <v>598</v>
      </c>
      <c r="Z25" s="525"/>
      <c r="AA25" s="525"/>
      <c r="AB25" s="525"/>
      <c r="AC25" s="525"/>
      <c r="AD25" s="525"/>
      <c r="AE25" s="525" t="s">
        <v>537</v>
      </c>
      <c r="AF25" s="525" t="s">
        <v>555</v>
      </c>
      <c r="AG25" s="525" t="s">
        <v>537</v>
      </c>
      <c r="AH25" s="525" t="s">
        <v>540</v>
      </c>
      <c r="AI25" s="525" t="s">
        <v>621</v>
      </c>
      <c r="AJ25" s="392"/>
      <c r="AK25" s="511"/>
      <c r="AL25" s="525"/>
      <c r="AM25" s="392"/>
      <c r="AN25" s="392"/>
      <c r="AO25" s="392"/>
      <c r="AP25" s="392"/>
      <c r="AQ25" s="392"/>
      <c r="AR25" s="392"/>
      <c r="AS25" s="511"/>
      <c r="AT25" s="392"/>
      <c r="AU25" s="359"/>
      <c r="AV25" s="511"/>
      <c r="AW25" s="359" t="s">
        <v>522</v>
      </c>
      <c r="AX25" s="359"/>
      <c r="AY25" s="359" t="s">
        <v>525</v>
      </c>
      <c r="AZ25" s="359" t="s">
        <v>649</v>
      </c>
      <c r="BA25" s="359" t="s">
        <v>648</v>
      </c>
      <c r="BB25" s="359" t="s">
        <v>659</v>
      </c>
      <c r="BC25" s="359"/>
      <c r="BD25" s="359"/>
      <c r="BE25" s="359"/>
      <c r="BF25" s="359"/>
      <c r="BG25" s="359" t="s">
        <v>647</v>
      </c>
      <c r="BH25" s="525"/>
      <c r="BI25" s="525" t="s">
        <v>634</v>
      </c>
      <c r="BJ25" s="525"/>
      <c r="BK25" s="511"/>
      <c r="BL25" s="359" t="s">
        <v>571</v>
      </c>
      <c r="BM25" s="359" t="s">
        <v>571</v>
      </c>
      <c r="BN25" s="359"/>
      <c r="BO25" s="359" t="s">
        <v>637</v>
      </c>
      <c r="BQ25" s="359"/>
      <c r="BR25" s="511"/>
      <c r="BS25" s="525"/>
      <c r="BT25" s="525"/>
      <c r="BU25" s="525"/>
      <c r="BV25" s="359" t="s">
        <v>652</v>
      </c>
      <c r="BW25" s="359"/>
      <c r="BX25" s="359"/>
      <c r="BY25" s="359"/>
      <c r="BZ25" s="359"/>
      <c r="CA25" s="525"/>
      <c r="CB25" s="525" t="s">
        <v>634</v>
      </c>
      <c r="CC25" s="525"/>
      <c r="CD25" s="525"/>
      <c r="CE25" s="959"/>
    </row>
    <row r="26" spans="1:83" s="382" customFormat="1" ht="25.5" x14ac:dyDescent="0.25">
      <c r="A26" s="398" t="s">
        <v>427</v>
      </c>
      <c r="B26" s="728"/>
      <c r="C26" s="426">
        <f t="shared" si="0"/>
        <v>26</v>
      </c>
      <c r="D26" s="512"/>
      <c r="E26" s="826"/>
      <c r="F26" s="512"/>
      <c r="S26" s="383"/>
      <c r="T26" s="383"/>
      <c r="AJ26" s="383"/>
      <c r="AK26" s="512"/>
      <c r="AL26" s="383"/>
      <c r="AM26" s="383"/>
      <c r="AN26" s="383"/>
      <c r="AO26" s="383"/>
      <c r="AP26" s="383"/>
      <c r="AQ26" s="383"/>
      <c r="AR26" s="383"/>
      <c r="AS26" s="512"/>
      <c r="AT26" s="383"/>
      <c r="AV26" s="512"/>
      <c r="BJ26" s="381"/>
      <c r="BK26" s="512"/>
      <c r="BR26" s="512"/>
      <c r="CE26" s="959"/>
    </row>
    <row r="27" spans="1:83" s="357" customFormat="1" ht="12.75" x14ac:dyDescent="0.25">
      <c r="A27" s="359" t="s">
        <v>569</v>
      </c>
      <c r="B27" s="729">
        <f>HLOOKUP(Start!$B$17,$D$1:$DD$75,+C27, FALSE)</f>
        <v>0</v>
      </c>
      <c r="C27" s="426">
        <f t="shared" si="0"/>
        <v>27</v>
      </c>
      <c r="D27" s="516"/>
      <c r="E27" s="1110"/>
      <c r="F27" s="516"/>
      <c r="G27" s="384"/>
      <c r="H27" s="384"/>
      <c r="I27" s="384"/>
      <c r="J27" s="384"/>
      <c r="K27" s="384"/>
      <c r="L27" s="531"/>
      <c r="M27" s="531"/>
      <c r="N27" s="531"/>
      <c r="O27" s="531"/>
      <c r="P27" s="531"/>
      <c r="Q27" s="531"/>
      <c r="R27" s="384"/>
      <c r="S27" s="429"/>
      <c r="T27" s="429"/>
      <c r="U27" s="537"/>
      <c r="V27" s="537"/>
      <c r="W27" s="537"/>
      <c r="X27" s="537"/>
      <c r="Y27" s="537"/>
      <c r="Z27" s="537"/>
      <c r="AA27" s="537"/>
      <c r="AB27" s="537"/>
      <c r="AC27" s="537"/>
      <c r="AD27" s="537"/>
      <c r="AE27" s="537"/>
      <c r="AF27" s="537"/>
      <c r="AG27" s="537"/>
      <c r="AH27" s="537"/>
      <c r="AI27" s="537"/>
      <c r="AJ27" s="385"/>
      <c r="AK27" s="516"/>
      <c r="AL27" s="429"/>
      <c r="AM27" s="385"/>
      <c r="AN27" s="385"/>
      <c r="AO27" s="385"/>
      <c r="AP27" s="385"/>
      <c r="AQ27" s="385"/>
      <c r="AR27" s="385"/>
      <c r="AS27" s="516"/>
      <c r="AT27" s="385"/>
      <c r="AU27" s="384"/>
      <c r="AV27" s="516"/>
      <c r="AW27" s="384"/>
      <c r="AX27" s="384"/>
      <c r="AY27" s="384"/>
      <c r="AZ27" s="384"/>
      <c r="BA27" s="384"/>
      <c r="BB27" s="384"/>
      <c r="BC27" s="384"/>
      <c r="BD27" s="384"/>
      <c r="BE27" s="384"/>
      <c r="BF27" s="384"/>
      <c r="BG27" s="384"/>
      <c r="BH27" s="537"/>
      <c r="BI27" s="537"/>
      <c r="BJ27" s="537"/>
      <c r="BK27" s="516"/>
      <c r="BL27" s="384"/>
      <c r="BM27" s="384"/>
      <c r="BN27" s="384"/>
      <c r="BO27" s="384"/>
      <c r="BQ27" s="384"/>
      <c r="BR27" s="516"/>
      <c r="BS27" s="537"/>
      <c r="BT27" s="537"/>
      <c r="BU27" s="537"/>
      <c r="BV27" s="384"/>
      <c r="BW27" s="384"/>
      <c r="BX27" s="384"/>
      <c r="BY27" s="384"/>
      <c r="BZ27" s="384"/>
      <c r="CA27" s="537"/>
      <c r="CB27" s="537"/>
      <c r="CC27" s="537"/>
      <c r="CD27" s="537"/>
      <c r="CE27" s="959"/>
    </row>
    <row r="28" spans="1:83" s="357" customFormat="1" ht="12.75" x14ac:dyDescent="0.25">
      <c r="A28" s="530" t="s">
        <v>1085</v>
      </c>
      <c r="B28" s="729">
        <f>HLOOKUP(Start!$B$17,$D$1:$DD$75,+C28, FALSE)</f>
        <v>34.239130434782602</v>
      </c>
      <c r="C28" s="426">
        <f t="shared" si="0"/>
        <v>28</v>
      </c>
      <c r="D28" s="516"/>
      <c r="E28" s="1110"/>
      <c r="F28" s="516"/>
      <c r="G28" s="384">
        <v>0</v>
      </c>
      <c r="H28" s="384">
        <v>0</v>
      </c>
      <c r="I28" s="439"/>
      <c r="J28" s="439">
        <v>7.6086956521739131</v>
      </c>
      <c r="K28" s="439">
        <v>7.6086956521739131</v>
      </c>
      <c r="L28" s="439">
        <v>11.413043478260869</v>
      </c>
      <c r="M28" s="439">
        <v>22.826086956521738</v>
      </c>
      <c r="N28" s="439">
        <v>34.239130434782602</v>
      </c>
      <c r="O28" s="439">
        <v>5.9782608695652177</v>
      </c>
      <c r="P28" s="439">
        <v>11.413043478260869</v>
      </c>
      <c r="Q28" s="439">
        <v>17.391304347826086</v>
      </c>
      <c r="R28" s="384"/>
      <c r="S28" s="429">
        <v>3</v>
      </c>
      <c r="T28" s="429">
        <v>7.75</v>
      </c>
      <c r="U28" s="439">
        <v>11.630434782608695</v>
      </c>
      <c r="V28" s="439">
        <v>23.913043478260871</v>
      </c>
      <c r="W28" s="439">
        <v>19.021739130434785</v>
      </c>
      <c r="X28" s="439"/>
      <c r="Y28" s="439"/>
      <c r="Z28" s="439"/>
      <c r="AA28" s="439">
        <v>18.913043478260871</v>
      </c>
      <c r="AB28" s="439">
        <v>18.913043478260871</v>
      </c>
      <c r="AC28" s="439">
        <v>18.913043478260871</v>
      </c>
      <c r="AD28" s="439">
        <v>18.913043478260871</v>
      </c>
      <c r="AE28" s="439">
        <v>18.913043478260871</v>
      </c>
      <c r="AF28" s="439">
        <v>29.89130434782609</v>
      </c>
      <c r="AG28" s="439">
        <v>18.478260869565219</v>
      </c>
      <c r="AH28" s="439">
        <v>19.201086956521738</v>
      </c>
      <c r="AI28" s="439">
        <v>19.201086956521738</v>
      </c>
      <c r="AJ28" s="385"/>
      <c r="AK28" s="516"/>
      <c r="AL28" s="429">
        <v>1</v>
      </c>
      <c r="AM28" s="1130">
        <f>2.6*365/22.1</f>
        <v>42.941176470588232</v>
      </c>
      <c r="AN28" s="1130">
        <f>2.6*365/22.1</f>
        <v>42.941176470588232</v>
      </c>
      <c r="AO28" s="1130">
        <f>2.6*365/22.1</f>
        <v>42.941176470588232</v>
      </c>
      <c r="AP28" s="1129">
        <f>30/22.1</f>
        <v>1.3574660633484161</v>
      </c>
      <c r="AQ28" s="1129">
        <f>6/22.1</f>
        <v>0.27149321266968324</v>
      </c>
      <c r="AR28" s="385"/>
      <c r="AS28" s="516"/>
      <c r="AT28" s="385"/>
      <c r="AU28" s="384"/>
      <c r="AV28" s="516"/>
      <c r="AW28" s="384">
        <v>0</v>
      </c>
      <c r="AX28" s="1126">
        <f>0.78/36</f>
        <v>2.1666666666666667E-2</v>
      </c>
      <c r="AY28" s="384">
        <v>0</v>
      </c>
      <c r="AZ28" s="384"/>
      <c r="BA28" s="384"/>
      <c r="BB28" s="384"/>
      <c r="BC28" s="384"/>
      <c r="BD28" s="384"/>
      <c r="BE28" s="384"/>
      <c r="BF28" s="384"/>
      <c r="BG28" s="384"/>
      <c r="BH28" s="439"/>
      <c r="BI28" s="439"/>
      <c r="BJ28" s="439"/>
      <c r="BK28" s="516"/>
      <c r="BL28" s="384">
        <v>0</v>
      </c>
      <c r="BM28" s="384">
        <v>0</v>
      </c>
      <c r="BN28" s="384">
        <v>0</v>
      </c>
      <c r="BO28" s="384"/>
      <c r="BQ28" s="384"/>
      <c r="BR28" s="516"/>
      <c r="BS28" s="439"/>
      <c r="BT28" s="439"/>
      <c r="BU28" s="439"/>
      <c r="BV28" s="384"/>
      <c r="BW28" s="384"/>
      <c r="BX28" s="384"/>
      <c r="BY28" s="384"/>
      <c r="BZ28" s="384"/>
      <c r="CA28" s="439"/>
      <c r="CB28" s="439"/>
      <c r="CC28" s="439"/>
      <c r="CD28" s="439"/>
      <c r="CE28" s="959"/>
    </row>
    <row r="29" spans="1:83" s="357" customFormat="1" ht="12.75" x14ac:dyDescent="0.25">
      <c r="A29" s="359" t="s">
        <v>570</v>
      </c>
      <c r="B29" s="729">
        <f>HLOOKUP(Start!$B$17,$D$1:$DD$75,+C29, FALSE)</f>
        <v>0</v>
      </c>
      <c r="C29" s="426">
        <f t="shared" si="0"/>
        <v>29</v>
      </c>
      <c r="D29" s="516"/>
      <c r="E29" s="1110"/>
      <c r="F29" s="516"/>
      <c r="G29" s="384"/>
      <c r="H29" s="384"/>
      <c r="I29" s="535"/>
      <c r="J29" s="535"/>
      <c r="K29" s="535"/>
      <c r="L29" s="384"/>
      <c r="M29" s="384"/>
      <c r="N29" s="384"/>
      <c r="O29" s="384"/>
      <c r="P29" s="384"/>
      <c r="Q29" s="384"/>
      <c r="R29" s="384"/>
      <c r="S29" s="393"/>
      <c r="T29" s="393"/>
      <c r="U29" s="384"/>
      <c r="V29" s="384"/>
      <c r="W29" s="384"/>
      <c r="X29" s="384"/>
      <c r="Y29" s="384"/>
      <c r="Z29" s="384"/>
      <c r="AA29" s="384"/>
      <c r="AB29" s="384"/>
      <c r="AC29" s="384"/>
      <c r="AD29" s="384"/>
      <c r="AE29" s="384"/>
      <c r="AF29" s="384"/>
      <c r="AG29" s="384"/>
      <c r="AH29" s="384"/>
      <c r="AI29" s="384"/>
      <c r="AJ29" s="393"/>
      <c r="AK29" s="516"/>
      <c r="AL29" s="393"/>
      <c r="AM29" s="1131">
        <f>-AM28*3.6*0</f>
        <v>0</v>
      </c>
      <c r="AN29" s="1131">
        <f>-AN28*3.6*0.5</f>
        <v>-77.294117647058826</v>
      </c>
      <c r="AO29" s="1131">
        <f>-AO28*3.6*1</f>
        <v>-154.58823529411765</v>
      </c>
      <c r="AP29" s="393"/>
      <c r="AQ29" s="393"/>
      <c r="AR29" s="393"/>
      <c r="AS29" s="516"/>
      <c r="AT29" s="393"/>
      <c r="AV29" s="516"/>
      <c r="AW29" s="384"/>
      <c r="AX29" s="384"/>
      <c r="AY29" s="384"/>
      <c r="AZ29" s="384"/>
      <c r="BA29" s="384"/>
      <c r="BB29" s="384"/>
      <c r="BC29" s="384"/>
      <c r="BD29" s="384"/>
      <c r="BE29" s="384"/>
      <c r="BF29" s="384"/>
      <c r="BG29" s="384"/>
      <c r="BH29" s="384"/>
      <c r="BI29" s="384"/>
      <c r="BJ29" s="537"/>
      <c r="BK29" s="516"/>
      <c r="BL29" s="384"/>
      <c r="BM29" s="384"/>
      <c r="BN29" s="384"/>
      <c r="BO29" s="384"/>
      <c r="BQ29" s="384"/>
      <c r="BR29" s="516"/>
      <c r="BS29" s="384"/>
      <c r="BT29" s="384"/>
      <c r="BU29" s="384"/>
      <c r="BV29" s="384"/>
      <c r="BW29" s="384"/>
      <c r="BX29" s="384"/>
      <c r="BY29" s="384"/>
      <c r="BZ29" s="384"/>
      <c r="CA29" s="384"/>
      <c r="CB29" s="384"/>
      <c r="CC29" s="384"/>
      <c r="CD29" s="384"/>
      <c r="CE29" s="959"/>
    </row>
    <row r="30" spans="1:83" s="357" customFormat="1" ht="12.75" x14ac:dyDescent="0.25">
      <c r="A30" s="359" t="s">
        <v>413</v>
      </c>
      <c r="B30" s="729">
        <f>HLOOKUP(Start!$B$17,$D$1:$DD$75,+C30, FALSE)</f>
        <v>0</v>
      </c>
      <c r="C30" s="426">
        <f t="shared" si="0"/>
        <v>30</v>
      </c>
      <c r="D30" s="516"/>
      <c r="E30" s="1110"/>
      <c r="F30" s="516"/>
      <c r="G30" s="384">
        <v>0</v>
      </c>
      <c r="H30" s="384">
        <v>0</v>
      </c>
      <c r="I30" s="384"/>
      <c r="J30" s="384"/>
      <c r="K30" s="384"/>
      <c r="L30" s="384">
        <v>0</v>
      </c>
      <c r="M30" s="384">
        <v>0</v>
      </c>
      <c r="N30" s="384">
        <v>0</v>
      </c>
      <c r="O30" s="384">
        <v>0</v>
      </c>
      <c r="P30" s="384">
        <v>0</v>
      </c>
      <c r="Q30" s="384">
        <v>0</v>
      </c>
      <c r="R30" s="384"/>
      <c r="S30" s="385">
        <v>5</v>
      </c>
      <c r="T30" s="385"/>
      <c r="U30" s="384">
        <v>0</v>
      </c>
      <c r="V30" s="384"/>
      <c r="W30" s="384"/>
      <c r="X30" s="384"/>
      <c r="Y30" s="384"/>
      <c r="Z30" s="384"/>
      <c r="AA30" s="384">
        <v>4.4000000000000004</v>
      </c>
      <c r="AB30" s="384">
        <v>4.4000000000000004</v>
      </c>
      <c r="AC30" s="384">
        <v>4.4000000000000004</v>
      </c>
      <c r="AD30" s="384">
        <v>4.4000000000000004</v>
      </c>
      <c r="AE30" s="384">
        <v>4.4000000000000004</v>
      </c>
      <c r="AF30" s="384">
        <v>4.4000000000000004</v>
      </c>
      <c r="AG30" s="384">
        <v>1.5</v>
      </c>
      <c r="AH30" s="384">
        <v>1.5</v>
      </c>
      <c r="AI30" s="384">
        <v>1.5</v>
      </c>
      <c r="AJ30" s="385"/>
      <c r="AK30" s="516"/>
      <c r="AL30" s="385">
        <v>6</v>
      </c>
      <c r="AM30" s="385"/>
      <c r="AN30" s="385"/>
      <c r="AO30" s="385"/>
      <c r="AP30" s="385"/>
      <c r="AQ30" s="385"/>
      <c r="AR30" s="385"/>
      <c r="AS30" s="516"/>
      <c r="AT30" s="385"/>
      <c r="AU30" s="358"/>
      <c r="AV30" s="516"/>
      <c r="AW30" s="384">
        <v>0</v>
      </c>
      <c r="AX30" s="384">
        <v>0</v>
      </c>
      <c r="AY30" s="384">
        <v>0</v>
      </c>
      <c r="AZ30" s="384"/>
      <c r="BA30" s="384"/>
      <c r="BB30" s="384"/>
      <c r="BC30" s="384"/>
      <c r="BD30" s="384"/>
      <c r="BE30" s="384"/>
      <c r="BF30" s="384"/>
      <c r="BG30" s="384"/>
      <c r="BH30" s="384"/>
      <c r="BI30" s="384"/>
      <c r="BJ30" s="537"/>
      <c r="BK30" s="516"/>
      <c r="BL30" s="384">
        <v>0</v>
      </c>
      <c r="BM30" s="384">
        <v>0</v>
      </c>
      <c r="BN30" s="384">
        <v>0</v>
      </c>
      <c r="BO30" s="384"/>
      <c r="BQ30" s="384"/>
      <c r="BR30" s="516"/>
      <c r="BS30" s="384"/>
      <c r="BT30" s="384"/>
      <c r="BU30" s="384"/>
      <c r="BV30" s="384"/>
      <c r="BW30" s="384"/>
      <c r="BX30" s="384"/>
      <c r="BY30" s="384"/>
      <c r="BZ30" s="384"/>
      <c r="CA30" s="384"/>
      <c r="CB30" s="384"/>
      <c r="CC30" s="384"/>
      <c r="CD30" s="384"/>
      <c r="CE30" s="959"/>
    </row>
    <row r="31" spans="1:83" s="357" customFormat="1" ht="12.75" x14ac:dyDescent="0.25">
      <c r="A31" s="359" t="s">
        <v>420</v>
      </c>
      <c r="B31" s="729">
        <f>HLOOKUP(Start!$B$17,$D$1:$DD$75,+C31, FALSE)</f>
        <v>0</v>
      </c>
      <c r="C31" s="426">
        <f t="shared" si="0"/>
        <v>31</v>
      </c>
      <c r="D31" s="516"/>
      <c r="E31" s="1110"/>
      <c r="F31" s="516"/>
      <c r="G31" s="384">
        <v>0</v>
      </c>
      <c r="H31" s="384">
        <v>0</v>
      </c>
      <c r="I31" s="384"/>
      <c r="J31" s="384"/>
      <c r="K31" s="384"/>
      <c r="L31" s="384">
        <v>0</v>
      </c>
      <c r="M31" s="384">
        <v>0</v>
      </c>
      <c r="N31" s="384">
        <v>0</v>
      </c>
      <c r="O31" s="384">
        <v>0</v>
      </c>
      <c r="P31" s="384">
        <v>0</v>
      </c>
      <c r="Q31" s="384">
        <v>0</v>
      </c>
      <c r="R31" s="384"/>
      <c r="S31" s="393">
        <f>+S30*1.4</f>
        <v>7</v>
      </c>
      <c r="T31" s="393"/>
      <c r="U31" s="384">
        <v>0</v>
      </c>
      <c r="V31" s="384"/>
      <c r="W31" s="384"/>
      <c r="X31" s="384"/>
      <c r="Y31" s="384"/>
      <c r="Z31" s="384"/>
      <c r="AA31" s="384">
        <f t="shared" ref="AA31:AI31" si="1">1.4*AA30</f>
        <v>6.16</v>
      </c>
      <c r="AB31" s="384">
        <f t="shared" si="1"/>
        <v>6.16</v>
      </c>
      <c r="AC31" s="384">
        <f t="shared" si="1"/>
        <v>6.16</v>
      </c>
      <c r="AD31" s="384">
        <f t="shared" si="1"/>
        <v>6.16</v>
      </c>
      <c r="AE31" s="384">
        <f t="shared" si="1"/>
        <v>6.16</v>
      </c>
      <c r="AF31" s="384">
        <f t="shared" si="1"/>
        <v>6.16</v>
      </c>
      <c r="AG31" s="384">
        <f t="shared" si="1"/>
        <v>2.0999999999999996</v>
      </c>
      <c r="AH31" s="384">
        <f t="shared" si="1"/>
        <v>2.0999999999999996</v>
      </c>
      <c r="AI31" s="384">
        <f t="shared" si="1"/>
        <v>2.0999999999999996</v>
      </c>
      <c r="AJ31" s="393"/>
      <c r="AK31" s="516"/>
      <c r="AL31" s="393">
        <f>+AL30*1.4</f>
        <v>8.3999999999999986</v>
      </c>
      <c r="AM31" s="393"/>
      <c r="AN31" s="393"/>
      <c r="AO31" s="393"/>
      <c r="AP31" s="393"/>
      <c r="AQ31" s="393"/>
      <c r="AR31" s="393"/>
      <c r="AS31" s="516"/>
      <c r="AT31" s="393"/>
      <c r="AU31" s="358"/>
      <c r="AV31" s="516"/>
      <c r="AW31" s="384">
        <v>0</v>
      </c>
      <c r="AX31" s="384">
        <v>0</v>
      </c>
      <c r="AY31" s="384">
        <v>0</v>
      </c>
      <c r="AZ31" s="384"/>
      <c r="BA31" s="384"/>
      <c r="BB31" s="384"/>
      <c r="BC31" s="384"/>
      <c r="BD31" s="384"/>
      <c r="BE31" s="384"/>
      <c r="BF31" s="384"/>
      <c r="BG31" s="384"/>
      <c r="BH31" s="384"/>
      <c r="BI31" s="384"/>
      <c r="BJ31" s="537"/>
      <c r="BK31" s="516"/>
      <c r="BL31" s="384">
        <v>0</v>
      </c>
      <c r="BM31" s="384">
        <v>0</v>
      </c>
      <c r="BN31" s="384">
        <v>0</v>
      </c>
      <c r="BO31" s="384"/>
      <c r="BQ31" s="384"/>
      <c r="BR31" s="516"/>
      <c r="BS31" s="384"/>
      <c r="BT31" s="384"/>
      <c r="BU31" s="384"/>
      <c r="BV31" s="384"/>
      <c r="BW31" s="384"/>
      <c r="BX31" s="384"/>
      <c r="BY31" s="384"/>
      <c r="BZ31" s="384"/>
      <c r="CA31" s="384"/>
      <c r="CB31" s="384"/>
      <c r="CC31" s="384"/>
      <c r="CD31" s="384"/>
      <c r="CE31" s="959"/>
    </row>
    <row r="32" spans="1:83" s="357" customFormat="1" ht="12.75" x14ac:dyDescent="0.25">
      <c r="A32" s="359" t="s">
        <v>421</v>
      </c>
      <c r="B32" s="729">
        <f>HLOOKUP(Start!$B$17,$D$1:$DD$75,+C32, FALSE)</f>
        <v>0</v>
      </c>
      <c r="C32" s="426">
        <f t="shared" si="0"/>
        <v>32</v>
      </c>
      <c r="D32" s="516"/>
      <c r="E32" s="1110"/>
      <c r="F32" s="516"/>
      <c r="G32" s="384">
        <v>0</v>
      </c>
      <c r="H32" s="384">
        <v>0</v>
      </c>
      <c r="I32" s="384"/>
      <c r="J32" s="384"/>
      <c r="K32" s="384"/>
      <c r="L32" s="384">
        <v>0</v>
      </c>
      <c r="M32" s="384">
        <v>0</v>
      </c>
      <c r="N32" s="384">
        <v>0</v>
      </c>
      <c r="O32" s="384">
        <v>0</v>
      </c>
      <c r="P32" s="384">
        <v>0</v>
      </c>
      <c r="Q32" s="384">
        <v>0</v>
      </c>
      <c r="R32" s="384"/>
      <c r="S32" s="393">
        <v>24</v>
      </c>
      <c r="T32" s="393"/>
      <c r="U32" s="384">
        <v>0</v>
      </c>
      <c r="V32" s="384"/>
      <c r="W32" s="384"/>
      <c r="X32" s="384"/>
      <c r="Y32" s="384"/>
      <c r="Z32" s="384"/>
      <c r="AA32" s="384">
        <v>24</v>
      </c>
      <c r="AB32" s="384">
        <v>24</v>
      </c>
      <c r="AC32" s="384">
        <v>24</v>
      </c>
      <c r="AD32" s="384">
        <v>24</v>
      </c>
      <c r="AE32" s="384">
        <v>24</v>
      </c>
      <c r="AF32" s="384">
        <v>24</v>
      </c>
      <c r="AG32" s="384">
        <v>15</v>
      </c>
      <c r="AH32" s="384">
        <v>15</v>
      </c>
      <c r="AI32" s="384">
        <v>15</v>
      </c>
      <c r="AJ32" s="393"/>
      <c r="AK32" s="516"/>
      <c r="AL32" s="393">
        <v>24</v>
      </c>
      <c r="AM32" s="393"/>
      <c r="AN32" s="393"/>
      <c r="AO32" s="393"/>
      <c r="AP32" s="393"/>
      <c r="AQ32" s="393"/>
      <c r="AR32" s="393"/>
      <c r="AS32" s="516"/>
      <c r="AT32" s="393"/>
      <c r="AU32" s="360"/>
      <c r="AV32" s="516"/>
      <c r="AW32" s="384">
        <v>0</v>
      </c>
      <c r="AX32" s="384">
        <v>0</v>
      </c>
      <c r="AY32" s="384">
        <v>0</v>
      </c>
      <c r="AZ32" s="384"/>
      <c r="BA32" s="384"/>
      <c r="BB32" s="384"/>
      <c r="BC32" s="384"/>
      <c r="BD32" s="384"/>
      <c r="BE32" s="384"/>
      <c r="BF32" s="384"/>
      <c r="BG32" s="384"/>
      <c r="BH32" s="384"/>
      <c r="BI32" s="384"/>
      <c r="BJ32" s="537"/>
      <c r="BK32" s="516"/>
      <c r="BL32" s="384">
        <v>0</v>
      </c>
      <c r="BM32" s="384">
        <v>0</v>
      </c>
      <c r="BN32" s="384">
        <v>0</v>
      </c>
      <c r="BO32" s="384"/>
      <c r="BQ32" s="384"/>
      <c r="BR32" s="516"/>
      <c r="BS32" s="384"/>
      <c r="BT32" s="384"/>
      <c r="BU32" s="384"/>
      <c r="BV32" s="384"/>
      <c r="BW32" s="384"/>
      <c r="BX32" s="384"/>
      <c r="BY32" s="384"/>
      <c r="BZ32" s="384"/>
      <c r="CA32" s="384"/>
      <c r="CB32" s="384"/>
      <c r="CC32" s="384"/>
      <c r="CD32" s="384"/>
      <c r="CE32" s="959"/>
    </row>
    <row r="33" spans="1:83" s="357" customFormat="1" ht="12.75" x14ac:dyDescent="0.25">
      <c r="A33" s="359" t="s">
        <v>422</v>
      </c>
      <c r="B33" s="729">
        <f>HLOOKUP(Start!$B$17,$D$1:$DD$75,+C33, FALSE)</f>
        <v>0</v>
      </c>
      <c r="C33" s="426">
        <f t="shared" si="0"/>
        <v>33</v>
      </c>
      <c r="D33" s="516"/>
      <c r="E33" s="1110"/>
      <c r="F33" s="516"/>
      <c r="G33" s="384">
        <v>0</v>
      </c>
      <c r="H33" s="384">
        <v>0</v>
      </c>
      <c r="I33" s="384"/>
      <c r="J33" s="384"/>
      <c r="K33" s="384"/>
      <c r="L33" s="384">
        <v>0</v>
      </c>
      <c r="M33" s="384">
        <v>0</v>
      </c>
      <c r="N33" s="384">
        <v>0</v>
      </c>
      <c r="O33" s="384">
        <v>0</v>
      </c>
      <c r="P33" s="384">
        <v>0</v>
      </c>
      <c r="Q33" s="384">
        <v>0</v>
      </c>
      <c r="R33" s="384"/>
      <c r="S33" s="526">
        <f>+S30*32/98</f>
        <v>1.6326530612244898</v>
      </c>
      <c r="T33" s="526"/>
      <c r="U33" s="384">
        <v>0</v>
      </c>
      <c r="V33" s="526"/>
      <c r="W33" s="526"/>
      <c r="X33" s="526"/>
      <c r="Y33" s="526"/>
      <c r="Z33" s="526"/>
      <c r="AA33" s="526">
        <f t="shared" ref="AA33:AI33" si="2">+AA30*32/98*0.4</f>
        <v>0.57469387755102053</v>
      </c>
      <c r="AB33" s="526">
        <f t="shared" si="2"/>
        <v>0.57469387755102053</v>
      </c>
      <c r="AC33" s="526">
        <f t="shared" si="2"/>
        <v>0.57469387755102053</v>
      </c>
      <c r="AD33" s="526">
        <f t="shared" si="2"/>
        <v>0.57469387755102053</v>
      </c>
      <c r="AE33" s="526">
        <f t="shared" si="2"/>
        <v>0.57469387755102053</v>
      </c>
      <c r="AF33" s="526">
        <f t="shared" si="2"/>
        <v>0.57469387755102053</v>
      </c>
      <c r="AG33" s="526">
        <f t="shared" si="2"/>
        <v>0.19591836734693879</v>
      </c>
      <c r="AH33" s="526">
        <f t="shared" si="2"/>
        <v>0.19591836734693879</v>
      </c>
      <c r="AI33" s="526">
        <f t="shared" si="2"/>
        <v>0.19591836734693879</v>
      </c>
      <c r="AJ33" s="393"/>
      <c r="AK33" s="516"/>
      <c r="AL33" s="526">
        <f>+AL30*32/98</f>
        <v>1.9591836734693877</v>
      </c>
      <c r="AM33" s="393"/>
      <c r="AN33" s="393"/>
      <c r="AO33" s="393"/>
      <c r="AP33" s="393"/>
      <c r="AQ33" s="393"/>
      <c r="AR33" s="393"/>
      <c r="AS33" s="516"/>
      <c r="AT33" s="393"/>
      <c r="AU33" s="526"/>
      <c r="AV33" s="516"/>
      <c r="AW33" s="384">
        <v>0</v>
      </c>
      <c r="AX33" s="384">
        <v>0</v>
      </c>
      <c r="AY33" s="384">
        <v>0</v>
      </c>
      <c r="AZ33" s="384"/>
      <c r="BA33" s="384"/>
      <c r="BB33" s="384"/>
      <c r="BC33" s="384"/>
      <c r="BD33" s="384"/>
      <c r="BE33" s="384"/>
      <c r="BF33" s="384"/>
      <c r="BG33" s="384"/>
      <c r="BH33" s="526"/>
      <c r="BI33" s="526"/>
      <c r="BJ33" s="526"/>
      <c r="BK33" s="516"/>
      <c r="BL33" s="384">
        <v>0</v>
      </c>
      <c r="BM33" s="384">
        <v>0</v>
      </c>
      <c r="BN33" s="384">
        <v>0</v>
      </c>
      <c r="BO33" s="384"/>
      <c r="BQ33" s="384"/>
      <c r="BR33" s="516"/>
      <c r="BS33" s="526"/>
      <c r="BT33" s="526"/>
      <c r="BU33" s="526"/>
      <c r="BV33" s="384"/>
      <c r="BW33" s="384"/>
      <c r="BX33" s="384"/>
      <c r="BY33" s="384"/>
      <c r="BZ33" s="384"/>
      <c r="CA33" s="526"/>
      <c r="CB33" s="526"/>
      <c r="CC33" s="526"/>
      <c r="CD33" s="526"/>
      <c r="CE33" s="959"/>
    </row>
    <row r="34" spans="1:83" s="357" customFormat="1" ht="25.5" x14ac:dyDescent="0.25">
      <c r="A34" s="379" t="s">
        <v>431</v>
      </c>
      <c r="B34" s="729">
        <f>HLOOKUP(Start!$B$17,$D$1:$DD$75,+C34, FALSE)</f>
        <v>0</v>
      </c>
      <c r="C34" s="426">
        <f t="shared" si="0"/>
        <v>34</v>
      </c>
      <c r="D34" s="516"/>
      <c r="E34" s="1110"/>
      <c r="F34" s="516"/>
      <c r="G34" s="384">
        <v>0</v>
      </c>
      <c r="H34" s="384">
        <v>0</v>
      </c>
      <c r="I34" s="384"/>
      <c r="J34" s="384"/>
      <c r="K34" s="384"/>
      <c r="L34" s="384">
        <v>0</v>
      </c>
      <c r="M34" s="384">
        <v>0</v>
      </c>
      <c r="N34" s="384">
        <v>0</v>
      </c>
      <c r="O34" s="384">
        <v>0</v>
      </c>
      <c r="P34" s="384">
        <v>0</v>
      </c>
      <c r="Q34" s="384">
        <v>0</v>
      </c>
      <c r="R34" s="384"/>
      <c r="S34" s="393"/>
      <c r="T34" s="393"/>
      <c r="U34" s="384">
        <v>0</v>
      </c>
      <c r="V34" s="384"/>
      <c r="W34" s="384"/>
      <c r="X34" s="384"/>
      <c r="Y34" s="384"/>
      <c r="Z34" s="384"/>
      <c r="AA34" s="384">
        <v>0</v>
      </c>
      <c r="AB34" s="384">
        <v>0</v>
      </c>
      <c r="AC34" s="384">
        <v>0</v>
      </c>
      <c r="AD34" s="384">
        <v>0</v>
      </c>
      <c r="AE34" s="384">
        <v>0</v>
      </c>
      <c r="AF34" s="384"/>
      <c r="AG34" s="384">
        <v>0</v>
      </c>
      <c r="AH34" s="384">
        <v>0</v>
      </c>
      <c r="AI34" s="384">
        <v>0</v>
      </c>
      <c r="AJ34" s="393"/>
      <c r="AK34" s="516"/>
      <c r="AL34" s="393"/>
      <c r="AM34" s="393"/>
      <c r="AN34" s="393"/>
      <c r="AO34" s="393"/>
      <c r="AP34" s="393"/>
      <c r="AQ34" s="393"/>
      <c r="AR34" s="393"/>
      <c r="AS34" s="516"/>
      <c r="AT34" s="393"/>
      <c r="AV34" s="516"/>
      <c r="AW34" s="384">
        <v>0</v>
      </c>
      <c r="AX34" s="384">
        <v>0</v>
      </c>
      <c r="AY34" s="384">
        <v>0</v>
      </c>
      <c r="AZ34" s="384"/>
      <c r="BA34" s="384"/>
      <c r="BB34" s="384"/>
      <c r="BC34" s="384"/>
      <c r="BD34" s="384"/>
      <c r="BE34" s="384"/>
      <c r="BF34" s="384"/>
      <c r="BG34" s="384"/>
      <c r="BH34" s="384"/>
      <c r="BI34" s="384"/>
      <c r="BJ34" s="537"/>
      <c r="BK34" s="516"/>
      <c r="BL34" s="384">
        <v>0</v>
      </c>
      <c r="BM34" s="384">
        <v>0</v>
      </c>
      <c r="BN34" s="384">
        <v>0</v>
      </c>
      <c r="BO34" s="384"/>
      <c r="BQ34" s="384"/>
      <c r="BR34" s="516"/>
      <c r="BS34" s="384"/>
      <c r="BT34" s="384"/>
      <c r="BU34" s="384"/>
      <c r="BV34" s="384"/>
      <c r="BW34" s="384"/>
      <c r="BX34" s="384"/>
      <c r="BY34" s="384"/>
      <c r="BZ34" s="384"/>
      <c r="CA34" s="384"/>
      <c r="CB34" s="384"/>
      <c r="CC34" s="384"/>
      <c r="CD34" s="384"/>
      <c r="CE34" s="959"/>
    </row>
    <row r="35" spans="1:83" s="357" customFormat="1" ht="12.75" x14ac:dyDescent="0.25">
      <c r="A35" s="379"/>
      <c r="B35" s="729">
        <f>HLOOKUP(Start!$B$17,$D$1:$DD$75,+C35, FALSE)</f>
        <v>0</v>
      </c>
      <c r="C35" s="426">
        <f t="shared" si="0"/>
        <v>35</v>
      </c>
      <c r="D35" s="516"/>
      <c r="E35" s="1110"/>
      <c r="F35" s="516"/>
      <c r="G35" s="384"/>
      <c r="H35" s="384"/>
      <c r="I35" s="384"/>
      <c r="J35" s="384"/>
      <c r="K35" s="384"/>
      <c r="L35" s="384"/>
      <c r="M35" s="384"/>
      <c r="N35" s="384"/>
      <c r="O35" s="384"/>
      <c r="P35" s="384"/>
      <c r="Q35" s="384"/>
      <c r="R35" s="384"/>
      <c r="S35" s="393"/>
      <c r="T35" s="393"/>
      <c r="U35" s="384"/>
      <c r="V35" s="384"/>
      <c r="W35" s="384"/>
      <c r="X35" s="384"/>
      <c r="Y35" s="384"/>
      <c r="Z35" s="384"/>
      <c r="AA35" s="384"/>
      <c r="AB35" s="384"/>
      <c r="AC35" s="384"/>
      <c r="AD35" s="384"/>
      <c r="AE35" s="384"/>
      <c r="AF35" s="384"/>
      <c r="AG35" s="384"/>
      <c r="AH35" s="384"/>
      <c r="AI35" s="384"/>
      <c r="AJ35" s="393"/>
      <c r="AK35" s="516"/>
      <c r="AL35" s="393"/>
      <c r="AM35" s="393"/>
      <c r="AN35" s="393"/>
      <c r="AO35" s="393"/>
      <c r="AP35" s="393"/>
      <c r="AQ35" s="393"/>
      <c r="AR35" s="393"/>
      <c r="AS35" s="516"/>
      <c r="AT35" s="393"/>
      <c r="AV35" s="516"/>
      <c r="AW35" s="384"/>
      <c r="AX35" s="384"/>
      <c r="AY35" s="384"/>
      <c r="AZ35" s="384"/>
      <c r="BA35" s="384"/>
      <c r="BB35" s="384"/>
      <c r="BC35" s="384"/>
      <c r="BD35" s="384"/>
      <c r="BE35" s="384"/>
      <c r="BF35" s="384"/>
      <c r="BG35" s="384"/>
      <c r="BH35" s="384"/>
      <c r="BI35" s="384"/>
      <c r="BJ35" s="537"/>
      <c r="BK35" s="516"/>
      <c r="BL35" s="384"/>
      <c r="BM35" s="384"/>
      <c r="BN35" s="384"/>
      <c r="BO35" s="384"/>
      <c r="BQ35" s="384"/>
      <c r="BR35" s="516"/>
      <c r="BS35" s="384"/>
      <c r="BT35" s="384"/>
      <c r="BU35" s="384"/>
      <c r="BV35" s="384"/>
      <c r="BW35" s="384"/>
      <c r="BX35" s="384"/>
      <c r="BY35" s="384"/>
      <c r="BZ35" s="384"/>
      <c r="CA35" s="384"/>
      <c r="CB35" s="384"/>
      <c r="CC35" s="384"/>
      <c r="CD35" s="384"/>
      <c r="CE35" s="959"/>
    </row>
    <row r="36" spans="1:83" s="315" customFormat="1" ht="140.25" x14ac:dyDescent="0.25">
      <c r="A36" s="381" t="s">
        <v>415</v>
      </c>
      <c r="B36" s="729" t="str">
        <f>HLOOKUP(Start!$B$17,$D$1:$DD$75,+C36, FALSE)</f>
        <v>Energy data from Appendix_DK_housing_manurecooling.pdf</v>
      </c>
      <c r="C36" s="426">
        <f t="shared" si="0"/>
        <v>36</v>
      </c>
      <c r="D36" s="517"/>
      <c r="E36" s="1118"/>
      <c r="F36" s="517"/>
      <c r="G36" s="534" t="s">
        <v>32</v>
      </c>
      <c r="H36" s="534" t="s">
        <v>32</v>
      </c>
      <c r="I36" s="524"/>
      <c r="J36" s="524" t="s">
        <v>580</v>
      </c>
      <c r="K36" s="524" t="s">
        <v>580</v>
      </c>
      <c r="L36" s="524" t="s">
        <v>544</v>
      </c>
      <c r="M36" s="524" t="s">
        <v>544</v>
      </c>
      <c r="N36" s="524" t="s">
        <v>544</v>
      </c>
      <c r="O36" s="524" t="s">
        <v>544</v>
      </c>
      <c r="P36" s="524" t="s">
        <v>544</v>
      </c>
      <c r="Q36" s="524" t="s">
        <v>544</v>
      </c>
      <c r="R36" s="524" t="s">
        <v>573</v>
      </c>
      <c r="S36" s="524" t="s">
        <v>538</v>
      </c>
      <c r="T36" s="524"/>
      <c r="U36" s="524" t="s">
        <v>533</v>
      </c>
      <c r="V36" s="524"/>
      <c r="W36" s="524" t="s">
        <v>586</v>
      </c>
      <c r="X36" s="524" t="s">
        <v>595</v>
      </c>
      <c r="Y36" s="524" t="s">
        <v>599</v>
      </c>
      <c r="Z36" s="524" t="s">
        <v>599</v>
      </c>
      <c r="AA36" s="524" t="s">
        <v>625</v>
      </c>
      <c r="AB36" s="524" t="s">
        <v>625</v>
      </c>
      <c r="AC36" s="524" t="s">
        <v>625</v>
      </c>
      <c r="AD36" s="524" t="s">
        <v>625</v>
      </c>
      <c r="AE36" s="524" t="s">
        <v>539</v>
      </c>
      <c r="AF36" s="524" t="s">
        <v>587</v>
      </c>
      <c r="AG36" s="524" t="s">
        <v>539</v>
      </c>
      <c r="AH36" s="524" t="s">
        <v>539</v>
      </c>
      <c r="AI36" s="525" t="s">
        <v>620</v>
      </c>
      <c r="AJ36" s="534"/>
      <c r="AK36" s="517"/>
      <c r="AL36" s="524" t="s">
        <v>538</v>
      </c>
      <c r="AM36" s="524" t="s">
        <v>1187</v>
      </c>
      <c r="AN36" s="524" t="s">
        <v>1187</v>
      </c>
      <c r="AO36" s="524" t="s">
        <v>1187</v>
      </c>
      <c r="AP36" s="524" t="s">
        <v>1180</v>
      </c>
      <c r="AQ36" s="524" t="s">
        <v>1184</v>
      </c>
      <c r="AR36" s="534"/>
      <c r="AS36" s="517"/>
      <c r="AT36" s="534"/>
      <c r="AU36" s="359"/>
      <c r="AV36" s="517"/>
      <c r="AW36" s="534" t="s">
        <v>32</v>
      </c>
      <c r="AX36" s="534"/>
      <c r="AY36" s="534"/>
      <c r="AZ36" s="534" t="s">
        <v>644</v>
      </c>
      <c r="BA36" s="534" t="s">
        <v>644</v>
      </c>
      <c r="BB36" s="534"/>
      <c r="BC36" s="534"/>
      <c r="BD36" s="534"/>
      <c r="BE36" s="534"/>
      <c r="BF36" s="534"/>
      <c r="BG36" s="534"/>
      <c r="BH36" s="524" t="s">
        <v>634</v>
      </c>
      <c r="BI36" s="524"/>
      <c r="BJ36" s="736"/>
      <c r="BK36" s="517"/>
      <c r="BL36" s="524" t="s">
        <v>546</v>
      </c>
      <c r="BM36" s="524" t="s">
        <v>546</v>
      </c>
      <c r="BN36" s="524" t="s">
        <v>546</v>
      </c>
      <c r="BO36" s="524" t="s">
        <v>638</v>
      </c>
      <c r="BQ36" s="534"/>
      <c r="BR36" s="517"/>
      <c r="BS36" s="524"/>
      <c r="BT36" s="524"/>
      <c r="BU36" s="524"/>
      <c r="BV36" s="534" t="s">
        <v>644</v>
      </c>
      <c r="BW36" s="534"/>
      <c r="BX36" s="534"/>
      <c r="BY36" s="534"/>
      <c r="BZ36" s="534"/>
      <c r="CA36" s="524" t="s">
        <v>634</v>
      </c>
      <c r="CB36" s="524"/>
      <c r="CC36" s="524"/>
      <c r="CD36" s="524"/>
      <c r="CE36" s="962"/>
    </row>
    <row r="37" spans="1:83" s="382" customFormat="1" ht="12.75" x14ac:dyDescent="0.25">
      <c r="A37" s="465" t="s">
        <v>482</v>
      </c>
      <c r="B37" s="729"/>
      <c r="C37" s="426">
        <f t="shared" si="0"/>
        <v>37</v>
      </c>
      <c r="D37" s="512"/>
      <c r="E37" s="826"/>
      <c r="F37" s="512"/>
      <c r="G37" s="388"/>
      <c r="H37" s="388"/>
      <c r="R37" s="388"/>
      <c r="S37" s="466"/>
      <c r="T37" s="466"/>
      <c r="U37" s="466"/>
      <c r="V37" s="466"/>
      <c r="W37" s="466"/>
      <c r="X37" s="466"/>
      <c r="Y37" s="466"/>
      <c r="Z37" s="466"/>
      <c r="AA37" s="466"/>
      <c r="AB37" s="466"/>
      <c r="AC37" s="466"/>
      <c r="AD37" s="466"/>
      <c r="AE37" s="466"/>
      <c r="AF37" s="466"/>
      <c r="AG37" s="466"/>
      <c r="AH37" s="466"/>
      <c r="AI37" s="466"/>
      <c r="AJ37" s="466"/>
      <c r="AK37" s="512"/>
      <c r="AL37" s="466"/>
      <c r="AM37" s="466"/>
      <c r="AN37" s="466"/>
      <c r="AO37" s="466"/>
      <c r="AP37" s="466"/>
      <c r="AQ37" s="466"/>
      <c r="AR37" s="466"/>
      <c r="AS37" s="512"/>
      <c r="AT37" s="466"/>
      <c r="AV37" s="512"/>
      <c r="BH37" s="466"/>
      <c r="BI37" s="466"/>
      <c r="BJ37" s="393"/>
      <c r="BK37" s="512"/>
      <c r="BR37" s="512"/>
      <c r="BS37" s="466"/>
      <c r="BT37" s="466"/>
      <c r="BU37" s="466"/>
      <c r="CA37" s="466"/>
      <c r="CB37" s="466"/>
      <c r="CC37" s="466"/>
      <c r="CD37" s="466"/>
      <c r="CE37" s="959"/>
    </row>
    <row r="38" spans="1:83" s="357" customFormat="1" ht="24" x14ac:dyDescent="0.25">
      <c r="A38" s="489" t="s">
        <v>517</v>
      </c>
      <c r="B38" s="729">
        <f>HLOOKUP(Start!$B$17,$D$1:$DD$75,+C38, FALSE)</f>
        <v>0</v>
      </c>
      <c r="C38" s="426">
        <f t="shared" si="0"/>
        <v>38</v>
      </c>
      <c r="D38" s="518"/>
      <c r="E38" s="1119"/>
      <c r="F38" s="518"/>
      <c r="G38" s="384"/>
      <c r="H38" s="384"/>
      <c r="R38" s="384"/>
      <c r="S38" s="393"/>
      <c r="T38" s="393"/>
      <c r="U38" s="393"/>
      <c r="V38" s="393"/>
      <c r="W38" s="393"/>
      <c r="X38" s="393"/>
      <c r="Y38" s="393"/>
      <c r="Z38" s="393"/>
      <c r="AA38" s="393"/>
      <c r="AB38" s="393"/>
      <c r="AC38" s="393"/>
      <c r="AD38" s="393"/>
      <c r="AE38" s="393"/>
      <c r="AF38" s="393"/>
      <c r="AG38" s="393"/>
      <c r="AH38" s="393"/>
      <c r="AI38" s="393"/>
      <c r="AJ38" s="393"/>
      <c r="AK38" s="518"/>
      <c r="AL38" s="393"/>
      <c r="AM38" s="393"/>
      <c r="AN38" s="393"/>
      <c r="AO38" s="393"/>
      <c r="AP38" s="393"/>
      <c r="AQ38" s="393"/>
      <c r="AR38" s="393"/>
      <c r="AS38" s="518"/>
      <c r="AT38" s="393"/>
      <c r="AV38" s="518"/>
      <c r="BH38" s="393"/>
      <c r="BI38" s="393"/>
      <c r="BJ38" s="393"/>
      <c r="BK38" s="518"/>
      <c r="BR38" s="518"/>
      <c r="BS38" s="393"/>
      <c r="BT38" s="393"/>
      <c r="BU38" s="393"/>
      <c r="CA38" s="393"/>
      <c r="CB38" s="393"/>
      <c r="CC38" s="393"/>
      <c r="CD38" s="393"/>
      <c r="CE38" s="959"/>
    </row>
    <row r="39" spans="1:83" s="357" customFormat="1" ht="24" x14ac:dyDescent="0.25">
      <c r="A39" s="489" t="s">
        <v>518</v>
      </c>
      <c r="B39" s="729">
        <f>HLOOKUP(Start!$B$17,$D$1:$DD$75,+C39, FALSE)</f>
        <v>0</v>
      </c>
      <c r="C39" s="426">
        <f t="shared" si="0"/>
        <v>39</v>
      </c>
      <c r="D39" s="516"/>
      <c r="E39" s="1110"/>
      <c r="F39" s="516"/>
      <c r="G39" s="384"/>
      <c r="H39" s="384"/>
      <c r="R39" s="384"/>
      <c r="S39" s="393"/>
      <c r="T39" s="393"/>
      <c r="U39" s="393"/>
      <c r="V39" s="393"/>
      <c r="W39" s="393"/>
      <c r="X39" s="393"/>
      <c r="Y39" s="393"/>
      <c r="Z39" s="393"/>
      <c r="AA39" s="393"/>
      <c r="AB39" s="393"/>
      <c r="AC39" s="393"/>
      <c r="AD39" s="393"/>
      <c r="AE39" s="393"/>
      <c r="AF39" s="393"/>
      <c r="AG39" s="393"/>
      <c r="AH39" s="393"/>
      <c r="AI39" s="393"/>
      <c r="AJ39" s="393"/>
      <c r="AK39" s="516"/>
      <c r="AL39" s="393"/>
      <c r="AM39" s="393"/>
      <c r="AN39" s="393"/>
      <c r="AO39" s="393"/>
      <c r="AP39" s="393"/>
      <c r="AQ39" s="393"/>
      <c r="AR39" s="393"/>
      <c r="AS39" s="516"/>
      <c r="AT39" s="393"/>
      <c r="AV39" s="516"/>
      <c r="BH39" s="393"/>
      <c r="BI39" s="393"/>
      <c r="BJ39" s="393"/>
      <c r="BK39" s="516"/>
      <c r="BR39" s="516"/>
      <c r="BS39" s="393"/>
      <c r="BT39" s="393"/>
      <c r="BU39" s="393"/>
      <c r="CA39" s="393"/>
      <c r="CB39" s="393"/>
      <c r="CC39" s="393"/>
      <c r="CD39" s="393"/>
      <c r="CE39" s="959"/>
    </row>
    <row r="40" spans="1:83" s="357" customFormat="1" ht="24" x14ac:dyDescent="0.25">
      <c r="A40" s="489" t="s">
        <v>491</v>
      </c>
      <c r="B40" s="730">
        <f>HLOOKUP(Start!$B$17,$D$1:$DD$75,+C40, FALSE)</f>
        <v>0</v>
      </c>
      <c r="C40" s="426">
        <f t="shared" si="0"/>
        <v>40</v>
      </c>
      <c r="D40" s="519"/>
      <c r="E40" s="1120"/>
      <c r="F40" s="519"/>
      <c r="G40" s="384"/>
      <c r="H40" s="384"/>
      <c r="R40" s="384"/>
      <c r="S40" s="393"/>
      <c r="T40" s="393"/>
      <c r="U40" s="393"/>
      <c r="V40" s="393"/>
      <c r="W40" s="393"/>
      <c r="X40" s="393"/>
      <c r="Y40" s="393"/>
      <c r="Z40" s="393"/>
      <c r="AA40" s="393"/>
      <c r="AB40" s="393"/>
      <c r="AC40" s="393"/>
      <c r="AD40" s="393"/>
      <c r="AE40" s="393"/>
      <c r="AF40" s="393"/>
      <c r="AG40" s="393"/>
      <c r="AH40" s="393"/>
      <c r="AI40" s="393"/>
      <c r="AJ40" s="393"/>
      <c r="AK40" s="519"/>
      <c r="AL40" s="393"/>
      <c r="AM40" s="393"/>
      <c r="AN40" s="393"/>
      <c r="AO40" s="393"/>
      <c r="AP40" s="393"/>
      <c r="AQ40" s="393"/>
      <c r="AR40" s="393"/>
      <c r="AS40" s="519"/>
      <c r="AT40" s="393"/>
      <c r="AV40" s="519"/>
      <c r="BH40" s="393"/>
      <c r="BI40" s="393"/>
      <c r="BJ40" s="393"/>
      <c r="BK40" s="519"/>
      <c r="BR40" s="519"/>
      <c r="BS40" s="393"/>
      <c r="BT40" s="393"/>
      <c r="BU40" s="393"/>
      <c r="CA40" s="393"/>
      <c r="CB40" s="393"/>
      <c r="CC40" s="393"/>
      <c r="CD40" s="393"/>
      <c r="CE40" s="959"/>
    </row>
    <row r="41" spans="1:83" s="382" customFormat="1" ht="12.75" x14ac:dyDescent="0.25">
      <c r="A41" s="465" t="s">
        <v>462</v>
      </c>
      <c r="B41" s="729"/>
      <c r="C41" s="426">
        <f t="shared" si="0"/>
        <v>41</v>
      </c>
      <c r="D41" s="512"/>
      <c r="E41" s="826"/>
      <c r="F41" s="512"/>
      <c r="G41" s="388"/>
      <c r="H41" s="388"/>
      <c r="R41" s="388"/>
      <c r="S41" s="466"/>
      <c r="T41" s="466"/>
      <c r="U41" s="466"/>
      <c r="V41" s="466"/>
      <c r="W41" s="466"/>
      <c r="X41" s="466"/>
      <c r="Y41" s="466"/>
      <c r="Z41" s="466"/>
      <c r="AA41" s="466"/>
      <c r="AB41" s="466"/>
      <c r="AC41" s="466"/>
      <c r="AD41" s="466"/>
      <c r="AE41" s="466"/>
      <c r="AF41" s="466"/>
      <c r="AG41" s="466"/>
      <c r="AH41" s="466"/>
      <c r="AI41" s="466"/>
      <c r="AJ41" s="466"/>
      <c r="AK41" s="512"/>
      <c r="AL41" s="466"/>
      <c r="AM41" s="466"/>
      <c r="AN41" s="466"/>
      <c r="AO41" s="466"/>
      <c r="AP41" s="466"/>
      <c r="AQ41" s="466"/>
      <c r="AR41" s="466"/>
      <c r="AS41" s="512"/>
      <c r="AT41" s="466"/>
      <c r="AV41" s="512"/>
      <c r="BH41" s="466"/>
      <c r="BI41" s="466"/>
      <c r="BJ41" s="393"/>
      <c r="BK41" s="512"/>
      <c r="BR41" s="512"/>
      <c r="BS41" s="466"/>
      <c r="BT41" s="466"/>
      <c r="BU41" s="466"/>
      <c r="CA41" s="466"/>
      <c r="CB41" s="466"/>
      <c r="CC41" s="466"/>
      <c r="CD41" s="466"/>
      <c r="CE41" s="959"/>
    </row>
    <row r="42" spans="1:83" s="357" customFormat="1" ht="12.75" x14ac:dyDescent="0.2">
      <c r="A42" s="467" t="s">
        <v>453</v>
      </c>
      <c r="B42" s="729">
        <f>HLOOKUP(Start!$B$17,$D$1:$DD$75,+C42, FALSE)</f>
        <v>0</v>
      </c>
      <c r="C42" s="426">
        <f t="shared" si="0"/>
        <v>42</v>
      </c>
      <c r="D42" s="513"/>
      <c r="E42" s="1109"/>
      <c r="F42" s="513"/>
      <c r="G42" s="384"/>
      <c r="H42" s="384"/>
      <c r="R42" s="384"/>
      <c r="S42" s="393"/>
      <c r="T42" s="393"/>
      <c r="U42" s="393"/>
      <c r="V42" s="393"/>
      <c r="W42" s="393"/>
      <c r="X42" s="393"/>
      <c r="Y42" s="393"/>
      <c r="Z42" s="393"/>
      <c r="AA42" s="393"/>
      <c r="AB42" s="393"/>
      <c r="AC42" s="393"/>
      <c r="AD42" s="393"/>
      <c r="AE42" s="393"/>
      <c r="AF42" s="393"/>
      <c r="AG42" s="393"/>
      <c r="AH42" s="393"/>
      <c r="AI42" s="393"/>
      <c r="AJ42" s="393"/>
      <c r="AK42" s="513"/>
      <c r="AL42" s="393"/>
      <c r="AM42" s="393"/>
      <c r="AN42" s="393"/>
      <c r="AO42" s="393"/>
      <c r="AP42" s="393"/>
      <c r="AQ42" s="393"/>
      <c r="AR42" s="393"/>
      <c r="AS42" s="513"/>
      <c r="AT42" s="393"/>
      <c r="AV42" s="513"/>
      <c r="BH42" s="393"/>
      <c r="BI42" s="393"/>
      <c r="BJ42" s="393"/>
      <c r="BK42" s="513"/>
      <c r="BR42" s="513"/>
      <c r="BS42" s="393"/>
      <c r="BT42" s="393"/>
      <c r="BU42" s="393"/>
      <c r="CA42" s="393"/>
      <c r="CB42" s="393"/>
      <c r="CC42" s="393"/>
      <c r="CD42" s="393"/>
      <c r="CE42" s="959"/>
    </row>
    <row r="43" spans="1:83" s="357" customFormat="1" ht="12.75" x14ac:dyDescent="0.2">
      <c r="A43" s="467" t="s">
        <v>460</v>
      </c>
      <c r="B43" s="729">
        <f>HLOOKUP(Start!$B$17,$D$1:$DD$75,+C43, FALSE)</f>
        <v>0</v>
      </c>
      <c r="C43" s="426">
        <f t="shared" si="0"/>
        <v>43</v>
      </c>
      <c r="D43" s="513"/>
      <c r="E43" s="1109"/>
      <c r="F43" s="513"/>
      <c r="G43" s="384"/>
      <c r="H43" s="384"/>
      <c r="R43" s="384"/>
      <c r="S43" s="393"/>
      <c r="T43" s="393"/>
      <c r="U43" s="393"/>
      <c r="V43" s="393"/>
      <c r="W43" s="393"/>
      <c r="X43" s="393"/>
      <c r="Y43" s="393"/>
      <c r="Z43" s="393"/>
      <c r="AA43" s="393"/>
      <c r="AB43" s="393"/>
      <c r="AC43" s="393"/>
      <c r="AD43" s="393"/>
      <c r="AE43" s="393"/>
      <c r="AF43" s="393"/>
      <c r="AG43" s="393"/>
      <c r="AH43" s="393"/>
      <c r="AI43" s="393"/>
      <c r="AJ43" s="393"/>
      <c r="AK43" s="513"/>
      <c r="AL43" s="393"/>
      <c r="AM43" s="393"/>
      <c r="AN43" s="393"/>
      <c r="AO43" s="393"/>
      <c r="AP43" s="393"/>
      <c r="AQ43" s="393"/>
      <c r="AR43" s="393"/>
      <c r="AS43" s="513"/>
      <c r="AT43" s="393"/>
      <c r="AV43" s="513"/>
      <c r="BH43" s="393"/>
      <c r="BI43" s="393"/>
      <c r="BJ43" s="393"/>
      <c r="BK43" s="513"/>
      <c r="BR43" s="513"/>
      <c r="BS43" s="393"/>
      <c r="BT43" s="393"/>
      <c r="BU43" s="393"/>
      <c r="CA43" s="393"/>
      <c r="CB43" s="393"/>
      <c r="CC43" s="393"/>
      <c r="CD43" s="393"/>
      <c r="CE43" s="959"/>
    </row>
    <row r="44" spans="1:83" s="357" customFormat="1" ht="12.75" x14ac:dyDescent="0.2">
      <c r="A44" s="467" t="s">
        <v>454</v>
      </c>
      <c r="B44" s="729">
        <f>HLOOKUP(Start!$B$17,$D$1:$DD$75,+C44, FALSE)</f>
        <v>0</v>
      </c>
      <c r="C44" s="426">
        <f t="shared" si="0"/>
        <v>44</v>
      </c>
      <c r="D44" s="513"/>
      <c r="E44" s="1109"/>
      <c r="F44" s="513"/>
      <c r="G44" s="384"/>
      <c r="H44" s="384"/>
      <c r="R44" s="384"/>
      <c r="S44" s="393"/>
      <c r="T44" s="393"/>
      <c r="U44" s="393"/>
      <c r="V44" s="393"/>
      <c r="W44" s="393"/>
      <c r="X44" s="393"/>
      <c r="Y44" s="393"/>
      <c r="Z44" s="393"/>
      <c r="AA44" s="393"/>
      <c r="AB44" s="393"/>
      <c r="AC44" s="393"/>
      <c r="AD44" s="393"/>
      <c r="AE44" s="393"/>
      <c r="AF44" s="393"/>
      <c r="AG44" s="393"/>
      <c r="AH44" s="393"/>
      <c r="AI44" s="393"/>
      <c r="AJ44" s="393"/>
      <c r="AK44" s="513"/>
      <c r="AL44" s="393"/>
      <c r="AM44" s="393"/>
      <c r="AN44" s="393"/>
      <c r="AO44" s="393"/>
      <c r="AP44" s="393"/>
      <c r="AQ44" s="393"/>
      <c r="AR44" s="393"/>
      <c r="AS44" s="513"/>
      <c r="AT44" s="393"/>
      <c r="AV44" s="513"/>
      <c r="BH44" s="393"/>
      <c r="BI44" s="393"/>
      <c r="BJ44" s="393"/>
      <c r="BK44" s="513"/>
      <c r="BR44" s="513"/>
      <c r="BS44" s="393"/>
      <c r="BT44" s="393"/>
      <c r="BU44" s="393"/>
      <c r="CA44" s="393"/>
      <c r="CB44" s="393"/>
      <c r="CC44" s="393"/>
      <c r="CD44" s="393"/>
      <c r="CE44" s="959"/>
    </row>
    <row r="45" spans="1:83" s="357" customFormat="1" ht="12.75" x14ac:dyDescent="0.2">
      <c r="A45" s="467" t="s">
        <v>447</v>
      </c>
      <c r="B45" s="729">
        <f>HLOOKUP(Start!$B$17,$D$1:$DD$75,+C45, FALSE)</f>
        <v>0</v>
      </c>
      <c r="C45" s="426">
        <f t="shared" si="0"/>
        <v>45</v>
      </c>
      <c r="D45" s="513"/>
      <c r="E45" s="1109"/>
      <c r="F45" s="513"/>
      <c r="G45" s="384"/>
      <c r="H45" s="384"/>
      <c r="R45" s="384"/>
      <c r="S45" s="394"/>
      <c r="T45" s="394"/>
      <c r="U45" s="394"/>
      <c r="V45" s="394"/>
      <c r="W45" s="394"/>
      <c r="X45" s="394"/>
      <c r="Y45" s="394"/>
      <c r="Z45" s="394"/>
      <c r="AA45" s="394"/>
      <c r="AB45" s="394"/>
      <c r="AC45" s="394"/>
      <c r="AD45" s="394"/>
      <c r="AE45" s="394"/>
      <c r="AF45" s="394"/>
      <c r="AG45" s="394"/>
      <c r="AH45" s="394"/>
      <c r="AI45" s="394"/>
      <c r="AJ45" s="394"/>
      <c r="AK45" s="513"/>
      <c r="AL45" s="394"/>
      <c r="AM45" s="394"/>
      <c r="AN45" s="394"/>
      <c r="AO45" s="394"/>
      <c r="AP45" s="394"/>
      <c r="AQ45" s="394"/>
      <c r="AR45" s="394"/>
      <c r="AS45" s="513"/>
      <c r="AT45" s="394"/>
      <c r="AV45" s="513"/>
      <c r="BH45" s="394"/>
      <c r="BI45" s="394"/>
      <c r="BJ45" s="739"/>
      <c r="BK45" s="513"/>
      <c r="BR45" s="513"/>
      <c r="BS45" s="394"/>
      <c r="BT45" s="394"/>
      <c r="BU45" s="394"/>
      <c r="CA45" s="394"/>
      <c r="CB45" s="394"/>
      <c r="CC45" s="394"/>
      <c r="CD45" s="394"/>
      <c r="CE45" s="959"/>
    </row>
    <row r="46" spans="1:83" s="357" customFormat="1" ht="12.75" x14ac:dyDescent="0.2">
      <c r="A46" s="467" t="s">
        <v>448</v>
      </c>
      <c r="B46" s="729">
        <f>HLOOKUP(Start!$B$17,$D$1:$DD$75,+C46, FALSE)</f>
        <v>0</v>
      </c>
      <c r="C46" s="426">
        <f t="shared" si="0"/>
        <v>46</v>
      </c>
      <c r="D46" s="513"/>
      <c r="E46" s="1109"/>
      <c r="F46" s="513"/>
      <c r="G46" s="384"/>
      <c r="H46" s="384"/>
      <c r="R46" s="384"/>
      <c r="S46" s="393"/>
      <c r="T46" s="393"/>
      <c r="U46" s="393"/>
      <c r="V46" s="393"/>
      <c r="W46" s="393"/>
      <c r="X46" s="393"/>
      <c r="Y46" s="393"/>
      <c r="Z46" s="393"/>
      <c r="AA46" s="393"/>
      <c r="AB46" s="393"/>
      <c r="AC46" s="393"/>
      <c r="AD46" s="393"/>
      <c r="AE46" s="393"/>
      <c r="AF46" s="393"/>
      <c r="AG46" s="393"/>
      <c r="AH46" s="393"/>
      <c r="AI46" s="393"/>
      <c r="AJ46" s="393"/>
      <c r="AK46" s="513"/>
      <c r="AL46" s="393"/>
      <c r="AM46" s="393"/>
      <c r="AN46" s="393"/>
      <c r="AO46" s="393"/>
      <c r="AP46" s="393"/>
      <c r="AQ46" s="393"/>
      <c r="AR46" s="393"/>
      <c r="AS46" s="513"/>
      <c r="AT46" s="393"/>
      <c r="AV46" s="513"/>
      <c r="BH46" s="393"/>
      <c r="BI46" s="393"/>
      <c r="BJ46" s="393"/>
      <c r="BK46" s="513"/>
      <c r="BR46" s="513"/>
      <c r="BS46" s="393"/>
      <c r="BT46" s="393"/>
      <c r="BU46" s="393"/>
      <c r="CA46" s="393"/>
      <c r="CB46" s="393"/>
      <c r="CC46" s="393"/>
      <c r="CD46" s="393"/>
      <c r="CE46" s="959"/>
    </row>
    <row r="47" spans="1:83" s="357" customFormat="1" ht="12.75" x14ac:dyDescent="0.2">
      <c r="A47" s="467" t="s">
        <v>464</v>
      </c>
      <c r="B47" s="729">
        <f>HLOOKUP(Start!$B$17,$D$1:$DD$75,+C47, FALSE)</f>
        <v>0</v>
      </c>
      <c r="C47" s="426">
        <f t="shared" si="0"/>
        <v>47</v>
      </c>
      <c r="D47" s="513"/>
      <c r="E47" s="1109"/>
      <c r="F47" s="513"/>
      <c r="G47" s="384"/>
      <c r="H47" s="384"/>
      <c r="R47" s="384"/>
      <c r="S47" s="393"/>
      <c r="T47" s="393"/>
      <c r="U47" s="393"/>
      <c r="V47" s="393"/>
      <c r="W47" s="393"/>
      <c r="X47" s="393"/>
      <c r="Y47" s="393"/>
      <c r="Z47" s="393"/>
      <c r="AA47" s="393"/>
      <c r="AB47" s="393"/>
      <c r="AC47" s="393"/>
      <c r="AD47" s="393"/>
      <c r="AE47" s="393"/>
      <c r="AF47" s="393"/>
      <c r="AG47" s="393"/>
      <c r="AH47" s="393"/>
      <c r="AI47" s="393"/>
      <c r="AJ47" s="393"/>
      <c r="AK47" s="513"/>
      <c r="AL47" s="393"/>
      <c r="AM47" s="393"/>
      <c r="AN47" s="393"/>
      <c r="AO47" s="393"/>
      <c r="AP47" s="393"/>
      <c r="AQ47" s="393"/>
      <c r="AR47" s="393"/>
      <c r="AS47" s="513"/>
      <c r="AT47" s="393"/>
      <c r="AV47" s="513"/>
      <c r="BH47" s="393"/>
      <c r="BI47" s="393"/>
      <c r="BJ47" s="393"/>
      <c r="BK47" s="513"/>
      <c r="BR47" s="513"/>
      <c r="BS47" s="393"/>
      <c r="BT47" s="393"/>
      <c r="BU47" s="393"/>
      <c r="CA47" s="393"/>
      <c r="CB47" s="393"/>
      <c r="CC47" s="393"/>
      <c r="CD47" s="393"/>
      <c r="CE47" s="959"/>
    </row>
    <row r="48" spans="1:83" s="357" customFormat="1" ht="12.75" x14ac:dyDescent="0.2">
      <c r="A48" s="467" t="s">
        <v>455</v>
      </c>
      <c r="B48" s="729">
        <f>HLOOKUP(Start!$B$17,$D$1:$DD$75,+C48, FALSE)</f>
        <v>0</v>
      </c>
      <c r="C48" s="426">
        <f t="shared" si="0"/>
        <v>48</v>
      </c>
      <c r="D48" s="513"/>
      <c r="E48" s="1109"/>
      <c r="F48" s="513"/>
      <c r="G48" s="384"/>
      <c r="H48" s="384"/>
      <c r="R48" s="384"/>
      <c r="S48" s="393"/>
      <c r="T48" s="393"/>
      <c r="U48" s="393"/>
      <c r="V48" s="393"/>
      <c r="W48" s="393"/>
      <c r="X48" s="393"/>
      <c r="Y48" s="393"/>
      <c r="Z48" s="393"/>
      <c r="AA48" s="393"/>
      <c r="AB48" s="393"/>
      <c r="AC48" s="393"/>
      <c r="AD48" s="393"/>
      <c r="AE48" s="393"/>
      <c r="AF48" s="393"/>
      <c r="AG48" s="393"/>
      <c r="AH48" s="393"/>
      <c r="AI48" s="393"/>
      <c r="AJ48" s="393"/>
      <c r="AK48" s="513"/>
      <c r="AL48" s="393"/>
      <c r="AM48" s="393"/>
      <c r="AN48" s="393"/>
      <c r="AO48" s="393"/>
      <c r="AP48" s="393"/>
      <c r="AQ48" s="393"/>
      <c r="AR48" s="393"/>
      <c r="AS48" s="513"/>
      <c r="AT48" s="393"/>
      <c r="AV48" s="513"/>
      <c r="BH48" s="393"/>
      <c r="BI48" s="393"/>
      <c r="BJ48" s="393"/>
      <c r="BK48" s="513"/>
      <c r="BR48" s="513"/>
      <c r="BS48" s="393"/>
      <c r="BT48" s="393"/>
      <c r="BU48" s="393"/>
      <c r="CA48" s="393"/>
      <c r="CB48" s="393"/>
      <c r="CC48" s="393"/>
      <c r="CD48" s="393"/>
      <c r="CE48" s="959"/>
    </row>
    <row r="49" spans="1:83" s="357" customFormat="1" ht="12.75" x14ac:dyDescent="0.2">
      <c r="A49" s="467" t="s">
        <v>456</v>
      </c>
      <c r="B49" s="729">
        <f>HLOOKUP(Start!$B$17,$D$1:$DD$75,+C49, FALSE)</f>
        <v>0</v>
      </c>
      <c r="C49" s="426">
        <f t="shared" si="0"/>
        <v>49</v>
      </c>
      <c r="D49" s="513"/>
      <c r="E49" s="1109"/>
      <c r="F49" s="513"/>
      <c r="G49" s="384"/>
      <c r="H49" s="384"/>
      <c r="R49" s="384"/>
      <c r="S49" s="393"/>
      <c r="T49" s="393"/>
      <c r="U49" s="393"/>
      <c r="V49" s="393"/>
      <c r="W49" s="393"/>
      <c r="X49" s="393"/>
      <c r="Y49" s="393"/>
      <c r="Z49" s="393"/>
      <c r="AA49" s="393"/>
      <c r="AB49" s="393"/>
      <c r="AC49" s="393"/>
      <c r="AD49" s="393"/>
      <c r="AE49" s="393"/>
      <c r="AF49" s="393"/>
      <c r="AG49" s="393"/>
      <c r="AH49" s="393"/>
      <c r="AI49" s="393"/>
      <c r="AJ49" s="393"/>
      <c r="AK49" s="513"/>
      <c r="AL49" s="393"/>
      <c r="AM49" s="393"/>
      <c r="AN49" s="393"/>
      <c r="AO49" s="393"/>
      <c r="AP49" s="393"/>
      <c r="AQ49" s="393"/>
      <c r="AR49" s="393"/>
      <c r="AS49" s="513"/>
      <c r="AT49" s="393"/>
      <c r="AV49" s="513"/>
      <c r="BH49" s="393"/>
      <c r="BI49" s="393"/>
      <c r="BJ49" s="393"/>
      <c r="BK49" s="513"/>
      <c r="BR49" s="513"/>
      <c r="BS49" s="393"/>
      <c r="BT49" s="393"/>
      <c r="BU49" s="393"/>
      <c r="CA49" s="393"/>
      <c r="CB49" s="393"/>
      <c r="CC49" s="393"/>
      <c r="CD49" s="393"/>
      <c r="CE49" s="959"/>
    </row>
    <row r="50" spans="1:83" s="357" customFormat="1" ht="12.75" x14ac:dyDescent="0.2">
      <c r="A50" s="467" t="s">
        <v>457</v>
      </c>
      <c r="B50" s="729">
        <f>HLOOKUP(Start!$B$17,$D$1:$DD$75,+C50, FALSE)</f>
        <v>0</v>
      </c>
      <c r="C50" s="426">
        <f t="shared" si="0"/>
        <v>50</v>
      </c>
      <c r="D50" s="513"/>
      <c r="E50" s="1109"/>
      <c r="F50" s="513"/>
      <c r="G50" s="384"/>
      <c r="H50" s="384"/>
      <c r="R50" s="384"/>
      <c r="S50" s="393"/>
      <c r="T50" s="393"/>
      <c r="U50" s="393"/>
      <c r="V50" s="393"/>
      <c r="W50" s="393"/>
      <c r="X50" s="393"/>
      <c r="Y50" s="393"/>
      <c r="Z50" s="393"/>
      <c r="AA50" s="393"/>
      <c r="AB50" s="393"/>
      <c r="AC50" s="393"/>
      <c r="AD50" s="393"/>
      <c r="AE50" s="393"/>
      <c r="AF50" s="393"/>
      <c r="AG50" s="393"/>
      <c r="AH50" s="393"/>
      <c r="AI50" s="393"/>
      <c r="AJ50" s="393"/>
      <c r="AK50" s="513"/>
      <c r="AL50" s="393"/>
      <c r="AM50" s="393"/>
      <c r="AN50" s="393"/>
      <c r="AO50" s="393"/>
      <c r="AP50" s="393"/>
      <c r="AQ50" s="393"/>
      <c r="AR50" s="393"/>
      <c r="AS50" s="513"/>
      <c r="AT50" s="393"/>
      <c r="AV50" s="513"/>
      <c r="BH50" s="393"/>
      <c r="BI50" s="393"/>
      <c r="BJ50" s="393"/>
      <c r="BK50" s="513"/>
      <c r="BR50" s="513"/>
      <c r="BS50" s="393"/>
      <c r="BT50" s="393"/>
      <c r="BU50" s="393"/>
      <c r="CA50" s="393"/>
      <c r="CB50" s="393"/>
      <c r="CC50" s="393"/>
      <c r="CD50" s="393"/>
      <c r="CE50" s="959"/>
    </row>
    <row r="51" spans="1:83" s="357" customFormat="1" ht="12.75" x14ac:dyDescent="0.2">
      <c r="A51" s="467" t="s">
        <v>458</v>
      </c>
      <c r="B51" s="729">
        <f>HLOOKUP(Start!$B$17,$D$1:$DD$75,+C51, FALSE)</f>
        <v>0</v>
      </c>
      <c r="C51" s="426">
        <f t="shared" si="0"/>
        <v>51</v>
      </c>
      <c r="D51" s="513"/>
      <c r="E51" s="1109"/>
      <c r="F51" s="513"/>
      <c r="G51" s="384"/>
      <c r="H51" s="384"/>
      <c r="R51" s="384"/>
      <c r="S51" s="393"/>
      <c r="T51" s="393"/>
      <c r="U51" s="393"/>
      <c r="V51" s="393"/>
      <c r="W51" s="393"/>
      <c r="X51" s="393"/>
      <c r="Y51" s="393"/>
      <c r="Z51" s="393"/>
      <c r="AA51" s="393"/>
      <c r="AB51" s="393"/>
      <c r="AC51" s="393"/>
      <c r="AD51" s="393"/>
      <c r="AE51" s="393"/>
      <c r="AF51" s="393"/>
      <c r="AG51" s="393"/>
      <c r="AH51" s="393"/>
      <c r="AI51" s="393"/>
      <c r="AJ51" s="393"/>
      <c r="AK51" s="513"/>
      <c r="AL51" s="393"/>
      <c r="AM51" s="393"/>
      <c r="AN51" s="393"/>
      <c r="AO51" s="393"/>
      <c r="AP51" s="393"/>
      <c r="AQ51" s="393"/>
      <c r="AR51" s="393"/>
      <c r="AS51" s="513"/>
      <c r="AT51" s="393"/>
      <c r="AV51" s="513"/>
      <c r="BH51" s="393"/>
      <c r="BI51" s="393"/>
      <c r="BJ51" s="393"/>
      <c r="BK51" s="513"/>
      <c r="BR51" s="513"/>
      <c r="BS51" s="393"/>
      <c r="BT51" s="393"/>
      <c r="BU51" s="393"/>
      <c r="CA51" s="393"/>
      <c r="CB51" s="393"/>
      <c r="CC51" s="393"/>
      <c r="CD51" s="393"/>
      <c r="CE51" s="959"/>
    </row>
    <row r="52" spans="1:83" s="357" customFormat="1" ht="12.75" x14ac:dyDescent="0.2">
      <c r="A52" s="467" t="s">
        <v>461</v>
      </c>
      <c r="B52" s="729">
        <f>HLOOKUP(Start!$B$17,$D$1:$DD$75,+C52, FALSE)</f>
        <v>0</v>
      </c>
      <c r="C52" s="426">
        <f t="shared" si="0"/>
        <v>52</v>
      </c>
      <c r="D52" s="513"/>
      <c r="E52" s="1109"/>
      <c r="F52" s="513"/>
      <c r="G52" s="384"/>
      <c r="H52" s="384"/>
      <c r="R52" s="384"/>
      <c r="S52" s="393"/>
      <c r="T52" s="393"/>
      <c r="U52" s="393"/>
      <c r="V52" s="393"/>
      <c r="W52" s="393"/>
      <c r="X52" s="393"/>
      <c r="Y52" s="393"/>
      <c r="Z52" s="393"/>
      <c r="AA52" s="393"/>
      <c r="AB52" s="393"/>
      <c r="AC52" s="393"/>
      <c r="AD52" s="393"/>
      <c r="AE52" s="393"/>
      <c r="AF52" s="393"/>
      <c r="AG52" s="393"/>
      <c r="AH52" s="393"/>
      <c r="AI52" s="393"/>
      <c r="AJ52" s="393"/>
      <c r="AK52" s="513"/>
      <c r="AL52" s="393"/>
      <c r="AM52" s="393"/>
      <c r="AN52" s="393"/>
      <c r="AO52" s="393"/>
      <c r="AP52" s="393"/>
      <c r="AQ52" s="393"/>
      <c r="AR52" s="393"/>
      <c r="AS52" s="513"/>
      <c r="AT52" s="393"/>
      <c r="AV52" s="513"/>
      <c r="BH52" s="393"/>
      <c r="BI52" s="393"/>
      <c r="BJ52" s="393"/>
      <c r="BK52" s="513"/>
      <c r="BR52" s="513"/>
      <c r="BS52" s="393"/>
      <c r="BT52" s="393"/>
      <c r="BU52" s="393"/>
      <c r="CA52" s="393"/>
      <c r="CB52" s="393"/>
      <c r="CC52" s="393"/>
      <c r="CD52" s="393"/>
      <c r="CE52" s="959"/>
    </row>
    <row r="53" spans="1:83" x14ac:dyDescent="0.25">
      <c r="B53" s="729">
        <f>HLOOKUP(Start!$B$17,$D$1:$DD$75,+C53, FALSE)</f>
        <v>0</v>
      </c>
      <c r="C53" s="426">
        <f t="shared" si="0"/>
        <v>53</v>
      </c>
      <c r="D53" s="520"/>
      <c r="F53" s="520"/>
      <c r="AK53" s="520"/>
      <c r="AS53" s="520"/>
      <c r="AV53" s="520"/>
      <c r="BK53" s="520"/>
      <c r="BR53" s="520"/>
      <c r="CE53" s="963"/>
    </row>
    <row r="54" spans="1:83" s="357" customFormat="1" ht="12.75" x14ac:dyDescent="0.2">
      <c r="A54" s="467" t="s">
        <v>463</v>
      </c>
      <c r="B54" s="729">
        <f>HLOOKUP(Start!$B$17,$D$1:$DD$75,+C54, FALSE)</f>
        <v>0</v>
      </c>
      <c r="C54" s="426">
        <f t="shared" si="0"/>
        <v>54</v>
      </c>
      <c r="D54" s="513"/>
      <c r="E54" s="1109"/>
      <c r="F54" s="513"/>
      <c r="G54" s="384"/>
      <c r="H54" s="384"/>
      <c r="R54" s="384"/>
      <c r="S54" s="393"/>
      <c r="T54" s="393"/>
      <c r="U54" s="393"/>
      <c r="V54" s="393"/>
      <c r="W54" s="393"/>
      <c r="X54" s="393"/>
      <c r="Y54" s="393"/>
      <c r="Z54" s="393"/>
      <c r="AA54" s="393"/>
      <c r="AB54" s="393"/>
      <c r="AC54" s="393"/>
      <c r="AD54" s="393"/>
      <c r="AE54" s="393"/>
      <c r="AF54" s="393"/>
      <c r="AG54" s="393"/>
      <c r="AH54" s="393"/>
      <c r="AI54" s="393"/>
      <c r="AJ54" s="393"/>
      <c r="AK54" s="513"/>
      <c r="AL54" s="393"/>
      <c r="AM54" s="393"/>
      <c r="AN54" s="393"/>
      <c r="AO54" s="393"/>
      <c r="AP54" s="393"/>
      <c r="AQ54" s="393"/>
      <c r="AR54" s="393"/>
      <c r="AS54" s="513"/>
      <c r="AT54" s="393"/>
      <c r="AV54" s="513"/>
      <c r="BH54" s="393"/>
      <c r="BI54" s="393"/>
      <c r="BJ54" s="393"/>
      <c r="BK54" s="513"/>
      <c r="BR54" s="513"/>
      <c r="BS54" s="393"/>
      <c r="BT54" s="393"/>
      <c r="BU54" s="393"/>
      <c r="CA54" s="393"/>
      <c r="CB54" s="393"/>
      <c r="CC54" s="393"/>
      <c r="CD54" s="393"/>
      <c r="CE54" s="959"/>
    </row>
    <row r="55" spans="1:83" s="357" customFormat="1" ht="12.75" x14ac:dyDescent="0.2">
      <c r="A55" s="468"/>
      <c r="B55" s="729">
        <f>HLOOKUP(Start!$B$17,$D$1:$DD$75,+C55, FALSE)</f>
        <v>0</v>
      </c>
      <c r="C55" s="426">
        <f t="shared" si="0"/>
        <v>55</v>
      </c>
      <c r="D55" s="513"/>
      <c r="E55" s="1109"/>
      <c r="F55" s="513"/>
      <c r="G55" s="384"/>
      <c r="H55" s="384"/>
      <c r="R55" s="384"/>
      <c r="S55" s="393"/>
      <c r="T55" s="393"/>
      <c r="U55" s="393"/>
      <c r="V55" s="393"/>
      <c r="W55" s="393"/>
      <c r="X55" s="393"/>
      <c r="Y55" s="393"/>
      <c r="Z55" s="393"/>
      <c r="AA55" s="393"/>
      <c r="AB55" s="393"/>
      <c r="AC55" s="393"/>
      <c r="AD55" s="393"/>
      <c r="AE55" s="393"/>
      <c r="AF55" s="393"/>
      <c r="AG55" s="393"/>
      <c r="AH55" s="393"/>
      <c r="AI55" s="393"/>
      <c r="AJ55" s="393"/>
      <c r="AK55" s="513"/>
      <c r="AL55" s="393"/>
      <c r="AM55" s="393"/>
      <c r="AN55" s="393"/>
      <c r="AO55" s="393"/>
      <c r="AP55" s="393"/>
      <c r="AQ55" s="393"/>
      <c r="AR55" s="393"/>
      <c r="AS55" s="513"/>
      <c r="AT55" s="393"/>
      <c r="AV55" s="513"/>
      <c r="BH55" s="393"/>
      <c r="BI55" s="393"/>
      <c r="BJ55" s="393"/>
      <c r="BK55" s="513"/>
      <c r="BR55" s="513"/>
      <c r="BS55" s="393"/>
      <c r="BT55" s="393"/>
      <c r="BU55" s="393"/>
      <c r="CA55" s="393"/>
      <c r="CB55" s="393"/>
      <c r="CC55" s="393"/>
      <c r="CD55" s="393"/>
      <c r="CE55" s="959"/>
    </row>
    <row r="56" spans="1:83" s="382" customFormat="1" ht="12.75" x14ac:dyDescent="0.25">
      <c r="A56" s="465" t="s">
        <v>483</v>
      </c>
      <c r="B56" s="729"/>
      <c r="C56" s="426">
        <f t="shared" si="0"/>
        <v>56</v>
      </c>
      <c r="D56" s="512"/>
      <c r="E56" s="826"/>
      <c r="F56" s="512"/>
      <c r="G56" s="388"/>
      <c r="H56" s="388"/>
      <c r="R56" s="388"/>
      <c r="S56" s="466"/>
      <c r="T56" s="466"/>
      <c r="U56" s="466"/>
      <c r="V56" s="466"/>
      <c r="W56" s="466"/>
      <c r="X56" s="466"/>
      <c r="Y56" s="466"/>
      <c r="Z56" s="466"/>
      <c r="AA56" s="466"/>
      <c r="AB56" s="466"/>
      <c r="AC56" s="466"/>
      <c r="AD56" s="466"/>
      <c r="AE56" s="466"/>
      <c r="AF56" s="466"/>
      <c r="AG56" s="466"/>
      <c r="AH56" s="466"/>
      <c r="AI56" s="466"/>
      <c r="AJ56" s="466"/>
      <c r="AK56" s="512"/>
      <c r="AL56" s="466"/>
      <c r="AM56" s="466"/>
      <c r="AN56" s="466"/>
      <c r="AO56" s="466"/>
      <c r="AP56" s="466"/>
      <c r="AQ56" s="466"/>
      <c r="AR56" s="466"/>
      <c r="AS56" s="512"/>
      <c r="AT56" s="466"/>
      <c r="AV56" s="512"/>
      <c r="BH56" s="466"/>
      <c r="BI56" s="466"/>
      <c r="BJ56" s="393"/>
      <c r="BK56" s="512"/>
      <c r="BR56" s="512"/>
      <c r="BS56" s="466"/>
      <c r="BT56" s="466"/>
      <c r="BU56" s="466"/>
      <c r="CA56" s="466"/>
      <c r="CB56" s="466"/>
      <c r="CC56" s="466"/>
      <c r="CD56" s="466"/>
      <c r="CE56" s="959"/>
    </row>
    <row r="57" spans="1:83" s="357" customFormat="1" ht="24" x14ac:dyDescent="0.25">
      <c r="A57" s="489" t="s">
        <v>517</v>
      </c>
      <c r="B57" s="731">
        <f>HLOOKUP(Start!$B$17,$D$1:$DD$75,+C57, FALSE)</f>
        <v>0</v>
      </c>
      <c r="C57" s="426">
        <f t="shared" si="0"/>
        <v>57</v>
      </c>
      <c r="D57" s="518"/>
      <c r="E57" s="1119"/>
      <c r="F57" s="518"/>
      <c r="G57" s="384"/>
      <c r="H57" s="384"/>
      <c r="R57" s="384"/>
      <c r="S57" s="393"/>
      <c r="T57" s="393"/>
      <c r="U57" s="393"/>
      <c r="V57" s="393"/>
      <c r="W57" s="393"/>
      <c r="X57" s="393"/>
      <c r="Y57" s="393"/>
      <c r="Z57" s="393"/>
      <c r="AA57" s="393"/>
      <c r="AB57" s="393"/>
      <c r="AC57" s="393"/>
      <c r="AD57" s="393"/>
      <c r="AE57" s="393"/>
      <c r="AF57" s="393"/>
      <c r="AG57" s="393"/>
      <c r="AH57" s="393"/>
      <c r="AI57" s="393"/>
      <c r="AJ57" s="393"/>
      <c r="AK57" s="518"/>
      <c r="AL57" s="393"/>
      <c r="AM57" s="393"/>
      <c r="AN57" s="393"/>
      <c r="AO57" s="393"/>
      <c r="AP57" s="393"/>
      <c r="AQ57" s="393"/>
      <c r="AR57" s="393"/>
      <c r="AS57" s="518"/>
      <c r="AT57" s="393"/>
      <c r="AV57" s="518"/>
      <c r="BH57" s="393"/>
      <c r="BI57" s="393"/>
      <c r="BJ57" s="393"/>
      <c r="BK57" s="518"/>
      <c r="BR57" s="518"/>
      <c r="BS57" s="393"/>
      <c r="BT57" s="393"/>
      <c r="BU57" s="393"/>
      <c r="CA57" s="393"/>
      <c r="CB57" s="393"/>
      <c r="CC57" s="393"/>
      <c r="CD57" s="393"/>
      <c r="CE57" s="959"/>
    </row>
    <row r="58" spans="1:83" s="357" customFormat="1" ht="24" x14ac:dyDescent="0.25">
      <c r="A58" s="489" t="s">
        <v>518</v>
      </c>
      <c r="B58" s="729">
        <f>HLOOKUP(Start!$B$17,$D$1:$DD$75,+C58, FALSE)</f>
        <v>0</v>
      </c>
      <c r="C58" s="426">
        <f t="shared" si="0"/>
        <v>58</v>
      </c>
      <c r="D58" s="516"/>
      <c r="E58" s="1110"/>
      <c r="F58" s="516"/>
      <c r="G58" s="384"/>
      <c r="H58" s="384"/>
      <c r="R58" s="384"/>
      <c r="S58" s="393"/>
      <c r="T58" s="393"/>
      <c r="U58" s="393"/>
      <c r="V58" s="393"/>
      <c r="W58" s="393"/>
      <c r="X58" s="393"/>
      <c r="Y58" s="393"/>
      <c r="Z58" s="393"/>
      <c r="AA58" s="393"/>
      <c r="AB58" s="393"/>
      <c r="AC58" s="393"/>
      <c r="AD58" s="393"/>
      <c r="AE58" s="393"/>
      <c r="AF58" s="393"/>
      <c r="AG58" s="393"/>
      <c r="AH58" s="393"/>
      <c r="AI58" s="393"/>
      <c r="AJ58" s="393"/>
      <c r="AK58" s="516"/>
      <c r="AL58" s="393"/>
      <c r="AM58" s="393"/>
      <c r="AN58" s="393"/>
      <c r="AO58" s="393"/>
      <c r="AP58" s="393"/>
      <c r="AQ58" s="393"/>
      <c r="AR58" s="393"/>
      <c r="AS58" s="516"/>
      <c r="AT58" s="393"/>
      <c r="AV58" s="516"/>
      <c r="BH58" s="393"/>
      <c r="BI58" s="393"/>
      <c r="BJ58" s="393"/>
      <c r="BK58" s="516"/>
      <c r="BR58" s="516"/>
      <c r="BS58" s="393"/>
      <c r="BT58" s="393"/>
      <c r="BU58" s="393"/>
      <c r="CA58" s="393"/>
      <c r="CB58" s="393"/>
      <c r="CC58" s="393"/>
      <c r="CD58" s="393"/>
      <c r="CE58" s="959"/>
    </row>
    <row r="59" spans="1:83" s="357" customFormat="1" ht="24" x14ac:dyDescent="0.25">
      <c r="A59" s="489" t="s">
        <v>491</v>
      </c>
      <c r="B59" s="732">
        <f>HLOOKUP(Start!$B$17,$D$1:$DD$75,+C59, FALSE)</f>
        <v>0</v>
      </c>
      <c r="C59" s="426">
        <f t="shared" si="0"/>
        <v>59</v>
      </c>
      <c r="D59" s="519"/>
      <c r="E59" s="1120"/>
      <c r="F59" s="519"/>
      <c r="G59" s="384"/>
      <c r="H59" s="384"/>
      <c r="R59" s="384"/>
      <c r="S59" s="393"/>
      <c r="T59" s="393"/>
      <c r="U59" s="393"/>
      <c r="V59" s="393"/>
      <c r="W59" s="393"/>
      <c r="X59" s="393"/>
      <c r="Y59" s="393"/>
      <c r="Z59" s="393"/>
      <c r="AA59" s="393"/>
      <c r="AB59" s="393"/>
      <c r="AC59" s="393"/>
      <c r="AD59" s="393"/>
      <c r="AE59" s="393"/>
      <c r="AF59" s="393"/>
      <c r="AG59" s="393"/>
      <c r="AH59" s="393"/>
      <c r="AI59" s="393"/>
      <c r="AJ59" s="393"/>
      <c r="AK59" s="519"/>
      <c r="AL59" s="393"/>
      <c r="AM59" s="393"/>
      <c r="AN59" s="393"/>
      <c r="AO59" s="393"/>
      <c r="AP59" s="393"/>
      <c r="AQ59" s="393"/>
      <c r="AR59" s="393"/>
      <c r="AS59" s="519"/>
      <c r="AT59" s="393"/>
      <c r="AV59" s="519"/>
      <c r="BH59" s="393"/>
      <c r="BI59" s="393"/>
      <c r="BJ59" s="393"/>
      <c r="BK59" s="519"/>
      <c r="BR59" s="519"/>
      <c r="BS59" s="393"/>
      <c r="BT59" s="393"/>
      <c r="BU59" s="393"/>
      <c r="CA59" s="393"/>
      <c r="CB59" s="393"/>
      <c r="CC59" s="393"/>
      <c r="CD59" s="393"/>
      <c r="CE59" s="959"/>
    </row>
    <row r="60" spans="1:83" s="382" customFormat="1" ht="12.75" x14ac:dyDescent="0.25">
      <c r="A60" s="465" t="s">
        <v>484</v>
      </c>
      <c r="B60" s="729"/>
      <c r="C60" s="426">
        <f t="shared" si="0"/>
        <v>60</v>
      </c>
      <c r="D60" s="512"/>
      <c r="E60" s="826"/>
      <c r="F60" s="512"/>
      <c r="G60" s="388"/>
      <c r="H60" s="388"/>
      <c r="R60" s="388"/>
      <c r="S60" s="466"/>
      <c r="T60" s="466"/>
      <c r="U60" s="466"/>
      <c r="V60" s="466"/>
      <c r="W60" s="466"/>
      <c r="X60" s="466"/>
      <c r="Y60" s="466"/>
      <c r="Z60" s="466"/>
      <c r="AA60" s="466"/>
      <c r="AB60" s="466"/>
      <c r="AC60" s="466"/>
      <c r="AD60" s="466"/>
      <c r="AE60" s="466"/>
      <c r="AF60" s="466"/>
      <c r="AG60" s="466"/>
      <c r="AH60" s="466"/>
      <c r="AI60" s="466"/>
      <c r="AJ60" s="466"/>
      <c r="AK60" s="512"/>
      <c r="AL60" s="466"/>
      <c r="AM60" s="466"/>
      <c r="AN60" s="466"/>
      <c r="AO60" s="466"/>
      <c r="AP60" s="466"/>
      <c r="AQ60" s="466"/>
      <c r="AR60" s="466"/>
      <c r="AS60" s="512"/>
      <c r="AT60" s="466"/>
      <c r="AV60" s="512"/>
      <c r="BH60" s="466"/>
      <c r="BI60" s="466"/>
      <c r="BJ60" s="393"/>
      <c r="BK60" s="512"/>
      <c r="BR60" s="512"/>
      <c r="BS60" s="466"/>
      <c r="BT60" s="466"/>
      <c r="BU60" s="466"/>
      <c r="CA60" s="466"/>
      <c r="CB60" s="466"/>
      <c r="CC60" s="466"/>
      <c r="CD60" s="466"/>
      <c r="CE60" s="959"/>
    </row>
    <row r="61" spans="1:83" s="357" customFormat="1" ht="12.75" x14ac:dyDescent="0.2">
      <c r="A61" s="467" t="s">
        <v>453</v>
      </c>
      <c r="B61" s="729">
        <f>HLOOKUP(Start!$B$17,$D$1:$DD$75,+C61, FALSE)</f>
        <v>0</v>
      </c>
      <c r="C61" s="426">
        <f t="shared" si="0"/>
        <v>61</v>
      </c>
      <c r="D61" s="521"/>
      <c r="E61" s="1121"/>
      <c r="F61" s="521"/>
      <c r="G61" s="384"/>
      <c r="H61" s="384"/>
      <c r="R61" s="384"/>
      <c r="S61" s="393"/>
      <c r="T61" s="393"/>
      <c r="U61" s="393"/>
      <c r="V61" s="393"/>
      <c r="W61" s="393"/>
      <c r="X61" s="393"/>
      <c r="Y61" s="393"/>
      <c r="Z61" s="393"/>
      <c r="AA61" s="393"/>
      <c r="AB61" s="393"/>
      <c r="AC61" s="393"/>
      <c r="AD61" s="393"/>
      <c r="AE61" s="393"/>
      <c r="AF61" s="393"/>
      <c r="AG61" s="393"/>
      <c r="AH61" s="393"/>
      <c r="AI61" s="393"/>
      <c r="AJ61" s="393"/>
      <c r="AK61" s="521"/>
      <c r="AL61" s="393"/>
      <c r="AM61" s="393"/>
      <c r="AN61" s="393"/>
      <c r="AO61" s="393"/>
      <c r="AP61" s="393"/>
      <c r="AQ61" s="393"/>
      <c r="AR61" s="393"/>
      <c r="AS61" s="521"/>
      <c r="AT61" s="393"/>
      <c r="AV61" s="521"/>
      <c r="BH61" s="393"/>
      <c r="BI61" s="393"/>
      <c r="BJ61" s="393"/>
      <c r="BK61" s="521"/>
      <c r="BR61" s="521"/>
      <c r="BS61" s="393"/>
      <c r="BT61" s="393"/>
      <c r="BU61" s="393"/>
      <c r="CA61" s="393"/>
      <c r="CB61" s="393"/>
      <c r="CC61" s="393"/>
      <c r="CD61" s="393"/>
      <c r="CE61" s="959"/>
    </row>
    <row r="62" spans="1:83" s="357" customFormat="1" ht="12.75" x14ac:dyDescent="0.2">
      <c r="A62" s="467" t="s">
        <v>460</v>
      </c>
      <c r="B62" s="729">
        <f>HLOOKUP(Start!$B$17,$D$1:$DD$75,+C62, FALSE)</f>
        <v>0</v>
      </c>
      <c r="C62" s="426">
        <f t="shared" si="0"/>
        <v>62</v>
      </c>
      <c r="D62" s="521"/>
      <c r="E62" s="1121"/>
      <c r="F62" s="521"/>
      <c r="G62" s="384"/>
      <c r="H62" s="384"/>
      <c r="R62" s="384"/>
      <c r="S62" s="393"/>
      <c r="T62" s="393"/>
      <c r="U62" s="393"/>
      <c r="V62" s="393"/>
      <c r="W62" s="393"/>
      <c r="X62" s="393"/>
      <c r="Y62" s="393"/>
      <c r="Z62" s="393"/>
      <c r="AA62" s="393"/>
      <c r="AB62" s="393"/>
      <c r="AC62" s="393"/>
      <c r="AD62" s="393"/>
      <c r="AE62" s="393"/>
      <c r="AF62" s="393"/>
      <c r="AG62" s="393"/>
      <c r="AH62" s="393"/>
      <c r="AI62" s="393"/>
      <c r="AJ62" s="393"/>
      <c r="AK62" s="521"/>
      <c r="AL62" s="393"/>
      <c r="AM62" s="393"/>
      <c r="AN62" s="393"/>
      <c r="AO62" s="393"/>
      <c r="AP62" s="393"/>
      <c r="AQ62" s="393"/>
      <c r="AR62" s="393"/>
      <c r="AS62" s="521"/>
      <c r="AT62" s="393"/>
      <c r="AV62" s="521"/>
      <c r="BH62" s="393"/>
      <c r="BI62" s="393"/>
      <c r="BJ62" s="393"/>
      <c r="BK62" s="521"/>
      <c r="BR62" s="521"/>
      <c r="BS62" s="393"/>
      <c r="BT62" s="393"/>
      <c r="BU62" s="393"/>
      <c r="CA62" s="393"/>
      <c r="CB62" s="393"/>
      <c r="CC62" s="393"/>
      <c r="CD62" s="393"/>
      <c r="CE62" s="959"/>
    </row>
    <row r="63" spans="1:83" s="357" customFormat="1" ht="12.75" x14ac:dyDescent="0.2">
      <c r="A63" s="467" t="s">
        <v>454</v>
      </c>
      <c r="B63" s="729">
        <f>HLOOKUP(Start!$B$17,$D$1:$DD$75,+C63, FALSE)</f>
        <v>0</v>
      </c>
      <c r="C63" s="426">
        <f t="shared" si="0"/>
        <v>63</v>
      </c>
      <c r="D63" s="521"/>
      <c r="E63" s="1121"/>
      <c r="F63" s="521"/>
      <c r="G63" s="384"/>
      <c r="H63" s="384"/>
      <c r="R63" s="384"/>
      <c r="S63" s="393"/>
      <c r="T63" s="393"/>
      <c r="U63" s="393"/>
      <c r="V63" s="393"/>
      <c r="W63" s="393"/>
      <c r="X63" s="393"/>
      <c r="Y63" s="393"/>
      <c r="Z63" s="393"/>
      <c r="AA63" s="393"/>
      <c r="AB63" s="393"/>
      <c r="AC63" s="393"/>
      <c r="AD63" s="393"/>
      <c r="AE63" s="393"/>
      <c r="AF63" s="393"/>
      <c r="AG63" s="393"/>
      <c r="AH63" s="393"/>
      <c r="AI63" s="393"/>
      <c r="AJ63" s="393"/>
      <c r="AK63" s="521"/>
      <c r="AL63" s="393"/>
      <c r="AM63" s="393"/>
      <c r="AN63" s="393"/>
      <c r="AO63" s="393"/>
      <c r="AP63" s="393"/>
      <c r="AQ63" s="393"/>
      <c r="AR63" s="393"/>
      <c r="AS63" s="521"/>
      <c r="AT63" s="393"/>
      <c r="AV63" s="521"/>
      <c r="BH63" s="393"/>
      <c r="BI63" s="393"/>
      <c r="BJ63" s="393"/>
      <c r="BK63" s="521"/>
      <c r="BR63" s="521"/>
      <c r="BS63" s="393"/>
      <c r="BT63" s="393"/>
      <c r="BU63" s="393"/>
      <c r="CA63" s="393"/>
      <c r="CB63" s="393"/>
      <c r="CC63" s="393"/>
      <c r="CD63" s="393"/>
      <c r="CE63" s="959"/>
    </row>
    <row r="64" spans="1:83" s="357" customFormat="1" ht="12.75" x14ac:dyDescent="0.2">
      <c r="A64" s="467" t="s">
        <v>447</v>
      </c>
      <c r="B64" s="729">
        <f>HLOOKUP(Start!$B$17,$D$1:$DD$75,+C64, FALSE)</f>
        <v>0</v>
      </c>
      <c r="C64" s="426">
        <f t="shared" si="0"/>
        <v>64</v>
      </c>
      <c r="D64" s="521"/>
      <c r="E64" s="1121"/>
      <c r="F64" s="521"/>
      <c r="G64" s="384"/>
      <c r="H64" s="384"/>
      <c r="R64" s="384"/>
      <c r="S64" s="393"/>
      <c r="T64" s="393"/>
      <c r="U64" s="393"/>
      <c r="V64" s="393"/>
      <c r="W64" s="393"/>
      <c r="X64" s="393"/>
      <c r="Y64" s="393"/>
      <c r="Z64" s="393"/>
      <c r="AA64" s="393"/>
      <c r="AB64" s="393"/>
      <c r="AC64" s="393"/>
      <c r="AD64" s="393"/>
      <c r="AE64" s="393"/>
      <c r="AF64" s="393"/>
      <c r="AG64" s="393"/>
      <c r="AH64" s="393"/>
      <c r="AI64" s="393"/>
      <c r="AJ64" s="393"/>
      <c r="AK64" s="521"/>
      <c r="AL64" s="393"/>
      <c r="AM64" s="393"/>
      <c r="AN64" s="393"/>
      <c r="AO64" s="393"/>
      <c r="AP64" s="393"/>
      <c r="AQ64" s="393"/>
      <c r="AR64" s="393"/>
      <c r="AS64" s="521"/>
      <c r="AT64" s="393"/>
      <c r="AV64" s="521"/>
      <c r="BH64" s="393"/>
      <c r="BI64" s="393"/>
      <c r="BJ64" s="393"/>
      <c r="BK64" s="521"/>
      <c r="BR64" s="521"/>
      <c r="BS64" s="393"/>
      <c r="BT64" s="393"/>
      <c r="BU64" s="393"/>
      <c r="CA64" s="393"/>
      <c r="CB64" s="393"/>
      <c r="CC64" s="393"/>
      <c r="CD64" s="393"/>
      <c r="CE64" s="959"/>
    </row>
    <row r="65" spans="1:83" s="357" customFormat="1" ht="12.75" x14ac:dyDescent="0.2">
      <c r="A65" s="467" t="s">
        <v>448</v>
      </c>
      <c r="B65" s="729">
        <f>HLOOKUP(Start!$B$17,$D$1:$DD$75,+C65, FALSE)</f>
        <v>0</v>
      </c>
      <c r="C65" s="426">
        <f t="shared" si="0"/>
        <v>65</v>
      </c>
      <c r="D65" s="521"/>
      <c r="E65" s="1121"/>
      <c r="F65" s="521"/>
      <c r="G65" s="384"/>
      <c r="H65" s="384"/>
      <c r="R65" s="384"/>
      <c r="S65" s="393"/>
      <c r="T65" s="393"/>
      <c r="U65" s="393"/>
      <c r="V65" s="393"/>
      <c r="W65" s="393"/>
      <c r="X65" s="393"/>
      <c r="Y65" s="393"/>
      <c r="Z65" s="393"/>
      <c r="AA65" s="393"/>
      <c r="AB65" s="393"/>
      <c r="AC65" s="393"/>
      <c r="AD65" s="393"/>
      <c r="AE65" s="393"/>
      <c r="AF65" s="393"/>
      <c r="AG65" s="393"/>
      <c r="AH65" s="393"/>
      <c r="AI65" s="393"/>
      <c r="AJ65" s="393"/>
      <c r="AK65" s="521"/>
      <c r="AL65" s="393"/>
      <c r="AM65" s="393"/>
      <c r="AN65" s="393"/>
      <c r="AO65" s="393"/>
      <c r="AP65" s="393"/>
      <c r="AQ65" s="393"/>
      <c r="AR65" s="393"/>
      <c r="AS65" s="521"/>
      <c r="AT65" s="393"/>
      <c r="AV65" s="521"/>
      <c r="BH65" s="393"/>
      <c r="BI65" s="393"/>
      <c r="BJ65" s="393"/>
      <c r="BK65" s="521"/>
      <c r="BR65" s="521"/>
      <c r="BS65" s="393"/>
      <c r="BT65" s="393"/>
      <c r="BU65" s="393"/>
      <c r="CA65" s="393"/>
      <c r="CB65" s="393"/>
      <c r="CC65" s="393"/>
      <c r="CD65" s="393"/>
      <c r="CE65" s="959"/>
    </row>
    <row r="66" spans="1:83" s="357" customFormat="1" ht="12.75" x14ac:dyDescent="0.2">
      <c r="A66" s="467" t="s">
        <v>464</v>
      </c>
      <c r="B66" s="729">
        <f>HLOOKUP(Start!$B$17,$D$1:$DD$75,+C66, FALSE)</f>
        <v>0</v>
      </c>
      <c r="C66" s="426">
        <f t="shared" si="0"/>
        <v>66</v>
      </c>
      <c r="D66" s="521"/>
      <c r="E66" s="1121"/>
      <c r="F66" s="521"/>
      <c r="G66" s="384"/>
      <c r="H66" s="384"/>
      <c r="R66" s="384"/>
      <c r="S66" s="393"/>
      <c r="T66" s="393"/>
      <c r="U66" s="393"/>
      <c r="V66" s="393"/>
      <c r="W66" s="393"/>
      <c r="X66" s="393"/>
      <c r="Y66" s="393"/>
      <c r="Z66" s="393"/>
      <c r="AA66" s="393"/>
      <c r="AB66" s="393"/>
      <c r="AC66" s="393"/>
      <c r="AD66" s="393"/>
      <c r="AE66" s="393"/>
      <c r="AF66" s="393"/>
      <c r="AG66" s="393"/>
      <c r="AH66" s="393"/>
      <c r="AI66" s="393"/>
      <c r="AJ66" s="393"/>
      <c r="AK66" s="521"/>
      <c r="AL66" s="393"/>
      <c r="AM66" s="393"/>
      <c r="AN66" s="393"/>
      <c r="AO66" s="393"/>
      <c r="AP66" s="393"/>
      <c r="AQ66" s="393"/>
      <c r="AR66" s="393"/>
      <c r="AS66" s="521"/>
      <c r="AT66" s="393"/>
      <c r="AV66" s="521"/>
      <c r="BH66" s="393"/>
      <c r="BI66" s="393"/>
      <c r="BJ66" s="393"/>
      <c r="BK66" s="521"/>
      <c r="BR66" s="521"/>
      <c r="BS66" s="393"/>
      <c r="BT66" s="393"/>
      <c r="BU66" s="393"/>
      <c r="CA66" s="393"/>
      <c r="CB66" s="393"/>
      <c r="CC66" s="393"/>
      <c r="CD66" s="393"/>
      <c r="CE66" s="959"/>
    </row>
    <row r="67" spans="1:83" s="357" customFormat="1" ht="12.75" x14ac:dyDescent="0.2">
      <c r="A67" s="467" t="s">
        <v>455</v>
      </c>
      <c r="B67" s="729">
        <f>HLOOKUP(Start!$B$17,$D$1:$DD$75,+C67, FALSE)</f>
        <v>0</v>
      </c>
      <c r="C67" s="426">
        <f t="shared" ref="C67:C74" si="3">+C66+1</f>
        <v>67</v>
      </c>
      <c r="D67" s="522"/>
      <c r="E67" s="1122"/>
      <c r="F67" s="522"/>
      <c r="G67" s="384"/>
      <c r="H67" s="384"/>
      <c r="R67" s="384"/>
      <c r="S67" s="393"/>
      <c r="T67" s="393"/>
      <c r="U67" s="393"/>
      <c r="V67" s="393"/>
      <c r="W67" s="393"/>
      <c r="X67" s="393"/>
      <c r="Y67" s="393"/>
      <c r="Z67" s="393"/>
      <c r="AA67" s="393"/>
      <c r="AB67" s="393"/>
      <c r="AC67" s="393"/>
      <c r="AD67" s="393"/>
      <c r="AE67" s="393"/>
      <c r="AF67" s="393"/>
      <c r="AG67" s="393"/>
      <c r="AH67" s="393"/>
      <c r="AI67" s="393"/>
      <c r="AJ67" s="393"/>
      <c r="AK67" s="522"/>
      <c r="AL67" s="393"/>
      <c r="AM67" s="393"/>
      <c r="AN67" s="393"/>
      <c r="AO67" s="393"/>
      <c r="AP67" s="393"/>
      <c r="AQ67" s="393"/>
      <c r="AR67" s="393"/>
      <c r="AS67" s="522"/>
      <c r="AT67" s="393"/>
      <c r="AV67" s="522"/>
      <c r="BH67" s="393"/>
      <c r="BI67" s="393"/>
      <c r="BJ67" s="393"/>
      <c r="BK67" s="522"/>
      <c r="BR67" s="522"/>
      <c r="BS67" s="393"/>
      <c r="BT67" s="393"/>
      <c r="BU67" s="393"/>
      <c r="CA67" s="393"/>
      <c r="CB67" s="393"/>
      <c r="CC67" s="393"/>
      <c r="CD67" s="393"/>
      <c r="CE67" s="959"/>
    </row>
    <row r="68" spans="1:83" s="357" customFormat="1" ht="12.75" x14ac:dyDescent="0.2">
      <c r="A68" s="467" t="s">
        <v>456</v>
      </c>
      <c r="B68" s="729">
        <f>HLOOKUP(Start!$B$17,$D$1:$DD$75,+C68, FALSE)</f>
        <v>0</v>
      </c>
      <c r="C68" s="426">
        <f t="shared" si="3"/>
        <v>68</v>
      </c>
      <c r="D68" s="521"/>
      <c r="E68" s="1121"/>
      <c r="F68" s="521"/>
      <c r="G68" s="384"/>
      <c r="H68" s="384"/>
      <c r="R68" s="384"/>
      <c r="S68" s="393"/>
      <c r="T68" s="393"/>
      <c r="U68" s="393"/>
      <c r="V68" s="393"/>
      <c r="W68" s="393"/>
      <c r="X68" s="393"/>
      <c r="Y68" s="393"/>
      <c r="Z68" s="393"/>
      <c r="AA68" s="393"/>
      <c r="AB68" s="393"/>
      <c r="AC68" s="393"/>
      <c r="AD68" s="393"/>
      <c r="AE68" s="393"/>
      <c r="AF68" s="393"/>
      <c r="AG68" s="393"/>
      <c r="AH68" s="393"/>
      <c r="AI68" s="393"/>
      <c r="AJ68" s="393"/>
      <c r="AK68" s="521"/>
      <c r="AL68" s="393"/>
      <c r="AM68" s="393"/>
      <c r="AN68" s="393"/>
      <c r="AO68" s="393"/>
      <c r="AP68" s="393"/>
      <c r="AQ68" s="393"/>
      <c r="AR68" s="393"/>
      <c r="AS68" s="521"/>
      <c r="AT68" s="393"/>
      <c r="AV68" s="521"/>
      <c r="BH68" s="393"/>
      <c r="BI68" s="393"/>
      <c r="BJ68" s="393"/>
      <c r="BK68" s="521"/>
      <c r="BR68" s="521"/>
      <c r="BS68" s="393"/>
      <c r="BT68" s="393"/>
      <c r="BU68" s="393"/>
      <c r="CA68" s="393"/>
      <c r="CB68" s="393"/>
      <c r="CC68" s="393"/>
      <c r="CD68" s="393"/>
      <c r="CE68" s="959"/>
    </row>
    <row r="69" spans="1:83" s="357" customFormat="1" ht="12.75" x14ac:dyDescent="0.2">
      <c r="A69" s="467" t="s">
        <v>457</v>
      </c>
      <c r="B69" s="729">
        <f>HLOOKUP(Start!$B$17,$D$1:$DD$75,+C69, FALSE)</f>
        <v>0</v>
      </c>
      <c r="C69" s="426">
        <f t="shared" si="3"/>
        <v>69</v>
      </c>
      <c r="D69" s="521"/>
      <c r="E69" s="1121"/>
      <c r="F69" s="521"/>
      <c r="G69" s="384"/>
      <c r="H69" s="384"/>
      <c r="R69" s="384"/>
      <c r="S69" s="393"/>
      <c r="T69" s="393"/>
      <c r="U69" s="393"/>
      <c r="V69" s="393"/>
      <c r="W69" s="393"/>
      <c r="X69" s="393"/>
      <c r="Y69" s="393"/>
      <c r="Z69" s="393"/>
      <c r="AA69" s="393"/>
      <c r="AB69" s="393"/>
      <c r="AC69" s="393"/>
      <c r="AD69" s="393"/>
      <c r="AE69" s="393"/>
      <c r="AF69" s="393"/>
      <c r="AG69" s="393"/>
      <c r="AH69" s="393"/>
      <c r="AI69" s="393"/>
      <c r="AJ69" s="393"/>
      <c r="AK69" s="521"/>
      <c r="AL69" s="393"/>
      <c r="AM69" s="393"/>
      <c r="AN69" s="393"/>
      <c r="AO69" s="393"/>
      <c r="AP69" s="393"/>
      <c r="AQ69" s="393"/>
      <c r="AR69" s="393"/>
      <c r="AS69" s="521"/>
      <c r="AT69" s="393"/>
      <c r="AV69" s="521"/>
      <c r="BH69" s="393"/>
      <c r="BI69" s="393"/>
      <c r="BJ69" s="393"/>
      <c r="BK69" s="521"/>
      <c r="BR69" s="521"/>
      <c r="BS69" s="393"/>
      <c r="BT69" s="393"/>
      <c r="BU69" s="393"/>
      <c r="CA69" s="393"/>
      <c r="CB69" s="393"/>
      <c r="CC69" s="393"/>
      <c r="CD69" s="393"/>
      <c r="CE69" s="959"/>
    </row>
    <row r="70" spans="1:83" s="357" customFormat="1" ht="12.75" x14ac:dyDescent="0.2">
      <c r="A70" s="467" t="s">
        <v>458</v>
      </c>
      <c r="B70" s="729">
        <f>HLOOKUP(Start!$B$17,$D$1:$DD$75,+C70, FALSE)</f>
        <v>0</v>
      </c>
      <c r="C70" s="426">
        <f t="shared" si="3"/>
        <v>70</v>
      </c>
      <c r="D70" s="521"/>
      <c r="E70" s="1121"/>
      <c r="F70" s="521"/>
      <c r="G70" s="384"/>
      <c r="H70" s="384"/>
      <c r="R70" s="384"/>
      <c r="S70" s="393"/>
      <c r="T70" s="393"/>
      <c r="U70" s="393"/>
      <c r="V70" s="393"/>
      <c r="W70" s="393"/>
      <c r="X70" s="393"/>
      <c r="Y70" s="393"/>
      <c r="Z70" s="393"/>
      <c r="AA70" s="393"/>
      <c r="AB70" s="393"/>
      <c r="AC70" s="393"/>
      <c r="AD70" s="393"/>
      <c r="AE70" s="393"/>
      <c r="AF70" s="393"/>
      <c r="AG70" s="393"/>
      <c r="AH70" s="393"/>
      <c r="AI70" s="393"/>
      <c r="AJ70" s="393"/>
      <c r="AK70" s="521"/>
      <c r="AL70" s="393"/>
      <c r="AM70" s="393"/>
      <c r="AN70" s="393"/>
      <c r="AO70" s="393"/>
      <c r="AP70" s="393"/>
      <c r="AQ70" s="393"/>
      <c r="AR70" s="393"/>
      <c r="AS70" s="521"/>
      <c r="AT70" s="393"/>
      <c r="AV70" s="521"/>
      <c r="BH70" s="393"/>
      <c r="BI70" s="393"/>
      <c r="BJ70" s="393"/>
      <c r="BK70" s="521"/>
      <c r="BR70" s="521"/>
      <c r="BS70" s="393"/>
      <c r="BT70" s="393"/>
      <c r="BU70" s="393"/>
      <c r="CA70" s="393"/>
      <c r="CB70" s="393"/>
      <c r="CC70" s="393"/>
      <c r="CD70" s="393"/>
      <c r="CE70" s="959"/>
    </row>
    <row r="71" spans="1:83" s="357" customFormat="1" ht="12.75" x14ac:dyDescent="0.2">
      <c r="A71" s="467" t="s">
        <v>461</v>
      </c>
      <c r="B71" s="729">
        <f>HLOOKUP(Start!$B$17,$D$1:$DD$75,+C71, FALSE)</f>
        <v>0</v>
      </c>
      <c r="C71" s="426">
        <f t="shared" si="3"/>
        <v>71</v>
      </c>
      <c r="D71" s="521"/>
      <c r="E71" s="1121"/>
      <c r="F71" s="521"/>
      <c r="G71" s="384"/>
      <c r="H71" s="384"/>
      <c r="R71" s="384"/>
      <c r="S71" s="393"/>
      <c r="T71" s="393"/>
      <c r="U71" s="393"/>
      <c r="V71" s="393"/>
      <c r="W71" s="393"/>
      <c r="X71" s="393"/>
      <c r="Y71" s="393"/>
      <c r="Z71" s="393"/>
      <c r="AA71" s="393"/>
      <c r="AB71" s="393"/>
      <c r="AC71" s="393"/>
      <c r="AD71" s="393"/>
      <c r="AE71" s="393"/>
      <c r="AF71" s="393"/>
      <c r="AG71" s="393"/>
      <c r="AH71" s="393"/>
      <c r="AI71" s="393"/>
      <c r="AJ71" s="393"/>
      <c r="AK71" s="521"/>
      <c r="AL71" s="393"/>
      <c r="AM71" s="393"/>
      <c r="AN71" s="393"/>
      <c r="AO71" s="393"/>
      <c r="AP71" s="393"/>
      <c r="AQ71" s="393"/>
      <c r="AR71" s="393"/>
      <c r="AS71" s="521"/>
      <c r="AT71" s="393"/>
      <c r="AV71" s="521"/>
      <c r="BH71" s="393"/>
      <c r="BI71" s="393"/>
      <c r="BJ71" s="393"/>
      <c r="BK71" s="521"/>
      <c r="BR71" s="521"/>
      <c r="BS71" s="393"/>
      <c r="BT71" s="393"/>
      <c r="BU71" s="393"/>
      <c r="CA71" s="393"/>
      <c r="CB71" s="393"/>
      <c r="CC71" s="393"/>
      <c r="CD71" s="393"/>
      <c r="CE71" s="959"/>
    </row>
    <row r="72" spans="1:83" s="357" customFormat="1" ht="12.75" x14ac:dyDescent="0.2">
      <c r="A72" s="467" t="s">
        <v>459</v>
      </c>
      <c r="B72" s="729">
        <f>HLOOKUP(Start!$B$17,$D$1:$DD$75,+C72, FALSE)</f>
        <v>0</v>
      </c>
      <c r="C72" s="426">
        <f t="shared" si="3"/>
        <v>72</v>
      </c>
      <c r="D72" s="513"/>
      <c r="E72" s="1109"/>
      <c r="F72" s="513"/>
      <c r="G72" s="384">
        <v>0</v>
      </c>
      <c r="H72" s="384"/>
      <c r="R72" s="384"/>
      <c r="S72" s="393"/>
      <c r="T72" s="393"/>
      <c r="U72" s="393"/>
      <c r="V72" s="393"/>
      <c r="W72" s="393"/>
      <c r="X72" s="393"/>
      <c r="Y72" s="393"/>
      <c r="Z72" s="393"/>
      <c r="AA72" s="393"/>
      <c r="AB72" s="393"/>
      <c r="AC72" s="393"/>
      <c r="AD72" s="393"/>
      <c r="AE72" s="393"/>
      <c r="AF72" s="393"/>
      <c r="AG72" s="393"/>
      <c r="AH72" s="393"/>
      <c r="AI72" s="393"/>
      <c r="AJ72" s="393"/>
      <c r="AK72" s="513"/>
      <c r="AL72" s="393"/>
      <c r="AM72" s="393"/>
      <c r="AN72" s="393"/>
      <c r="AO72" s="393"/>
      <c r="AP72" s="393"/>
      <c r="AQ72" s="393"/>
      <c r="AR72" s="393"/>
      <c r="AS72" s="513"/>
      <c r="AT72" s="393"/>
      <c r="AV72" s="513"/>
      <c r="BH72" s="393"/>
      <c r="BI72" s="393"/>
      <c r="BJ72" s="393"/>
      <c r="BK72" s="513"/>
      <c r="BR72" s="513"/>
      <c r="BS72" s="393"/>
      <c r="BT72" s="393"/>
      <c r="BU72" s="393"/>
      <c r="CA72" s="393"/>
      <c r="CB72" s="393"/>
      <c r="CC72" s="393"/>
      <c r="CD72" s="393"/>
      <c r="CE72" s="959"/>
    </row>
    <row r="73" spans="1:83" s="357" customFormat="1" ht="12.75" x14ac:dyDescent="0.2">
      <c r="A73" s="467" t="s">
        <v>463</v>
      </c>
      <c r="B73" s="729">
        <f>HLOOKUP(Start!$B$17,$D$1:$DD$75,+C73, FALSE)</f>
        <v>0</v>
      </c>
      <c r="C73" s="426">
        <f t="shared" si="3"/>
        <v>73</v>
      </c>
      <c r="D73" s="521"/>
      <c r="E73" s="1121"/>
      <c r="F73" s="521"/>
      <c r="G73" s="384"/>
      <c r="H73" s="384"/>
      <c r="R73" s="384"/>
      <c r="S73" s="393"/>
      <c r="T73" s="393"/>
      <c r="U73" s="393"/>
      <c r="V73" s="393"/>
      <c r="W73" s="393"/>
      <c r="X73" s="393"/>
      <c r="Y73" s="393"/>
      <c r="Z73" s="393"/>
      <c r="AA73" s="393"/>
      <c r="AB73" s="393"/>
      <c r="AC73" s="393"/>
      <c r="AD73" s="393"/>
      <c r="AE73" s="393"/>
      <c r="AF73" s="393"/>
      <c r="AG73" s="393"/>
      <c r="AH73" s="393"/>
      <c r="AI73" s="393"/>
      <c r="AJ73" s="393"/>
      <c r="AK73" s="521"/>
      <c r="AL73" s="393"/>
      <c r="AM73" s="393"/>
      <c r="AN73" s="393"/>
      <c r="AO73" s="393"/>
      <c r="AP73" s="393"/>
      <c r="AQ73" s="393"/>
      <c r="AR73" s="393"/>
      <c r="AS73" s="521"/>
      <c r="AT73" s="393"/>
      <c r="AV73" s="521"/>
      <c r="BH73" s="393"/>
      <c r="BI73" s="393"/>
      <c r="BJ73" s="393"/>
      <c r="BK73" s="521"/>
      <c r="BR73" s="521"/>
      <c r="BS73" s="393"/>
      <c r="BT73" s="393"/>
      <c r="BU73" s="393"/>
      <c r="CA73" s="393"/>
      <c r="CB73" s="393"/>
      <c r="CC73" s="393"/>
      <c r="CD73" s="393"/>
      <c r="CE73" s="959"/>
    </row>
    <row r="74" spans="1:83" x14ac:dyDescent="0.25">
      <c r="C74" s="426">
        <f t="shared" si="3"/>
        <v>74</v>
      </c>
    </row>
    <row r="75" spans="1:83" s="357" customFormat="1" x14ac:dyDescent="0.25">
      <c r="A75" s="359"/>
      <c r="B75" s="733"/>
      <c r="C75" s="426">
        <f>+C74+1</f>
        <v>75</v>
      </c>
      <c r="E75" s="826"/>
      <c r="S75" s="393"/>
      <c r="T75" s="393"/>
      <c r="U75" s="393"/>
      <c r="V75" s="393"/>
      <c r="W75" s="393"/>
      <c r="X75" s="393"/>
      <c r="Y75" s="393"/>
      <c r="Z75" s="393"/>
      <c r="AA75" s="393"/>
      <c r="AB75" s="393"/>
      <c r="AC75" s="393"/>
      <c r="AD75" s="393"/>
      <c r="AE75" s="393"/>
      <c r="AF75" s="393"/>
      <c r="AG75" s="393"/>
      <c r="AH75" s="393"/>
      <c r="AI75" s="393"/>
      <c r="AJ75" s="393"/>
      <c r="AL75" s="393"/>
      <c r="AM75" s="393"/>
      <c r="AN75" s="393"/>
      <c r="AO75" s="393"/>
      <c r="AP75" s="393"/>
      <c r="AQ75" s="393"/>
      <c r="AR75" s="393"/>
      <c r="AT75" s="393"/>
      <c r="BH75" s="393"/>
      <c r="BI75" s="393"/>
      <c r="BJ75" s="393"/>
      <c r="BS75" s="393"/>
      <c r="BT75" s="393"/>
      <c r="BU75" s="393"/>
      <c r="CA75" s="393"/>
      <c r="CB75" s="393"/>
      <c r="CC75" s="393"/>
      <c r="CD75" s="393"/>
    </row>
    <row r="76" spans="1:83" s="304" customFormat="1" x14ac:dyDescent="0.25">
      <c r="A76" s="316"/>
      <c r="B76" s="733"/>
      <c r="C76" s="734"/>
      <c r="D76" s="315"/>
      <c r="E76" s="1098"/>
      <c r="F76" s="315"/>
      <c r="S76" s="393"/>
      <c r="T76" s="393"/>
      <c r="U76" s="393"/>
      <c r="V76" s="393"/>
      <c r="W76" s="393"/>
      <c r="X76" s="393"/>
      <c r="Y76" s="393"/>
      <c r="Z76" s="393"/>
      <c r="AA76" s="393"/>
      <c r="AB76" s="393"/>
      <c r="AC76" s="393"/>
      <c r="AD76" s="393"/>
      <c r="AE76" s="393"/>
      <c r="AF76" s="393"/>
      <c r="AG76" s="393"/>
      <c r="AH76" s="393"/>
      <c r="AI76" s="393"/>
      <c r="AJ76" s="393"/>
      <c r="AK76" s="315"/>
      <c r="AL76" s="393"/>
      <c r="AM76" s="393"/>
      <c r="AN76" s="393"/>
      <c r="AO76" s="393"/>
      <c r="AP76" s="393"/>
      <c r="AQ76" s="393"/>
      <c r="AR76" s="393"/>
      <c r="AS76" s="315"/>
      <c r="AT76" s="393"/>
      <c r="AV76" s="315"/>
      <c r="BH76" s="393"/>
      <c r="BI76" s="393"/>
      <c r="BJ76" s="393"/>
      <c r="BK76" s="315"/>
      <c r="BS76" s="393"/>
      <c r="BT76" s="393"/>
      <c r="BU76" s="393"/>
      <c r="CA76" s="393"/>
      <c r="CB76" s="393"/>
      <c r="CC76" s="393"/>
      <c r="CD76" s="393"/>
    </row>
    <row r="77" spans="1:83" s="304" customFormat="1" x14ac:dyDescent="0.25">
      <c r="A77" s="316"/>
      <c r="B77" s="735"/>
      <c r="C77" s="734"/>
      <c r="D77" s="315"/>
      <c r="E77" s="1098"/>
      <c r="F77" s="315"/>
      <c r="S77" s="393"/>
      <c r="T77" s="393"/>
      <c r="U77" s="393"/>
      <c r="V77" s="393"/>
      <c r="W77" s="393"/>
      <c r="X77" s="393"/>
      <c r="Y77" s="393"/>
      <c r="Z77" s="393"/>
      <c r="AA77" s="393"/>
      <c r="AB77" s="393"/>
      <c r="AC77" s="393"/>
      <c r="AD77" s="393"/>
      <c r="AE77" s="393"/>
      <c r="AF77" s="393"/>
      <c r="AG77" s="393"/>
      <c r="AH77" s="393"/>
      <c r="AI77" s="393"/>
      <c r="AJ77" s="393"/>
      <c r="AK77" s="315"/>
      <c r="AL77" s="393"/>
      <c r="AM77" s="393"/>
      <c r="AN77" s="393"/>
      <c r="AO77" s="393"/>
      <c r="AP77" s="393"/>
      <c r="AQ77" s="393"/>
      <c r="AR77" s="393"/>
      <c r="AS77" s="315"/>
      <c r="AT77" s="393"/>
      <c r="AV77" s="315"/>
      <c r="BH77" s="393"/>
      <c r="BI77" s="393"/>
      <c r="BJ77" s="393"/>
      <c r="BK77" s="315"/>
      <c r="BS77" s="393"/>
      <c r="BT77" s="393"/>
      <c r="BU77" s="393"/>
      <c r="CA77" s="393"/>
      <c r="CB77" s="393"/>
      <c r="CC77" s="393"/>
      <c r="CD77" s="393"/>
    </row>
    <row r="78" spans="1:83" s="304" customFormat="1" x14ac:dyDescent="0.25">
      <c r="A78" s="316"/>
      <c r="B78" s="735"/>
      <c r="C78" s="734"/>
      <c r="D78" s="315"/>
      <c r="E78" s="1098"/>
      <c r="F78" s="315"/>
      <c r="S78" s="393"/>
      <c r="T78" s="393"/>
      <c r="U78" s="393"/>
      <c r="V78" s="393"/>
      <c r="W78" s="393"/>
      <c r="X78" s="393"/>
      <c r="Y78" s="393"/>
      <c r="Z78" s="393"/>
      <c r="AA78" s="393"/>
      <c r="AB78" s="393"/>
      <c r="AC78" s="393"/>
      <c r="AD78" s="393"/>
      <c r="AE78" s="393"/>
      <c r="AF78" s="393"/>
      <c r="AG78" s="393"/>
      <c r="AH78" s="393"/>
      <c r="AI78" s="393"/>
      <c r="AJ78" s="393"/>
      <c r="AK78" s="315"/>
      <c r="AL78" s="393"/>
      <c r="AM78" s="393"/>
      <c r="AN78" s="393"/>
      <c r="AO78" s="393"/>
      <c r="AP78" s="393"/>
      <c r="AQ78" s="393"/>
      <c r="AR78" s="393"/>
      <c r="AS78" s="315"/>
      <c r="AT78" s="393"/>
      <c r="AV78" s="315"/>
      <c r="BH78" s="393"/>
      <c r="BI78" s="393"/>
      <c r="BJ78" s="393"/>
      <c r="BK78" s="315"/>
      <c r="BS78" s="393"/>
      <c r="BT78" s="393"/>
      <c r="BU78" s="393"/>
      <c r="CA78" s="393"/>
      <c r="CB78" s="393"/>
      <c r="CC78" s="393"/>
      <c r="CD78" s="393"/>
    </row>
    <row r="79" spans="1:83" s="304" customFormat="1" x14ac:dyDescent="0.25">
      <c r="B79" s="735"/>
      <c r="C79" s="734"/>
      <c r="E79" s="866"/>
      <c r="S79" s="393"/>
      <c r="T79" s="393"/>
      <c r="U79" s="393"/>
      <c r="V79" s="393"/>
      <c r="W79" s="393"/>
      <c r="X79" s="393"/>
      <c r="Y79" s="393"/>
      <c r="Z79" s="393"/>
      <c r="AA79" s="393"/>
      <c r="AB79" s="393"/>
      <c r="AC79" s="393"/>
      <c r="AD79" s="393"/>
      <c r="AE79" s="393"/>
      <c r="AF79" s="393"/>
      <c r="AG79" s="393"/>
      <c r="AH79" s="393"/>
      <c r="AI79" s="393"/>
      <c r="AJ79" s="393"/>
      <c r="AL79" s="393"/>
      <c r="AM79" s="393"/>
      <c r="AN79" s="393"/>
      <c r="AO79" s="393"/>
      <c r="AP79" s="393"/>
      <c r="AQ79" s="393"/>
      <c r="AR79" s="393"/>
      <c r="AT79" s="393"/>
      <c r="BH79" s="393"/>
      <c r="BI79" s="393"/>
      <c r="BJ79" s="393"/>
      <c r="BS79" s="393"/>
      <c r="BT79" s="393"/>
      <c r="BU79" s="393"/>
      <c r="CA79" s="393"/>
      <c r="CB79" s="393"/>
      <c r="CC79" s="393"/>
      <c r="CD79" s="393"/>
    </row>
    <row r="80" spans="1:83" s="304" customFormat="1" x14ac:dyDescent="0.25">
      <c r="B80" s="735"/>
      <c r="C80" s="734"/>
      <c r="E80" s="866"/>
      <c r="S80" s="393"/>
      <c r="T80" s="393"/>
      <c r="U80" s="393"/>
      <c r="V80" s="393"/>
      <c r="W80" s="393"/>
      <c r="X80" s="393"/>
      <c r="Y80" s="393"/>
      <c r="Z80" s="393"/>
      <c r="AA80" s="393"/>
      <c r="AB80" s="393"/>
      <c r="AC80" s="393"/>
      <c r="AD80" s="393"/>
      <c r="AE80" s="393"/>
      <c r="AF80" s="393"/>
      <c r="AG80" s="393"/>
      <c r="AH80" s="393"/>
      <c r="AI80" s="393"/>
      <c r="AJ80" s="393"/>
      <c r="AL80" s="393"/>
      <c r="AM80" s="393"/>
      <c r="AN80" s="393"/>
      <c r="AO80" s="393"/>
      <c r="AP80" s="393"/>
      <c r="AQ80" s="393"/>
      <c r="AR80" s="393"/>
      <c r="AT80" s="393"/>
      <c r="BH80" s="393"/>
      <c r="BI80" s="393"/>
      <c r="BJ80" s="393"/>
      <c r="BS80" s="393"/>
      <c r="BT80" s="393"/>
      <c r="BU80" s="393"/>
      <c r="CA80" s="393"/>
      <c r="CB80" s="393"/>
      <c r="CC80" s="393"/>
      <c r="CD80" s="393"/>
    </row>
    <row r="81" spans="1:82" s="304" customFormat="1" x14ac:dyDescent="0.25">
      <c r="B81" s="735"/>
      <c r="C81" s="734"/>
      <c r="E81" s="866"/>
      <c r="S81" s="393"/>
      <c r="T81" s="393"/>
      <c r="U81" s="393"/>
      <c r="V81" s="393"/>
      <c r="W81" s="393"/>
      <c r="X81" s="393"/>
      <c r="Y81" s="393"/>
      <c r="Z81" s="393"/>
      <c r="AA81" s="393"/>
      <c r="AB81" s="393"/>
      <c r="AC81" s="393"/>
      <c r="AD81" s="393"/>
      <c r="AE81" s="393"/>
      <c r="AF81" s="393"/>
      <c r="AG81" s="393"/>
      <c r="AH81" s="393"/>
      <c r="AI81" s="393"/>
      <c r="AJ81" s="393"/>
      <c r="AL81" s="393"/>
      <c r="AM81" s="393"/>
      <c r="AN81" s="393"/>
      <c r="AO81" s="393"/>
      <c r="AP81" s="393"/>
      <c r="AQ81" s="393"/>
      <c r="AR81" s="393"/>
      <c r="AT81" s="393"/>
      <c r="BH81" s="393"/>
      <c r="BI81" s="393"/>
      <c r="BJ81" s="393"/>
      <c r="BS81" s="393"/>
      <c r="BT81" s="393"/>
      <c r="BU81" s="393"/>
      <c r="CA81" s="393"/>
      <c r="CB81" s="393"/>
      <c r="CC81" s="393"/>
      <c r="CD81" s="393"/>
    </row>
    <row r="82" spans="1:82" s="304" customFormat="1" x14ac:dyDescent="0.25">
      <c r="B82" s="735"/>
      <c r="C82" s="734"/>
      <c r="E82" s="866"/>
      <c r="S82" s="393"/>
      <c r="T82" s="393"/>
      <c r="U82" s="393"/>
      <c r="V82" s="393"/>
      <c r="W82" s="393"/>
      <c r="X82" s="393"/>
      <c r="Y82" s="393"/>
      <c r="Z82" s="393"/>
      <c r="AA82" s="393"/>
      <c r="AB82" s="393"/>
      <c r="AC82" s="393"/>
      <c r="AD82" s="393"/>
      <c r="AE82" s="393"/>
      <c r="AF82" s="393"/>
      <c r="AG82" s="393"/>
      <c r="AH82" s="393"/>
      <c r="AI82" s="393"/>
      <c r="AJ82" s="393"/>
      <c r="AL82" s="393"/>
      <c r="AM82" s="393"/>
      <c r="AN82" s="393"/>
      <c r="AO82" s="393"/>
      <c r="AP82" s="393"/>
      <c r="AQ82" s="393"/>
      <c r="AR82" s="393"/>
      <c r="AT82" s="393"/>
      <c r="BH82" s="393"/>
      <c r="BI82" s="393"/>
      <c r="BJ82" s="393"/>
      <c r="BS82" s="393"/>
      <c r="BT82" s="393"/>
      <c r="BU82" s="393"/>
      <c r="CA82" s="393"/>
      <c r="CB82" s="393"/>
      <c r="CC82" s="393"/>
      <c r="CD82" s="393"/>
    </row>
    <row r="83" spans="1:82" s="304" customFormat="1" x14ac:dyDescent="0.25">
      <c r="B83" s="735"/>
      <c r="C83" s="734"/>
      <c r="E83" s="866"/>
      <c r="S83" s="393"/>
      <c r="T83" s="393"/>
      <c r="U83" s="393"/>
      <c r="V83" s="393"/>
      <c r="W83" s="393"/>
      <c r="X83" s="393"/>
      <c r="Y83" s="393"/>
      <c r="Z83" s="393"/>
      <c r="AA83" s="393"/>
      <c r="AB83" s="393"/>
      <c r="AC83" s="393"/>
      <c r="AD83" s="393"/>
      <c r="AE83" s="393"/>
      <c r="AF83" s="393"/>
      <c r="AG83" s="393"/>
      <c r="AH83" s="393"/>
      <c r="AI83" s="393"/>
      <c r="AJ83" s="393"/>
      <c r="AL83" s="393"/>
      <c r="AM83" s="393"/>
      <c r="AN83" s="393"/>
      <c r="AO83" s="393"/>
      <c r="AP83" s="393"/>
      <c r="AQ83" s="393"/>
      <c r="AR83" s="393"/>
      <c r="AT83" s="393"/>
      <c r="BH83" s="393"/>
      <c r="BI83" s="393"/>
      <c r="BJ83" s="393"/>
      <c r="BS83" s="393"/>
      <c r="BT83" s="393"/>
      <c r="BU83" s="393"/>
      <c r="CA83" s="393"/>
      <c r="CB83" s="393"/>
      <c r="CC83" s="393"/>
      <c r="CD83" s="393"/>
    </row>
    <row r="84" spans="1:82" s="304" customFormat="1" x14ac:dyDescent="0.25">
      <c r="B84" s="735"/>
      <c r="C84" s="734"/>
      <c r="E84" s="866"/>
      <c r="S84" s="393"/>
      <c r="T84" s="393"/>
      <c r="U84" s="393"/>
      <c r="V84" s="393"/>
      <c r="W84" s="393"/>
      <c r="X84" s="393"/>
      <c r="Y84" s="393"/>
      <c r="Z84" s="393"/>
      <c r="AA84" s="393"/>
      <c r="AB84" s="393"/>
      <c r="AC84" s="393"/>
      <c r="AD84" s="393"/>
      <c r="AE84" s="393"/>
      <c r="AF84" s="393"/>
      <c r="AG84" s="393"/>
      <c r="AH84" s="393"/>
      <c r="AI84" s="393"/>
      <c r="AJ84" s="393"/>
      <c r="AL84" s="393"/>
      <c r="AM84" s="393"/>
      <c r="AN84" s="393"/>
      <c r="AO84" s="393"/>
      <c r="AP84" s="393"/>
      <c r="AQ84" s="393"/>
      <c r="AR84" s="393"/>
      <c r="AT84" s="393"/>
      <c r="BH84" s="393"/>
      <c r="BI84" s="393"/>
      <c r="BJ84" s="393"/>
      <c r="BS84" s="393"/>
      <c r="BT84" s="393"/>
      <c r="BU84" s="393"/>
      <c r="CA84" s="393"/>
      <c r="CB84" s="393"/>
      <c r="CC84" s="393"/>
      <c r="CD84" s="393"/>
    </row>
    <row r="85" spans="1:82" s="304" customFormat="1" x14ac:dyDescent="0.25">
      <c r="B85" s="735"/>
      <c r="C85" s="734"/>
      <c r="E85" s="866"/>
      <c r="S85" s="393"/>
      <c r="T85" s="393"/>
      <c r="U85" s="393"/>
      <c r="V85" s="393"/>
      <c r="W85" s="393"/>
      <c r="X85" s="393"/>
      <c r="Y85" s="393"/>
      <c r="Z85" s="393"/>
      <c r="AA85" s="393"/>
      <c r="AB85" s="393"/>
      <c r="AC85" s="393"/>
      <c r="AD85" s="393"/>
      <c r="AE85" s="393"/>
      <c r="AF85" s="393"/>
      <c r="AG85" s="393"/>
      <c r="AH85" s="393"/>
      <c r="AI85" s="393"/>
      <c r="AJ85" s="393"/>
      <c r="AL85" s="393"/>
      <c r="AM85" s="393"/>
      <c r="AN85" s="393"/>
      <c r="AO85" s="393"/>
      <c r="AP85" s="393"/>
      <c r="AQ85" s="393"/>
      <c r="AR85" s="393"/>
      <c r="AT85" s="393"/>
      <c r="BH85" s="393"/>
      <c r="BI85" s="393"/>
      <c r="BJ85" s="393"/>
      <c r="BS85" s="393"/>
      <c r="BT85" s="393"/>
      <c r="BU85" s="393"/>
      <c r="CA85" s="393"/>
      <c r="CB85" s="393"/>
      <c r="CC85" s="393"/>
      <c r="CD85" s="393"/>
    </row>
    <row r="86" spans="1:82" s="304" customFormat="1" x14ac:dyDescent="0.25">
      <c r="B86" s="735"/>
      <c r="C86" s="734"/>
      <c r="E86" s="866"/>
      <c r="S86" s="393"/>
      <c r="T86" s="393"/>
      <c r="U86" s="393"/>
      <c r="V86" s="393"/>
      <c r="W86" s="393"/>
      <c r="X86" s="393"/>
      <c r="Y86" s="393"/>
      <c r="Z86" s="393"/>
      <c r="AA86" s="393"/>
      <c r="AB86" s="393"/>
      <c r="AC86" s="393"/>
      <c r="AD86" s="393"/>
      <c r="AE86" s="393"/>
      <c r="AF86" s="393"/>
      <c r="AG86" s="393"/>
      <c r="AH86" s="393"/>
      <c r="AI86" s="393"/>
      <c r="AJ86" s="393"/>
      <c r="AL86" s="393"/>
      <c r="AM86" s="393"/>
      <c r="AN86" s="393"/>
      <c r="AO86" s="393"/>
      <c r="AP86" s="393"/>
      <c r="AQ86" s="393"/>
      <c r="AR86" s="393"/>
      <c r="AT86" s="393"/>
      <c r="BH86" s="393"/>
      <c r="BI86" s="393"/>
      <c r="BJ86" s="393"/>
      <c r="BS86" s="393"/>
      <c r="BT86" s="393"/>
      <c r="BU86" s="393"/>
      <c r="CA86" s="393"/>
      <c r="CB86" s="393"/>
      <c r="CC86" s="393"/>
      <c r="CD86" s="393"/>
    </row>
    <row r="87" spans="1:82" s="304" customFormat="1" x14ac:dyDescent="0.25">
      <c r="B87" s="735"/>
      <c r="C87" s="734"/>
      <c r="E87" s="866"/>
      <c r="S87" s="393"/>
      <c r="T87" s="393"/>
      <c r="U87" s="393"/>
      <c r="V87" s="393"/>
      <c r="W87" s="393"/>
      <c r="X87" s="393"/>
      <c r="Y87" s="393"/>
      <c r="Z87" s="393"/>
      <c r="AA87" s="393"/>
      <c r="AB87" s="393"/>
      <c r="AC87" s="393"/>
      <c r="AD87" s="393"/>
      <c r="AE87" s="393"/>
      <c r="AF87" s="393"/>
      <c r="AG87" s="393"/>
      <c r="AH87" s="393"/>
      <c r="AI87" s="393"/>
      <c r="AJ87" s="393"/>
      <c r="AL87" s="393"/>
      <c r="AM87" s="393"/>
      <c r="AN87" s="393"/>
      <c r="AO87" s="393"/>
      <c r="AP87" s="393"/>
      <c r="AQ87" s="393"/>
      <c r="AR87" s="393"/>
      <c r="AT87" s="393"/>
      <c r="BH87" s="393"/>
      <c r="BI87" s="393"/>
      <c r="BJ87" s="393"/>
      <c r="BS87" s="393"/>
      <c r="BT87" s="393"/>
      <c r="BU87" s="393"/>
      <c r="CA87" s="393"/>
      <c r="CB87" s="393"/>
      <c r="CC87" s="393"/>
      <c r="CD87" s="393"/>
    </row>
    <row r="88" spans="1:82" s="304" customFormat="1" x14ac:dyDescent="0.25">
      <c r="B88" s="735"/>
      <c r="C88" s="734"/>
      <c r="E88" s="866"/>
      <c r="S88" s="393"/>
      <c r="T88" s="393"/>
      <c r="U88" s="393"/>
      <c r="V88" s="393"/>
      <c r="W88" s="393"/>
      <c r="X88" s="393"/>
      <c r="Y88" s="393"/>
      <c r="Z88" s="393"/>
      <c r="AA88" s="393"/>
      <c r="AB88" s="393"/>
      <c r="AC88" s="393"/>
      <c r="AD88" s="393"/>
      <c r="AE88" s="393"/>
      <c r="AF88" s="393"/>
      <c r="AG88" s="393"/>
      <c r="AH88" s="393"/>
      <c r="AI88" s="393"/>
      <c r="AJ88" s="393"/>
      <c r="AL88" s="393"/>
      <c r="AM88" s="393"/>
      <c r="AN88" s="393"/>
      <c r="AO88" s="393"/>
      <c r="AP88" s="393"/>
      <c r="AQ88" s="393"/>
      <c r="AR88" s="393"/>
      <c r="AT88" s="393"/>
      <c r="BH88" s="393"/>
      <c r="BI88" s="393"/>
      <c r="BJ88" s="393"/>
      <c r="BS88" s="393"/>
      <c r="BT88" s="393"/>
      <c r="BU88" s="393"/>
      <c r="CA88" s="393"/>
      <c r="CB88" s="393"/>
      <c r="CC88" s="393"/>
      <c r="CD88" s="393"/>
    </row>
    <row r="89" spans="1:82" s="304" customFormat="1" x14ac:dyDescent="0.25">
      <c r="B89" s="735"/>
      <c r="C89" s="734"/>
      <c r="E89" s="866"/>
      <c r="S89" s="393"/>
      <c r="T89" s="393"/>
      <c r="U89" s="393"/>
      <c r="V89" s="393"/>
      <c r="W89" s="393"/>
      <c r="X89" s="393"/>
      <c r="Y89" s="393"/>
      <c r="Z89" s="393"/>
      <c r="AA89" s="393"/>
      <c r="AB89" s="393"/>
      <c r="AC89" s="393"/>
      <c r="AD89" s="393"/>
      <c r="AE89" s="393"/>
      <c r="AF89" s="393"/>
      <c r="AG89" s="393"/>
      <c r="AH89" s="393"/>
      <c r="AI89" s="393"/>
      <c r="AJ89" s="393"/>
      <c r="AL89" s="393"/>
      <c r="AM89" s="393"/>
      <c r="AN89" s="393"/>
      <c r="AO89" s="393"/>
      <c r="AP89" s="393"/>
      <c r="AQ89" s="393"/>
      <c r="AR89" s="393"/>
      <c r="AT89" s="393"/>
      <c r="BH89" s="393"/>
      <c r="BI89" s="393"/>
      <c r="BJ89" s="393"/>
      <c r="BS89" s="393"/>
      <c r="BT89" s="393"/>
      <c r="BU89" s="393"/>
      <c r="CA89" s="393"/>
      <c r="CB89" s="393"/>
      <c r="CC89" s="393"/>
      <c r="CD89" s="393"/>
    </row>
    <row r="90" spans="1:82" s="304" customFormat="1" x14ac:dyDescent="0.25">
      <c r="B90" s="735"/>
      <c r="C90" s="734"/>
      <c r="E90" s="866"/>
      <c r="S90" s="393"/>
      <c r="T90" s="393"/>
      <c r="U90" s="393"/>
      <c r="V90" s="393"/>
      <c r="W90" s="393"/>
      <c r="X90" s="393"/>
      <c r="Y90" s="393"/>
      <c r="Z90" s="393"/>
      <c r="AA90" s="393"/>
      <c r="AB90" s="393"/>
      <c r="AC90" s="393"/>
      <c r="AD90" s="393"/>
      <c r="AE90" s="393"/>
      <c r="AF90" s="393"/>
      <c r="AG90" s="393"/>
      <c r="AH90" s="393"/>
      <c r="AI90" s="393"/>
      <c r="AJ90" s="393"/>
      <c r="AL90" s="393"/>
      <c r="AM90" s="393"/>
      <c r="AN90" s="393"/>
      <c r="AO90" s="393"/>
      <c r="AP90" s="393"/>
      <c r="AQ90" s="393"/>
      <c r="AR90" s="393"/>
      <c r="AT90" s="393"/>
      <c r="BH90" s="393"/>
      <c r="BI90" s="393"/>
      <c r="BJ90" s="393"/>
      <c r="BS90" s="393"/>
      <c r="BT90" s="393"/>
      <c r="BU90" s="393"/>
      <c r="CA90" s="393"/>
      <c r="CB90" s="393"/>
      <c r="CC90" s="393"/>
      <c r="CD90" s="393"/>
    </row>
    <row r="91" spans="1:82" s="304" customFormat="1" x14ac:dyDescent="0.25">
      <c r="B91" s="735"/>
      <c r="C91" s="734"/>
      <c r="E91" s="866"/>
      <c r="S91" s="393"/>
      <c r="T91" s="393"/>
      <c r="U91" s="393"/>
      <c r="V91" s="393"/>
      <c r="W91" s="393"/>
      <c r="X91" s="393"/>
      <c r="Y91" s="393"/>
      <c r="Z91" s="393"/>
      <c r="AA91" s="393"/>
      <c r="AB91" s="393"/>
      <c r="AC91" s="393"/>
      <c r="AD91" s="393"/>
      <c r="AE91" s="393"/>
      <c r="AF91" s="393"/>
      <c r="AG91" s="393"/>
      <c r="AH91" s="393"/>
      <c r="AI91" s="393"/>
      <c r="AJ91" s="393"/>
      <c r="AL91" s="393"/>
      <c r="AM91" s="393"/>
      <c r="AN91" s="393"/>
      <c r="AO91" s="393"/>
      <c r="AP91" s="393"/>
      <c r="AQ91" s="393"/>
      <c r="AR91" s="393"/>
      <c r="AT91" s="393"/>
      <c r="BH91" s="393"/>
      <c r="BI91" s="393"/>
      <c r="BJ91" s="393"/>
      <c r="BS91" s="393"/>
      <c r="BT91" s="393"/>
      <c r="BU91" s="393"/>
      <c r="CA91" s="393"/>
      <c r="CB91" s="393"/>
      <c r="CC91" s="393"/>
      <c r="CD91" s="393"/>
    </row>
    <row r="92" spans="1:82" x14ac:dyDescent="0.25">
      <c r="A92" s="304"/>
      <c r="C92" s="734"/>
      <c r="D92" s="304"/>
      <c r="E92" s="866"/>
      <c r="F92" s="304"/>
      <c r="G92" s="304"/>
      <c r="H92" s="304"/>
      <c r="I92" s="304"/>
      <c r="J92" s="304"/>
      <c r="K92" s="304"/>
      <c r="L92" s="304"/>
      <c r="M92" s="304"/>
      <c r="N92" s="304"/>
      <c r="O92" s="304"/>
      <c r="P92" s="304"/>
      <c r="Q92" s="304"/>
      <c r="R92" s="304"/>
      <c r="S92" s="393"/>
      <c r="T92" s="393"/>
      <c r="U92" s="393"/>
      <c r="V92" s="393"/>
      <c r="W92" s="393"/>
      <c r="X92" s="393"/>
      <c r="Y92" s="393"/>
      <c r="Z92" s="393"/>
      <c r="AA92" s="393"/>
      <c r="AB92" s="393"/>
      <c r="AC92" s="393"/>
      <c r="AD92" s="393"/>
      <c r="AE92" s="393"/>
      <c r="AF92" s="393"/>
      <c r="AG92" s="393"/>
      <c r="AH92" s="393"/>
      <c r="AI92" s="393"/>
      <c r="AJ92" s="393"/>
      <c r="AK92" s="304"/>
      <c r="AL92" s="393"/>
      <c r="AM92" s="393"/>
      <c r="AN92" s="393"/>
      <c r="AO92" s="393"/>
      <c r="AP92" s="393"/>
      <c r="AQ92" s="393"/>
      <c r="AR92" s="393"/>
      <c r="AS92" s="304"/>
      <c r="AT92" s="393"/>
      <c r="AV92" s="304"/>
      <c r="BH92" s="393"/>
      <c r="BI92" s="393"/>
      <c r="BJ92" s="393"/>
      <c r="BK92" s="304"/>
      <c r="BS92" s="393"/>
      <c r="BT92" s="393"/>
      <c r="BU92" s="393"/>
      <c r="CA92" s="393"/>
      <c r="CB92" s="393"/>
      <c r="CC92" s="393"/>
      <c r="CD92" s="393"/>
    </row>
    <row r="93" spans="1:82" x14ac:dyDescent="0.25">
      <c r="A93" s="304"/>
      <c r="C93" s="734"/>
      <c r="D93" s="304"/>
      <c r="E93" s="866"/>
      <c r="F93" s="304"/>
      <c r="G93" s="304"/>
      <c r="H93" s="304"/>
      <c r="I93" s="304"/>
      <c r="J93" s="304"/>
      <c r="K93" s="304"/>
      <c r="L93" s="304"/>
      <c r="M93" s="304"/>
      <c r="N93" s="304"/>
      <c r="O93" s="304"/>
      <c r="P93" s="304"/>
      <c r="Q93" s="304"/>
      <c r="R93" s="304"/>
      <c r="S93" s="393"/>
      <c r="T93" s="393"/>
      <c r="U93" s="393"/>
      <c r="V93" s="393"/>
      <c r="W93" s="393"/>
      <c r="X93" s="393"/>
      <c r="Y93" s="393"/>
      <c r="Z93" s="393"/>
      <c r="AA93" s="393"/>
      <c r="AB93" s="393"/>
      <c r="AC93" s="393"/>
      <c r="AD93" s="393"/>
      <c r="AE93" s="393"/>
      <c r="AF93" s="393"/>
      <c r="AG93" s="393"/>
      <c r="AH93" s="393"/>
      <c r="AI93" s="393"/>
      <c r="AJ93" s="393"/>
      <c r="AK93" s="304"/>
      <c r="AL93" s="393"/>
      <c r="AM93" s="393"/>
      <c r="AN93" s="393"/>
      <c r="AO93" s="393"/>
      <c r="AP93" s="393"/>
      <c r="AQ93" s="393"/>
      <c r="AR93" s="393"/>
      <c r="AS93" s="304"/>
      <c r="AT93" s="393"/>
      <c r="AV93" s="304"/>
      <c r="BH93" s="393"/>
      <c r="BI93" s="393"/>
      <c r="BJ93" s="393"/>
      <c r="BK93" s="304"/>
      <c r="BS93" s="393"/>
      <c r="BT93" s="393"/>
      <c r="BU93" s="393"/>
      <c r="CA93" s="393"/>
      <c r="CB93" s="393"/>
      <c r="CC93" s="393"/>
      <c r="CD93" s="393"/>
    </row>
    <row r="94" spans="1:82" x14ac:dyDescent="0.25">
      <c r="A94" s="304"/>
      <c r="C94" s="734"/>
      <c r="D94" s="304"/>
      <c r="E94" s="866"/>
      <c r="F94" s="304"/>
      <c r="G94" s="304"/>
      <c r="H94" s="304"/>
      <c r="I94" s="304"/>
      <c r="J94" s="304"/>
      <c r="K94" s="304"/>
      <c r="L94" s="304"/>
      <c r="M94" s="304"/>
      <c r="N94" s="304"/>
      <c r="O94" s="304"/>
      <c r="P94" s="304"/>
      <c r="Q94" s="304"/>
      <c r="R94" s="304"/>
      <c r="S94" s="393"/>
      <c r="T94" s="393"/>
      <c r="U94" s="393"/>
      <c r="V94" s="393"/>
      <c r="W94" s="393"/>
      <c r="X94" s="393"/>
      <c r="Y94" s="393"/>
      <c r="Z94" s="393"/>
      <c r="AA94" s="393"/>
      <c r="AB94" s="393"/>
      <c r="AC94" s="393"/>
      <c r="AD94" s="393"/>
      <c r="AE94" s="393"/>
      <c r="AF94" s="393"/>
      <c r="AG94" s="393"/>
      <c r="AH94" s="393"/>
      <c r="AI94" s="393"/>
      <c r="AJ94" s="393"/>
      <c r="AK94" s="304"/>
      <c r="AL94" s="393"/>
      <c r="AM94" s="393"/>
      <c r="AN94" s="393"/>
      <c r="AO94" s="393"/>
      <c r="AP94" s="393"/>
      <c r="AQ94" s="393"/>
      <c r="AR94" s="393"/>
      <c r="AS94" s="304"/>
      <c r="AT94" s="393"/>
      <c r="AV94" s="304"/>
      <c r="BH94" s="393"/>
      <c r="BI94" s="393"/>
      <c r="BJ94" s="393"/>
      <c r="BK94" s="304"/>
      <c r="BS94" s="393"/>
      <c r="BT94" s="393"/>
      <c r="BU94" s="393"/>
      <c r="CA94" s="393"/>
      <c r="CB94" s="393"/>
      <c r="CC94" s="393"/>
      <c r="CD94" s="393"/>
    </row>
    <row r="95" spans="1:82" x14ac:dyDescent="0.25">
      <c r="A95" s="304"/>
      <c r="B95" s="735"/>
      <c r="C95" s="734"/>
      <c r="D95" s="304"/>
      <c r="E95" s="866"/>
      <c r="F95" s="304"/>
      <c r="G95" s="314"/>
      <c r="H95" s="304"/>
      <c r="I95" s="304"/>
      <c r="J95" s="304"/>
      <c r="K95" s="304"/>
      <c r="L95" s="304"/>
      <c r="M95" s="304"/>
      <c r="N95" s="304"/>
      <c r="O95" s="304"/>
      <c r="P95" s="304"/>
      <c r="Q95" s="304"/>
      <c r="R95" s="304"/>
      <c r="S95" s="393"/>
      <c r="T95" s="393"/>
      <c r="U95" s="393"/>
      <c r="V95" s="393"/>
      <c r="W95" s="393"/>
      <c r="X95" s="393"/>
      <c r="Y95" s="393"/>
      <c r="Z95" s="393"/>
      <c r="AA95" s="393"/>
      <c r="AB95" s="393"/>
      <c r="AC95" s="393"/>
      <c r="AD95" s="393"/>
      <c r="AE95" s="393"/>
      <c r="AF95" s="393"/>
      <c r="AG95" s="393"/>
      <c r="AH95" s="393"/>
      <c r="AI95" s="393"/>
      <c r="AJ95" s="393"/>
      <c r="AK95" s="304"/>
      <c r="AL95" s="393"/>
      <c r="AM95" s="393"/>
      <c r="AN95" s="393"/>
      <c r="AO95" s="393"/>
      <c r="AP95" s="393"/>
      <c r="AQ95" s="393"/>
      <c r="AR95" s="393"/>
      <c r="AS95" s="304"/>
      <c r="AT95" s="393"/>
      <c r="AV95" s="304"/>
      <c r="BH95" s="393"/>
      <c r="BI95" s="393"/>
      <c r="BJ95" s="393"/>
      <c r="BK95" s="304"/>
      <c r="BS95" s="393"/>
      <c r="BT95" s="393"/>
      <c r="BU95" s="393"/>
      <c r="CA95" s="393"/>
      <c r="CB95" s="393"/>
      <c r="CC95" s="393"/>
      <c r="CD95" s="393"/>
    </row>
    <row r="96" spans="1:82" x14ac:dyDescent="0.25">
      <c r="C96" s="734"/>
      <c r="S96" s="393"/>
      <c r="T96" s="393"/>
      <c r="U96" s="393"/>
      <c r="V96" s="393"/>
      <c r="W96" s="393"/>
      <c r="X96" s="393"/>
      <c r="Y96" s="393"/>
      <c r="Z96" s="393"/>
      <c r="AA96" s="393"/>
      <c r="AB96" s="393"/>
      <c r="AC96" s="393"/>
      <c r="AD96" s="393"/>
      <c r="AE96" s="393"/>
      <c r="AF96" s="393"/>
      <c r="AG96" s="393"/>
      <c r="AH96" s="393"/>
      <c r="AI96" s="393"/>
      <c r="AJ96" s="393"/>
      <c r="AL96" s="393"/>
      <c r="AM96" s="393"/>
      <c r="AN96" s="393"/>
      <c r="AO96" s="393"/>
      <c r="AP96" s="393"/>
      <c r="AQ96" s="393"/>
      <c r="AR96" s="393"/>
      <c r="AT96" s="393"/>
      <c r="BH96" s="393"/>
      <c r="BI96" s="393"/>
      <c r="BJ96" s="393"/>
      <c r="BS96" s="393"/>
      <c r="BT96" s="393"/>
      <c r="BU96" s="393"/>
      <c r="CA96" s="393"/>
      <c r="CB96" s="393"/>
      <c r="CC96" s="393"/>
      <c r="CD96" s="393"/>
    </row>
    <row r="97" spans="3:82" x14ac:dyDescent="0.25">
      <c r="C97" s="734"/>
      <c r="S97" s="393"/>
      <c r="T97" s="393"/>
      <c r="U97" s="393"/>
      <c r="V97" s="393"/>
      <c r="W97" s="393"/>
      <c r="X97" s="393"/>
      <c r="Y97" s="393"/>
      <c r="Z97" s="393"/>
      <c r="AA97" s="393"/>
      <c r="AB97" s="393"/>
      <c r="AC97" s="393"/>
      <c r="AD97" s="393"/>
      <c r="AE97" s="393"/>
      <c r="AF97" s="393"/>
      <c r="AG97" s="393"/>
      <c r="AH97" s="393"/>
      <c r="AI97" s="393"/>
      <c r="AJ97" s="393"/>
      <c r="AL97" s="393"/>
      <c r="AM97" s="393"/>
      <c r="AN97" s="393"/>
      <c r="AO97" s="393"/>
      <c r="AP97" s="393"/>
      <c r="AQ97" s="393"/>
      <c r="AR97" s="393"/>
      <c r="AT97" s="393"/>
      <c r="BH97" s="393"/>
      <c r="BI97" s="393"/>
      <c r="BJ97" s="393"/>
      <c r="BS97" s="393"/>
      <c r="BT97" s="393"/>
      <c r="BU97" s="393"/>
      <c r="CA97" s="393"/>
      <c r="CB97" s="393"/>
      <c r="CC97" s="393"/>
      <c r="CD97" s="393"/>
    </row>
    <row r="98" spans="3:82" x14ac:dyDescent="0.25">
      <c r="C98" s="734"/>
    </row>
    <row r="99" spans="3:82" x14ac:dyDescent="0.25">
      <c r="C99" s="734"/>
    </row>
    <row r="100" spans="3:82" x14ac:dyDescent="0.25">
      <c r="C100" s="734"/>
    </row>
    <row r="101" spans="3:82" x14ac:dyDescent="0.25">
      <c r="C101" s="734"/>
    </row>
    <row r="102" spans="3:82" x14ac:dyDescent="0.25">
      <c r="C102" s="734"/>
    </row>
    <row r="103" spans="3:82" x14ac:dyDescent="0.25">
      <c r="C103" s="73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03"/>
  <sheetViews>
    <sheetView workbookViewId="0">
      <pane xSplit="3" ySplit="1" topLeftCell="D2" activePane="bottomRight" state="frozen"/>
      <selection pane="topRight" activeCell="D1" sqref="D1"/>
      <selection pane="bottomLeft" activeCell="A2" sqref="A2"/>
      <selection pane="bottomRight"/>
    </sheetView>
  </sheetViews>
  <sheetFormatPr defaultRowHeight="15" x14ac:dyDescent="0.25"/>
  <cols>
    <col min="1" max="1" width="47.42578125" style="339" customWidth="1"/>
    <col min="2" max="2" width="39.140625" style="733" hidden="1" customWidth="1"/>
    <col min="3" max="3" width="2.7109375" style="733" hidden="1" customWidth="1"/>
    <col min="4" max="4" width="14.85546875" style="339" bestFit="1" customWidth="1"/>
    <col min="5" max="5" width="10.85546875" style="502" customWidth="1"/>
    <col min="6" max="6" width="12.85546875" style="339" customWidth="1"/>
    <col min="7" max="8" width="41.42578125" style="339" customWidth="1"/>
    <col min="9" max="10" width="16.28515625" style="339" customWidth="1"/>
    <col min="11" max="11" width="40.85546875" style="569" customWidth="1"/>
    <col min="12" max="12" width="14.28515625" style="569" customWidth="1"/>
    <col min="13" max="13" width="12.85546875" style="339" customWidth="1"/>
    <col min="14" max="16" width="41.42578125" style="339" customWidth="1"/>
    <col min="17" max="17" width="9.85546875" style="339" customWidth="1"/>
    <col min="18" max="18" width="9.7109375" style="339" customWidth="1"/>
    <col min="19" max="19" width="12.85546875" style="339" customWidth="1"/>
    <col min="20" max="22" width="41.42578125" style="339" customWidth="1"/>
    <col min="23" max="23" width="11" style="339" customWidth="1"/>
    <col min="24" max="25" width="12.5703125" style="339" customWidth="1"/>
    <col min="26" max="30" width="12" style="339" customWidth="1"/>
    <col min="31" max="47" width="39.28515625" style="339" customWidth="1"/>
    <col min="48" max="16384" width="9.140625" style="339"/>
  </cols>
  <sheetData>
    <row r="1" spans="1:25" s="425" customFormat="1" ht="69.75" customHeight="1" x14ac:dyDescent="0.25">
      <c r="A1" s="380" t="s">
        <v>1064</v>
      </c>
      <c r="B1" s="462" t="str">
        <f>HLOOKUP(Start!$B$20,$D$1:$X$75,+C1, FALSE)</f>
        <v>Slurry storage. Cover for slurry stores: Plastic tent. Pig slurry. (Ref: Denmark, 2010)</v>
      </c>
      <c r="C1" s="462">
        <v>1</v>
      </c>
      <c r="D1" s="523" t="s">
        <v>1096</v>
      </c>
      <c r="E1" s="1114"/>
      <c r="F1" s="523" t="s">
        <v>1089</v>
      </c>
      <c r="G1" s="533" t="s">
        <v>1200</v>
      </c>
      <c r="H1" s="533" t="s">
        <v>1201</v>
      </c>
      <c r="J1" s="523" t="s">
        <v>1090</v>
      </c>
      <c r="K1" s="533" t="s">
        <v>1093</v>
      </c>
      <c r="M1" s="523" t="s">
        <v>794</v>
      </c>
      <c r="N1" s="533" t="s">
        <v>1071</v>
      </c>
      <c r="O1" s="533" t="s">
        <v>1072</v>
      </c>
      <c r="P1" s="533" t="s">
        <v>1073</v>
      </c>
      <c r="S1" s="523" t="s">
        <v>796</v>
      </c>
      <c r="T1" s="533" t="s">
        <v>1074</v>
      </c>
      <c r="U1" s="533" t="s">
        <v>1075</v>
      </c>
      <c r="V1" s="533" t="s">
        <v>1076</v>
      </c>
      <c r="X1" s="958"/>
      <c r="Y1" s="339"/>
    </row>
    <row r="2" spans="1:25" s="357" customFormat="1" ht="127.5" x14ac:dyDescent="0.25">
      <c r="A2" s="380" t="s">
        <v>1064</v>
      </c>
      <c r="B2" s="728" t="str">
        <f>HLOOKUP(Start!$B$20,$D$1:$AW$75,+C2, FALSE)</f>
        <v>Danish Environmental Agency (2010): Fast overdækning af gyllebeholder.  Danish EPA technology sheet (date: 11.11.2010) combined with Information from the online system for revision of the IRPP BREF document the by the European IPPC Bureau, BAT Information System (BATIS), datasheet: "Denmark. DK_storage_Tent_covering.pdf"</v>
      </c>
      <c r="C2" s="426">
        <f>+C1+1</f>
        <v>2</v>
      </c>
      <c r="D2" s="511"/>
      <c r="E2" s="1115"/>
      <c r="F2" s="967"/>
      <c r="G2" s="1123" t="s">
        <v>1186</v>
      </c>
      <c r="H2" s="1123" t="s">
        <v>1163</v>
      </c>
      <c r="I2" s="966"/>
      <c r="J2" s="967"/>
      <c r="K2" s="1123" t="s">
        <v>1094</v>
      </c>
      <c r="L2" s="966"/>
      <c r="M2" s="967"/>
      <c r="N2" s="968" t="s">
        <v>1104</v>
      </c>
      <c r="O2" s="968" t="s">
        <v>1104</v>
      </c>
      <c r="P2" s="968" t="s">
        <v>1104</v>
      </c>
      <c r="Q2" s="964"/>
      <c r="R2" s="965"/>
      <c r="S2" s="967"/>
      <c r="T2" s="968" t="s">
        <v>1104</v>
      </c>
      <c r="U2" s="968" t="s">
        <v>1104</v>
      </c>
      <c r="V2" s="968" t="s">
        <v>1104</v>
      </c>
      <c r="W2" s="964"/>
      <c r="X2" s="959"/>
    </row>
    <row r="3" spans="1:25" s="357" customFormat="1" ht="191.25" x14ac:dyDescent="0.25">
      <c r="A3" s="375" t="s">
        <v>368</v>
      </c>
      <c r="B3" s="728" t="str">
        <f>HLOOKUP(Start!$B$20,$D$1:$AW$75,+C3, FALSE)</f>
        <v xml:space="preserve">Cover with plastic tent. </v>
      </c>
      <c r="C3" s="426">
        <f t="shared" ref="C3:C66" si="0">+C2+1</f>
        <v>3</v>
      </c>
      <c r="D3" s="511"/>
      <c r="E3" s="1115"/>
      <c r="F3" s="511"/>
      <c r="G3" s="1125" t="s">
        <v>1086</v>
      </c>
      <c r="H3" s="359" t="s">
        <v>549</v>
      </c>
      <c r="J3" s="511"/>
      <c r="K3" s="379" t="s">
        <v>1092</v>
      </c>
      <c r="L3" s="379"/>
      <c r="M3" s="511"/>
      <c r="N3" s="359"/>
      <c r="O3" s="359"/>
      <c r="P3" s="359"/>
      <c r="Q3" s="359"/>
      <c r="R3" s="359"/>
      <c r="S3" s="511"/>
      <c r="T3" s="359"/>
      <c r="U3" s="359"/>
      <c r="V3" s="359"/>
      <c r="X3" s="959"/>
    </row>
    <row r="4" spans="1:25" s="357" customFormat="1" ht="127.5" x14ac:dyDescent="0.25">
      <c r="A4" s="380" t="s">
        <v>415</v>
      </c>
      <c r="B4" s="728" t="str">
        <f>HLOOKUP(Start!$B$20,$D$1:$AW$75,+C4, FALSE)</f>
        <v>Increase of N content due to lower losses; in areas with significant rainfall the DM content will be higher as the tent shelters rainfall from the slurry store. A reduction of greenhouse gases CO2, CH4 and N2O is expected" =&gt; influence on N2O emissions is unsure; CH4 emissions will only be reduced if a crust forms on the slurry surface and CH4 oxidation occurs in this crust. Estimated NH3 reduction: 50% compared to natural crust cover / straw cover.</v>
      </c>
      <c r="C4" s="426">
        <f t="shared" si="0"/>
        <v>4</v>
      </c>
      <c r="D4" s="511"/>
      <c r="E4" s="1115"/>
      <c r="F4" s="511"/>
      <c r="G4" s="359" t="s">
        <v>1087</v>
      </c>
      <c r="H4" s="359" t="s">
        <v>1088</v>
      </c>
      <c r="I4" s="359"/>
      <c r="J4" s="511"/>
      <c r="K4" s="736" t="s">
        <v>1095</v>
      </c>
      <c r="L4" s="736"/>
      <c r="M4" s="511"/>
      <c r="N4" s="524"/>
      <c r="O4" s="524"/>
      <c r="P4" s="524"/>
      <c r="Q4" s="359"/>
      <c r="R4" s="524"/>
      <c r="S4" s="511"/>
      <c r="T4" s="524"/>
      <c r="U4" s="524"/>
      <c r="V4" s="524"/>
      <c r="X4" s="959"/>
    </row>
    <row r="5" spans="1:25" s="357" customFormat="1" ht="45.75" customHeight="1" x14ac:dyDescent="0.25">
      <c r="A5" s="380" t="s">
        <v>812</v>
      </c>
      <c r="B5" s="728" t="str">
        <f>HLOOKUP(Start!$B$20,$D$1:$AW$75,+C5, FALSE)</f>
        <v>Warning: This technique does not contain data for N2O or CH4. Please interpret results with care.</v>
      </c>
      <c r="C5" s="426">
        <f t="shared" si="0"/>
        <v>5</v>
      </c>
      <c r="D5" s="511"/>
      <c r="E5" s="1115"/>
      <c r="F5" s="511"/>
      <c r="G5" s="379" t="s">
        <v>822</v>
      </c>
      <c r="H5" s="379" t="s">
        <v>822</v>
      </c>
      <c r="I5" s="359"/>
      <c r="J5" s="511"/>
      <c r="K5" s="379"/>
      <c r="L5" s="379"/>
      <c r="M5" s="511"/>
      <c r="N5" s="379" t="s">
        <v>822</v>
      </c>
      <c r="O5" s="379" t="s">
        <v>822</v>
      </c>
      <c r="P5" s="379" t="s">
        <v>822</v>
      </c>
      <c r="Q5" s="359"/>
      <c r="R5" s="524"/>
      <c r="S5" s="511"/>
      <c r="T5" s="379" t="s">
        <v>822</v>
      </c>
      <c r="U5" s="379" t="s">
        <v>822</v>
      </c>
      <c r="V5" s="379" t="s">
        <v>822</v>
      </c>
      <c r="X5" s="960"/>
    </row>
    <row r="6" spans="1:25" s="382" customFormat="1" ht="25.5" x14ac:dyDescent="0.25">
      <c r="A6" s="376" t="s">
        <v>428</v>
      </c>
      <c r="B6" s="728">
        <f>HLOOKUP(Start!$B$20,$D$1:$AW$75,+C6, FALSE)</f>
        <v>0</v>
      </c>
      <c r="C6" s="426">
        <f t="shared" si="0"/>
        <v>6</v>
      </c>
      <c r="D6" s="512"/>
      <c r="E6" s="826"/>
      <c r="F6" s="512"/>
      <c r="G6" s="383"/>
      <c r="H6" s="383"/>
      <c r="J6" s="512"/>
      <c r="L6" s="381"/>
      <c r="M6" s="512"/>
      <c r="S6" s="512"/>
      <c r="X6" s="959"/>
    </row>
    <row r="7" spans="1:25" s="357" customFormat="1" ht="12.75" x14ac:dyDescent="0.25">
      <c r="A7" s="390" t="s">
        <v>859</v>
      </c>
      <c r="B7" s="728">
        <f>HLOOKUP(Start!$B$20,$D$1:$AW$75,+C7, FALSE)</f>
        <v>0</v>
      </c>
      <c r="C7" s="426">
        <f t="shared" si="0"/>
        <v>7</v>
      </c>
      <c r="D7" s="513"/>
      <c r="E7" s="1109"/>
      <c r="F7" s="513"/>
      <c r="G7" s="384">
        <v>0</v>
      </c>
      <c r="H7" s="384">
        <v>0</v>
      </c>
      <c r="I7" s="384"/>
      <c r="J7" s="513"/>
      <c r="K7" s="384">
        <v>0</v>
      </c>
      <c r="L7" s="537"/>
      <c r="M7" s="513"/>
      <c r="N7" s="384"/>
      <c r="O7" s="384"/>
      <c r="P7" s="384"/>
      <c r="Q7" s="358"/>
      <c r="R7" s="384"/>
      <c r="S7" s="513"/>
      <c r="T7" s="384"/>
      <c r="U7" s="384"/>
      <c r="V7" s="384"/>
      <c r="X7" s="959"/>
    </row>
    <row r="8" spans="1:25" s="357" customFormat="1" ht="12.75" x14ac:dyDescent="0.25">
      <c r="A8" s="391" t="s">
        <v>860</v>
      </c>
      <c r="B8" s="728">
        <f>HLOOKUP(Start!$B$20,$D$1:$AW$75,+C8, FALSE)</f>
        <v>0</v>
      </c>
      <c r="C8" s="426">
        <f t="shared" si="0"/>
        <v>8</v>
      </c>
      <c r="D8" s="513"/>
      <c r="E8" s="1109"/>
      <c r="F8" s="513"/>
      <c r="G8" s="384">
        <v>0</v>
      </c>
      <c r="H8" s="384">
        <v>0</v>
      </c>
      <c r="I8" s="384"/>
      <c r="J8" s="513"/>
      <c r="K8" s="384">
        <v>0</v>
      </c>
      <c r="L8" s="537"/>
      <c r="M8" s="513"/>
      <c r="N8" s="384"/>
      <c r="O8" s="384"/>
      <c r="P8" s="384"/>
      <c r="Q8" s="358"/>
      <c r="R8" s="384"/>
      <c r="S8" s="513"/>
      <c r="T8" s="384"/>
      <c r="U8" s="384"/>
      <c r="V8" s="384"/>
      <c r="X8" s="961"/>
    </row>
    <row r="9" spans="1:25" s="357" customFormat="1" ht="12.75" x14ac:dyDescent="0.25">
      <c r="A9" s="390" t="s">
        <v>858</v>
      </c>
      <c r="B9" s="728">
        <f>HLOOKUP(Start!$B$20,$D$1:$AW$75,+C9, FALSE)</f>
        <v>0</v>
      </c>
      <c r="C9" s="426">
        <f t="shared" si="0"/>
        <v>9</v>
      </c>
      <c r="D9" s="513"/>
      <c r="E9" s="1109"/>
      <c r="F9" s="513"/>
      <c r="G9" s="384">
        <v>0</v>
      </c>
      <c r="H9" s="384">
        <v>0</v>
      </c>
      <c r="I9" s="384"/>
      <c r="J9" s="513"/>
      <c r="K9" s="384">
        <v>0</v>
      </c>
      <c r="L9" s="537"/>
      <c r="M9" s="513"/>
      <c r="N9" s="384"/>
      <c r="O9" s="384"/>
      <c r="P9" s="384"/>
      <c r="Q9" s="358"/>
      <c r="R9" s="384"/>
      <c r="S9" s="513"/>
      <c r="T9" s="384"/>
      <c r="U9" s="384"/>
      <c r="V9" s="384"/>
      <c r="X9" s="959"/>
    </row>
    <row r="10" spans="1:25" s="382" customFormat="1" ht="25.5" x14ac:dyDescent="0.25">
      <c r="A10" s="376" t="s">
        <v>424</v>
      </c>
      <c r="B10" s="728">
        <f>HLOOKUP(Start!$B$20,$D$1:$AW$75,+C10, FALSE)</f>
        <v>0</v>
      </c>
      <c r="C10" s="426">
        <f t="shared" si="0"/>
        <v>10</v>
      </c>
      <c r="D10" s="513"/>
      <c r="E10" s="1109"/>
      <c r="F10" s="513"/>
      <c r="G10" s="383"/>
      <c r="H10" s="383"/>
      <c r="J10" s="513"/>
      <c r="K10" s="383"/>
      <c r="L10" s="381"/>
      <c r="M10" s="513"/>
      <c r="S10" s="513"/>
      <c r="X10" s="959"/>
    </row>
    <row r="11" spans="1:25" s="357" customFormat="1" ht="12.75" x14ac:dyDescent="0.25">
      <c r="A11" s="357" t="s">
        <v>416</v>
      </c>
      <c r="B11" s="728">
        <f>HLOOKUP(Start!$B$20,$D$1:$AW$75,+C11, FALSE)</f>
        <v>0</v>
      </c>
      <c r="C11" s="426">
        <f t="shared" si="0"/>
        <v>11</v>
      </c>
      <c r="D11" s="514"/>
      <c r="E11" s="1116"/>
      <c r="F11" s="514"/>
      <c r="G11" s="384">
        <v>0</v>
      </c>
      <c r="H11" s="384">
        <v>0</v>
      </c>
      <c r="I11" s="384"/>
      <c r="J11" s="514"/>
      <c r="K11" s="384">
        <v>0</v>
      </c>
      <c r="L11" s="537"/>
      <c r="M11" s="514"/>
      <c r="N11" s="384"/>
      <c r="O11" s="384"/>
      <c r="P11" s="384"/>
      <c r="Q11" s="358"/>
      <c r="R11" s="384"/>
      <c r="S11" s="514"/>
      <c r="T11" s="384"/>
      <c r="U11" s="384"/>
      <c r="V11" s="384"/>
      <c r="X11" s="961"/>
    </row>
    <row r="12" spans="1:25" s="357" customFormat="1" ht="12.75" x14ac:dyDescent="0.25">
      <c r="A12" s="357" t="s">
        <v>417</v>
      </c>
      <c r="B12" s="728">
        <f>HLOOKUP(Start!$B$20,$D$1:$AW$75,+C12, FALSE)</f>
        <v>0</v>
      </c>
      <c r="C12" s="426">
        <f t="shared" si="0"/>
        <v>12</v>
      </c>
      <c r="D12" s="514"/>
      <c r="E12" s="1116"/>
      <c r="F12" s="514"/>
      <c r="G12" s="384">
        <v>0</v>
      </c>
      <c r="H12" s="384">
        <v>0</v>
      </c>
      <c r="I12" s="384"/>
      <c r="J12" s="514"/>
      <c r="K12" s="384">
        <v>0</v>
      </c>
      <c r="L12" s="429"/>
      <c r="M12" s="514"/>
      <c r="N12" s="385"/>
      <c r="O12" s="385"/>
      <c r="P12" s="385"/>
      <c r="Q12" s="358"/>
      <c r="R12" s="385"/>
      <c r="S12" s="514"/>
      <c r="T12" s="385"/>
      <c r="U12" s="385"/>
      <c r="V12" s="385"/>
      <c r="X12" s="959"/>
    </row>
    <row r="13" spans="1:25" s="357" customFormat="1" ht="12.75" x14ac:dyDescent="0.25">
      <c r="A13" s="357" t="s">
        <v>418</v>
      </c>
      <c r="B13" s="728">
        <f>HLOOKUP(Start!$B$20,$D$1:$AW$75,+C13, FALSE)</f>
        <v>0</v>
      </c>
      <c r="C13" s="426">
        <f t="shared" si="0"/>
        <v>13</v>
      </c>
      <c r="D13" s="514"/>
      <c r="E13" s="1116"/>
      <c r="F13" s="514"/>
      <c r="G13" s="384">
        <v>0</v>
      </c>
      <c r="H13" s="384">
        <v>0</v>
      </c>
      <c r="I13" s="384"/>
      <c r="J13" s="514"/>
      <c r="K13" s="384">
        <v>0</v>
      </c>
      <c r="L13" s="429"/>
      <c r="M13" s="514"/>
      <c r="N13" s="385"/>
      <c r="O13" s="385"/>
      <c r="P13" s="385"/>
      <c r="Q13" s="358"/>
      <c r="R13" s="385"/>
      <c r="S13" s="514"/>
      <c r="T13" s="385"/>
      <c r="U13" s="385"/>
      <c r="V13" s="385"/>
      <c r="X13" s="959"/>
    </row>
    <row r="14" spans="1:25" s="357" customFormat="1" ht="12.75" x14ac:dyDescent="0.25">
      <c r="A14" s="357" t="s">
        <v>419</v>
      </c>
      <c r="B14" s="728">
        <f>HLOOKUP(Start!$B$20,$D$1:$AW$75,+C14, FALSE)</f>
        <v>0</v>
      </c>
      <c r="C14" s="426">
        <f t="shared" si="0"/>
        <v>14</v>
      </c>
      <c r="D14" s="514"/>
      <c r="E14" s="1116"/>
      <c r="F14" s="514"/>
      <c r="G14" s="384">
        <v>0</v>
      </c>
      <c r="H14" s="384">
        <v>0</v>
      </c>
      <c r="I14" s="384"/>
      <c r="J14" s="514"/>
      <c r="K14" s="384">
        <v>0</v>
      </c>
      <c r="L14" s="737"/>
      <c r="M14" s="514"/>
      <c r="N14" s="548"/>
      <c r="O14" s="548"/>
      <c r="P14" s="548"/>
      <c r="Q14" s="429"/>
      <c r="R14" s="548"/>
      <c r="S14" s="514"/>
      <c r="T14" s="548"/>
      <c r="U14" s="548"/>
      <c r="V14" s="548"/>
      <c r="X14" s="959"/>
    </row>
    <row r="15" spans="1:25" s="382" customFormat="1" ht="25.5" x14ac:dyDescent="0.25">
      <c r="A15" s="376" t="s">
        <v>425</v>
      </c>
      <c r="B15" s="728">
        <f>HLOOKUP(Start!$B$20,$D$1:$AW$75,+C15, FALSE)</f>
        <v>0</v>
      </c>
      <c r="C15" s="426">
        <f t="shared" si="0"/>
        <v>15</v>
      </c>
      <c r="D15" s="515"/>
      <c r="E15" s="1117"/>
      <c r="F15" s="515"/>
      <c r="G15" s="388"/>
      <c r="H15" s="388"/>
      <c r="I15" s="387"/>
      <c r="J15" s="515"/>
      <c r="K15" s="387"/>
      <c r="L15" s="662"/>
      <c r="M15" s="515"/>
      <c r="N15" s="387"/>
      <c r="O15" s="387"/>
      <c r="P15" s="387"/>
      <c r="R15" s="387"/>
      <c r="S15" s="515"/>
      <c r="T15" s="387"/>
      <c r="U15" s="387"/>
      <c r="V15" s="387"/>
      <c r="X15" s="959"/>
    </row>
    <row r="16" spans="1:25" s="357" customFormat="1" ht="12.75" x14ac:dyDescent="0.25">
      <c r="A16" s="357" t="s">
        <v>416</v>
      </c>
      <c r="B16" s="728">
        <f>HLOOKUP(Start!$B$20,$D$1:$AW$75,+C16, FALSE)</f>
        <v>-50</v>
      </c>
      <c r="C16" s="426">
        <f t="shared" si="0"/>
        <v>16</v>
      </c>
      <c r="D16" s="516"/>
      <c r="E16" s="1110"/>
      <c r="F16" s="516"/>
      <c r="G16" s="384">
        <v>-50</v>
      </c>
      <c r="H16" s="384">
        <v>0</v>
      </c>
      <c r="I16" s="384"/>
      <c r="J16" s="516"/>
      <c r="K16" s="384">
        <f>-(5-3)/5*100</f>
        <v>-40</v>
      </c>
      <c r="L16" s="537"/>
      <c r="M16" s="516"/>
      <c r="N16" s="384">
        <v>-90</v>
      </c>
      <c r="O16" s="384">
        <v>-70</v>
      </c>
      <c r="P16" s="384">
        <v>-70</v>
      </c>
      <c r="Q16" s="384"/>
      <c r="R16" s="384"/>
      <c r="S16" s="516"/>
      <c r="T16" s="384">
        <v>-90</v>
      </c>
      <c r="U16" s="384">
        <v>-70</v>
      </c>
      <c r="V16" s="384">
        <v>-70</v>
      </c>
      <c r="X16" s="961"/>
    </row>
    <row r="17" spans="1:24" s="357" customFormat="1" ht="12.75" x14ac:dyDescent="0.25">
      <c r="A17" s="357" t="s">
        <v>417</v>
      </c>
      <c r="B17" s="728">
        <f>HLOOKUP(Start!$B$20,$D$1:$AW$75,+C17, FALSE)</f>
        <v>0</v>
      </c>
      <c r="C17" s="426">
        <f t="shared" si="0"/>
        <v>17</v>
      </c>
      <c r="D17" s="516"/>
      <c r="E17" s="1110"/>
      <c r="F17" s="516"/>
      <c r="H17" s="384">
        <v>0</v>
      </c>
      <c r="J17" s="516"/>
      <c r="K17" s="384">
        <v>0</v>
      </c>
      <c r="L17" s="537"/>
      <c r="M17" s="516"/>
      <c r="N17" s="384"/>
      <c r="O17" s="384"/>
      <c r="P17" s="384"/>
      <c r="Q17" s="384"/>
      <c r="R17" s="384"/>
      <c r="S17" s="516"/>
      <c r="T17" s="384"/>
      <c r="U17" s="384"/>
      <c r="V17" s="384"/>
      <c r="X17" s="959"/>
    </row>
    <row r="18" spans="1:24" s="357" customFormat="1" ht="12.75" x14ac:dyDescent="0.25">
      <c r="A18" s="357" t="s">
        <v>418</v>
      </c>
      <c r="B18" s="728">
        <f>HLOOKUP(Start!$B$20,$D$1:$AW$75,+C18, FALSE)</f>
        <v>0</v>
      </c>
      <c r="C18" s="426">
        <f t="shared" si="0"/>
        <v>18</v>
      </c>
      <c r="D18" s="516"/>
      <c r="E18" s="1110"/>
      <c r="F18" s="516"/>
      <c r="H18" s="384">
        <v>0</v>
      </c>
      <c r="J18" s="516"/>
      <c r="K18" s="384">
        <v>0</v>
      </c>
      <c r="L18" s="537"/>
      <c r="M18" s="516"/>
      <c r="N18" s="384"/>
      <c r="O18" s="384"/>
      <c r="P18" s="384"/>
      <c r="Q18" s="384"/>
      <c r="R18" s="384"/>
      <c r="S18" s="516"/>
      <c r="T18" s="384"/>
      <c r="U18" s="384"/>
      <c r="V18" s="384"/>
      <c r="X18" s="959"/>
    </row>
    <row r="19" spans="1:24" s="357" customFormat="1" ht="12.75" x14ac:dyDescent="0.25">
      <c r="A19" s="357" t="s">
        <v>419</v>
      </c>
      <c r="B19" s="728">
        <f>HLOOKUP(Start!$B$20,$D$1:$AW$75,+C19, FALSE)</f>
        <v>-50</v>
      </c>
      <c r="C19" s="426">
        <f t="shared" si="0"/>
        <v>19</v>
      </c>
      <c r="D19" s="516"/>
      <c r="E19" s="1110"/>
      <c r="F19" s="516"/>
      <c r="G19" s="384">
        <v>-50</v>
      </c>
      <c r="H19" s="384">
        <v>0</v>
      </c>
      <c r="I19" s="389"/>
      <c r="J19" s="516"/>
      <c r="K19" s="384">
        <v>0</v>
      </c>
      <c r="L19" s="537"/>
      <c r="M19" s="516"/>
      <c r="N19" s="384"/>
      <c r="O19" s="384"/>
      <c r="P19" s="384"/>
      <c r="Q19" s="384"/>
      <c r="R19" s="384"/>
      <c r="S19" s="516"/>
      <c r="T19" s="384"/>
      <c r="U19" s="384"/>
      <c r="V19" s="384"/>
      <c r="X19" s="959"/>
    </row>
    <row r="20" spans="1:24" s="382" customFormat="1" ht="12.75" x14ac:dyDescent="0.25">
      <c r="A20" s="376" t="s">
        <v>414</v>
      </c>
      <c r="B20" s="728">
        <f>HLOOKUP(Start!$B$20,$D$1:$AW$75,+C20, FALSE)</f>
        <v>0</v>
      </c>
      <c r="C20" s="426">
        <f t="shared" si="0"/>
        <v>20</v>
      </c>
      <c r="D20" s="515"/>
      <c r="E20" s="1117"/>
      <c r="F20" s="515"/>
      <c r="G20" s="388"/>
      <c r="H20" s="388"/>
      <c r="I20" s="387"/>
      <c r="J20" s="515"/>
      <c r="K20" s="388"/>
      <c r="L20" s="381"/>
      <c r="M20" s="515"/>
      <c r="S20" s="515"/>
      <c r="X20" s="959"/>
    </row>
    <row r="21" spans="1:24" s="357" customFormat="1" ht="12.75" x14ac:dyDescent="0.25">
      <c r="A21" s="357" t="s">
        <v>416</v>
      </c>
      <c r="B21" s="728">
        <f>HLOOKUP(Start!$B$20,$D$1:$AW$75,+C21, FALSE)</f>
        <v>0</v>
      </c>
      <c r="C21" s="426">
        <f t="shared" si="0"/>
        <v>21</v>
      </c>
      <c r="D21" s="516"/>
      <c r="E21" s="1110"/>
      <c r="F21" s="516"/>
      <c r="G21" s="386">
        <v>0</v>
      </c>
      <c r="H21" s="386">
        <v>0</v>
      </c>
      <c r="I21" s="386"/>
      <c r="J21" s="516"/>
      <c r="K21" s="386">
        <v>0</v>
      </c>
      <c r="L21" s="738"/>
      <c r="M21" s="516"/>
      <c r="N21" s="389"/>
      <c r="O21" s="389"/>
      <c r="P21" s="389"/>
      <c r="Q21" s="389"/>
      <c r="R21" s="389"/>
      <c r="S21" s="516"/>
      <c r="T21" s="389"/>
      <c r="U21" s="389"/>
      <c r="V21" s="389"/>
      <c r="X21" s="961"/>
    </row>
    <row r="22" spans="1:24" s="357" customFormat="1" ht="12.75" x14ac:dyDescent="0.25">
      <c r="A22" s="357" t="s">
        <v>417</v>
      </c>
      <c r="B22" s="728">
        <f>HLOOKUP(Start!$B$20,$D$1:$AW$75,+C22, FALSE)</f>
        <v>0</v>
      </c>
      <c r="C22" s="426">
        <f t="shared" si="0"/>
        <v>22</v>
      </c>
      <c r="D22" s="516"/>
      <c r="E22" s="1110"/>
      <c r="F22" s="516"/>
      <c r="G22" s="386">
        <v>0</v>
      </c>
      <c r="H22" s="386">
        <v>0</v>
      </c>
      <c r="I22" s="386"/>
      <c r="J22" s="516"/>
      <c r="K22" s="386">
        <v>0</v>
      </c>
      <c r="L22" s="537"/>
      <c r="M22" s="516"/>
      <c r="N22" s="384"/>
      <c r="O22" s="384"/>
      <c r="P22" s="384"/>
      <c r="Q22" s="384"/>
      <c r="R22" s="384"/>
      <c r="S22" s="516"/>
      <c r="T22" s="384"/>
      <c r="U22" s="384"/>
      <c r="V22" s="384"/>
      <c r="X22" s="959"/>
    </row>
    <row r="23" spans="1:24" s="357" customFormat="1" ht="12.75" x14ac:dyDescent="0.25">
      <c r="A23" s="357" t="s">
        <v>418</v>
      </c>
      <c r="B23" s="728">
        <f>HLOOKUP(Start!$B$20,$D$1:$AW$75,+C23, FALSE)</f>
        <v>0</v>
      </c>
      <c r="C23" s="426">
        <f t="shared" si="0"/>
        <v>23</v>
      </c>
      <c r="D23" s="516"/>
      <c r="E23" s="1110"/>
      <c r="F23" s="516"/>
      <c r="G23" s="386">
        <v>0</v>
      </c>
      <c r="H23" s="386">
        <v>0</v>
      </c>
      <c r="I23" s="386"/>
      <c r="J23" s="516"/>
      <c r="K23" s="386">
        <v>0</v>
      </c>
      <c r="L23" s="537"/>
      <c r="M23" s="516"/>
      <c r="N23" s="384"/>
      <c r="O23" s="384"/>
      <c r="P23" s="384"/>
      <c r="Q23" s="384"/>
      <c r="R23" s="384"/>
      <c r="S23" s="516"/>
      <c r="T23" s="384"/>
      <c r="U23" s="384"/>
      <c r="V23" s="384"/>
      <c r="X23" s="959"/>
    </row>
    <row r="24" spans="1:24" s="357" customFormat="1" ht="12.75" x14ac:dyDescent="0.25">
      <c r="A24" s="357" t="s">
        <v>419</v>
      </c>
      <c r="B24" s="728" t="str">
        <f>HLOOKUP(Start!$B$20,$D$1:$AW$75,+C24, FALSE)</f>
        <v>No change</v>
      </c>
      <c r="C24" s="426">
        <f t="shared" si="0"/>
        <v>24</v>
      </c>
      <c r="D24" s="516"/>
      <c r="E24" s="1110"/>
      <c r="F24" s="516"/>
      <c r="G24" s="384" t="s">
        <v>398</v>
      </c>
      <c r="H24" s="384" t="s">
        <v>398</v>
      </c>
      <c r="I24" s="384"/>
      <c r="J24" s="516"/>
      <c r="K24" s="537"/>
      <c r="L24" s="537"/>
      <c r="M24" s="516"/>
      <c r="N24" s="384"/>
      <c r="O24" s="384"/>
      <c r="P24" s="384"/>
      <c r="Q24" s="384"/>
      <c r="R24" s="384"/>
      <c r="S24" s="516"/>
      <c r="T24" s="384"/>
      <c r="U24" s="384"/>
      <c r="V24" s="384"/>
      <c r="X24" s="959"/>
    </row>
    <row r="25" spans="1:24" s="357" customFormat="1" ht="77.25" thickBot="1" x14ac:dyDescent="0.3">
      <c r="A25" s="357" t="s">
        <v>415</v>
      </c>
      <c r="B25" s="728" t="str">
        <f>HLOOKUP(Start!$B$20,$D$1:$AW$75,+C25, FALSE)</f>
        <v>Increase of N content due to lower losses; in areas with significant rainfall the DM content will be higher as the tent shelters rainfall from the slurry store</v>
      </c>
      <c r="C25" s="426">
        <f t="shared" si="0"/>
        <v>25</v>
      </c>
      <c r="D25" s="511"/>
      <c r="E25" s="1115"/>
      <c r="F25" s="511"/>
      <c r="G25" s="392" t="s">
        <v>400</v>
      </c>
      <c r="H25" s="392" t="s">
        <v>550</v>
      </c>
      <c r="I25" s="392"/>
      <c r="J25" s="511"/>
      <c r="K25" s="525"/>
      <c r="L25" s="525"/>
      <c r="M25" s="511"/>
      <c r="N25" s="525" t="s">
        <v>667</v>
      </c>
      <c r="O25" s="525" t="s">
        <v>668</v>
      </c>
      <c r="P25" s="525" t="s">
        <v>669</v>
      </c>
      <c r="Q25" s="359"/>
      <c r="R25" s="525"/>
      <c r="S25" s="511"/>
      <c r="T25" s="525" t="s">
        <v>667</v>
      </c>
      <c r="U25" s="525" t="s">
        <v>668</v>
      </c>
      <c r="V25" s="525" t="s">
        <v>669</v>
      </c>
      <c r="X25" s="959"/>
    </row>
    <row r="26" spans="1:24" s="382" customFormat="1" ht="25.5" x14ac:dyDescent="0.25">
      <c r="A26" s="398" t="s">
        <v>427</v>
      </c>
      <c r="B26" s="728">
        <f>HLOOKUP(Start!$B$20,$D$1:$AW$75,+C26, FALSE)</f>
        <v>0</v>
      </c>
      <c r="C26" s="426">
        <f t="shared" si="0"/>
        <v>26</v>
      </c>
      <c r="D26" s="512"/>
      <c r="E26" s="826"/>
      <c r="F26" s="512"/>
      <c r="G26" s="383"/>
      <c r="H26" s="383"/>
      <c r="I26" s="383"/>
      <c r="J26" s="512"/>
      <c r="K26" s="383"/>
      <c r="L26" s="381"/>
      <c r="M26" s="512"/>
      <c r="S26" s="512"/>
      <c r="X26" s="959"/>
    </row>
    <row r="27" spans="1:24" s="357" customFormat="1" ht="12.75" x14ac:dyDescent="0.25">
      <c r="A27" s="359" t="s">
        <v>569</v>
      </c>
      <c r="B27" s="728">
        <f>HLOOKUP(Start!$B$20,$D$1:$AW$75,+C27, FALSE)</f>
        <v>0</v>
      </c>
      <c r="C27" s="426">
        <f t="shared" si="0"/>
        <v>27</v>
      </c>
      <c r="D27" s="516"/>
      <c r="E27" s="1110"/>
      <c r="F27" s="516"/>
      <c r="G27" s="384">
        <v>0</v>
      </c>
      <c r="H27" s="384">
        <v>0</v>
      </c>
      <c r="I27" s="358"/>
      <c r="J27" s="516"/>
      <c r="K27" s="384">
        <v>0</v>
      </c>
      <c r="L27" s="537"/>
      <c r="M27" s="516"/>
      <c r="N27" s="537"/>
      <c r="O27" s="537"/>
      <c r="P27" s="537"/>
      <c r="Q27" s="384"/>
      <c r="R27" s="537"/>
      <c r="S27" s="516"/>
      <c r="T27" s="537"/>
      <c r="U27" s="537"/>
      <c r="V27" s="537"/>
      <c r="X27" s="959"/>
    </row>
    <row r="28" spans="1:24" s="357" customFormat="1" ht="12.75" x14ac:dyDescent="0.25">
      <c r="A28" s="530" t="s">
        <v>1085</v>
      </c>
      <c r="B28" s="728">
        <f>HLOOKUP(Start!$B$20,$D$1:$AW$75,+C28, FALSE)</f>
        <v>0</v>
      </c>
      <c r="C28" s="426">
        <f t="shared" si="0"/>
        <v>28</v>
      </c>
      <c r="D28" s="516"/>
      <c r="E28" s="1110"/>
      <c r="F28" s="516"/>
      <c r="G28" s="384">
        <v>0</v>
      </c>
      <c r="H28" s="384">
        <v>11</v>
      </c>
      <c r="I28" s="358"/>
      <c r="J28" s="516"/>
      <c r="K28" s="384">
        <v>0</v>
      </c>
      <c r="L28" s="439"/>
      <c r="M28" s="516"/>
      <c r="N28" s="439"/>
      <c r="O28" s="439"/>
      <c r="P28" s="439"/>
      <c r="Q28" s="384"/>
      <c r="R28" s="439"/>
      <c r="S28" s="516"/>
      <c r="T28" s="439"/>
      <c r="U28" s="439"/>
      <c r="V28" s="439"/>
      <c r="X28" s="959"/>
    </row>
    <row r="29" spans="1:24" s="357" customFormat="1" ht="12.75" x14ac:dyDescent="0.25">
      <c r="A29" s="359" t="s">
        <v>570</v>
      </c>
      <c r="B29" s="728">
        <f>HLOOKUP(Start!$B$20,$D$1:$AW$75,+C29, FALSE)</f>
        <v>0</v>
      </c>
      <c r="C29" s="426">
        <f t="shared" si="0"/>
        <v>29</v>
      </c>
      <c r="D29" s="516"/>
      <c r="E29" s="1110"/>
      <c r="F29" s="516"/>
      <c r="G29" s="384"/>
      <c r="H29" s="384"/>
      <c r="I29" s="358"/>
      <c r="J29" s="516"/>
      <c r="K29" s="384"/>
      <c r="L29" s="537"/>
      <c r="M29" s="516"/>
      <c r="N29" s="384"/>
      <c r="O29" s="384"/>
      <c r="P29" s="384"/>
      <c r="Q29" s="384"/>
      <c r="R29" s="384"/>
      <c r="S29" s="516"/>
      <c r="T29" s="384"/>
      <c r="U29" s="384"/>
      <c r="V29" s="384"/>
      <c r="X29" s="959"/>
    </row>
    <row r="30" spans="1:24" s="357" customFormat="1" ht="12.75" x14ac:dyDescent="0.25">
      <c r="A30" s="359" t="s">
        <v>413</v>
      </c>
      <c r="B30" s="728">
        <f>HLOOKUP(Start!$B$20,$D$1:$AW$75,+C30, FALSE)</f>
        <v>0</v>
      </c>
      <c r="C30" s="426">
        <f t="shared" si="0"/>
        <v>30</v>
      </c>
      <c r="D30" s="516"/>
      <c r="E30" s="1110"/>
      <c r="F30" s="516"/>
      <c r="G30" s="384">
        <v>0</v>
      </c>
      <c r="H30" s="384">
        <v>0</v>
      </c>
      <c r="I30" s="360"/>
      <c r="J30" s="516"/>
      <c r="K30" s="384">
        <v>0</v>
      </c>
      <c r="L30" s="537"/>
      <c r="M30" s="516"/>
      <c r="N30" s="384"/>
      <c r="O30" s="384"/>
      <c r="P30" s="384"/>
      <c r="Q30" s="384"/>
      <c r="R30" s="384"/>
      <c r="S30" s="516"/>
      <c r="T30" s="384"/>
      <c r="U30" s="384"/>
      <c r="V30" s="384"/>
      <c r="X30" s="959"/>
    </row>
    <row r="31" spans="1:24" s="357" customFormat="1" ht="12.75" x14ac:dyDescent="0.25">
      <c r="A31" s="359" t="s">
        <v>420</v>
      </c>
      <c r="B31" s="728">
        <f>HLOOKUP(Start!$B$20,$D$1:$AW$75,+C31, FALSE)</f>
        <v>0</v>
      </c>
      <c r="C31" s="426">
        <f t="shared" si="0"/>
        <v>31</v>
      </c>
      <c r="D31" s="516"/>
      <c r="E31" s="1110"/>
      <c r="F31" s="516"/>
      <c r="G31" s="384">
        <v>0</v>
      </c>
      <c r="H31" s="384">
        <v>0</v>
      </c>
      <c r="I31" s="360"/>
      <c r="J31" s="516"/>
      <c r="K31" s="384">
        <v>0</v>
      </c>
      <c r="L31" s="537"/>
      <c r="M31" s="516"/>
      <c r="N31" s="384"/>
      <c r="O31" s="384"/>
      <c r="P31" s="384"/>
      <c r="Q31" s="384"/>
      <c r="R31" s="384"/>
      <c r="S31" s="516"/>
      <c r="T31" s="384"/>
      <c r="U31" s="384"/>
      <c r="V31" s="384"/>
      <c r="X31" s="959"/>
    </row>
    <row r="32" spans="1:24" s="357" customFormat="1" ht="12.75" x14ac:dyDescent="0.25">
      <c r="A32" s="359" t="s">
        <v>421</v>
      </c>
      <c r="B32" s="728">
        <f>HLOOKUP(Start!$B$20,$D$1:$AW$75,+C32, FALSE)</f>
        <v>0</v>
      </c>
      <c r="C32" s="426">
        <f t="shared" si="0"/>
        <v>32</v>
      </c>
      <c r="D32" s="516"/>
      <c r="E32" s="1110"/>
      <c r="F32" s="516"/>
      <c r="G32" s="384">
        <v>0</v>
      </c>
      <c r="H32" s="384">
        <v>0</v>
      </c>
      <c r="I32" s="360"/>
      <c r="J32" s="516"/>
      <c r="K32" s="384">
        <v>0</v>
      </c>
      <c r="L32" s="537"/>
      <c r="M32" s="516"/>
      <c r="N32" s="384"/>
      <c r="O32" s="384"/>
      <c r="P32" s="384"/>
      <c r="Q32" s="384"/>
      <c r="R32" s="384"/>
      <c r="S32" s="516"/>
      <c r="T32" s="384"/>
      <c r="U32" s="384"/>
      <c r="V32" s="384"/>
      <c r="X32" s="959"/>
    </row>
    <row r="33" spans="1:24" s="357" customFormat="1" ht="12.75" x14ac:dyDescent="0.25">
      <c r="A33" s="359" t="s">
        <v>422</v>
      </c>
      <c r="B33" s="728">
        <f>HLOOKUP(Start!$B$20,$D$1:$AW$75,+C33, FALSE)</f>
        <v>0</v>
      </c>
      <c r="C33" s="426">
        <f t="shared" si="0"/>
        <v>33</v>
      </c>
      <c r="D33" s="516"/>
      <c r="E33" s="1110"/>
      <c r="F33" s="516"/>
      <c r="G33" s="384">
        <v>0</v>
      </c>
      <c r="H33" s="384">
        <v>0</v>
      </c>
      <c r="I33" s="360"/>
      <c r="J33" s="516"/>
      <c r="K33" s="384">
        <v>0</v>
      </c>
      <c r="L33" s="526"/>
      <c r="M33" s="516"/>
      <c r="N33" s="526"/>
      <c r="O33" s="526"/>
      <c r="P33" s="526"/>
      <c r="Q33" s="384"/>
      <c r="R33" s="526"/>
      <c r="S33" s="516"/>
      <c r="T33" s="526"/>
      <c r="U33" s="526"/>
      <c r="V33" s="526"/>
      <c r="X33" s="959"/>
    </row>
    <row r="34" spans="1:24" s="357" customFormat="1" ht="25.5" x14ac:dyDescent="0.25">
      <c r="A34" s="379" t="s">
        <v>431</v>
      </c>
      <c r="B34" s="728">
        <f>HLOOKUP(Start!$B$20,$D$1:$AW$75,+C34, FALSE)</f>
        <v>0</v>
      </c>
      <c r="C34" s="426">
        <f t="shared" si="0"/>
        <v>34</v>
      </c>
      <c r="D34" s="516"/>
      <c r="E34" s="1110"/>
      <c r="F34" s="516"/>
      <c r="G34" s="384">
        <v>0</v>
      </c>
      <c r="H34" s="384">
        <v>0</v>
      </c>
      <c r="I34" s="360"/>
      <c r="J34" s="516"/>
      <c r="K34" s="384">
        <v>0</v>
      </c>
      <c r="L34" s="537"/>
      <c r="M34" s="516"/>
      <c r="N34" s="384"/>
      <c r="O34" s="384"/>
      <c r="P34" s="384"/>
      <c r="Q34" s="384"/>
      <c r="R34" s="384"/>
      <c r="S34" s="516"/>
      <c r="T34" s="384"/>
      <c r="U34" s="384"/>
      <c r="V34" s="384"/>
      <c r="X34" s="959"/>
    </row>
    <row r="35" spans="1:24" s="357" customFormat="1" ht="12.75" x14ac:dyDescent="0.25">
      <c r="A35" s="379"/>
      <c r="B35" s="728">
        <f>HLOOKUP(Start!$B$20,$D$1:$AW$75,+C35, FALSE)</f>
        <v>0</v>
      </c>
      <c r="C35" s="426">
        <f t="shared" si="0"/>
        <v>35</v>
      </c>
      <c r="D35" s="516"/>
      <c r="E35" s="1110"/>
      <c r="F35" s="516"/>
      <c r="G35" s="384"/>
      <c r="H35" s="384"/>
      <c r="I35" s="360"/>
      <c r="J35" s="516"/>
      <c r="K35" s="384"/>
      <c r="L35" s="537"/>
      <c r="M35" s="516"/>
      <c r="N35" s="384"/>
      <c r="O35" s="384"/>
      <c r="P35" s="384"/>
      <c r="Q35" s="384"/>
      <c r="R35" s="384"/>
      <c r="S35" s="516"/>
      <c r="T35" s="384"/>
      <c r="U35" s="384"/>
      <c r="V35" s="384"/>
      <c r="X35" s="959"/>
    </row>
    <row r="36" spans="1:24" s="315" customFormat="1" ht="76.5" x14ac:dyDescent="0.25">
      <c r="A36" s="381" t="s">
        <v>415</v>
      </c>
      <c r="B36" s="728">
        <f>HLOOKUP(Start!$B$20,$D$1:$AW$75,+C36, FALSE)</f>
        <v>0</v>
      </c>
      <c r="C36" s="426">
        <f t="shared" si="0"/>
        <v>36</v>
      </c>
      <c r="D36" s="517"/>
      <c r="E36" s="1118"/>
      <c r="F36" s="517"/>
      <c r="H36" s="536" t="s">
        <v>551</v>
      </c>
      <c r="J36" s="517"/>
      <c r="L36" s="736"/>
      <c r="M36" s="517"/>
      <c r="N36" s="524"/>
      <c r="O36" s="524"/>
      <c r="P36" s="524"/>
      <c r="Q36" s="534"/>
      <c r="R36" s="524"/>
      <c r="S36" s="517"/>
      <c r="T36" s="524"/>
      <c r="U36" s="524"/>
      <c r="V36" s="524"/>
      <c r="X36" s="962"/>
    </row>
    <row r="37" spans="1:24" s="382" customFormat="1" ht="12.75" x14ac:dyDescent="0.25">
      <c r="A37" s="465" t="s">
        <v>482</v>
      </c>
      <c r="B37" s="728">
        <f>HLOOKUP(Start!$B$20,$D$1:$AW$75,+C37, FALSE)</f>
        <v>0</v>
      </c>
      <c r="C37" s="426">
        <f t="shared" si="0"/>
        <v>37</v>
      </c>
      <c r="D37" s="512"/>
      <c r="E37" s="826"/>
      <c r="F37" s="512"/>
      <c r="G37" s="383"/>
      <c r="H37" s="383"/>
      <c r="I37" s="383"/>
      <c r="J37" s="512"/>
      <c r="K37" s="383"/>
      <c r="L37" s="393"/>
      <c r="M37" s="512"/>
      <c r="N37" s="466"/>
      <c r="O37" s="466"/>
      <c r="P37" s="466"/>
      <c r="R37" s="466"/>
      <c r="S37" s="512"/>
      <c r="T37" s="466"/>
      <c r="U37" s="466"/>
      <c r="V37" s="466"/>
      <c r="X37" s="959"/>
    </row>
    <row r="38" spans="1:24" s="357" customFormat="1" ht="24" x14ac:dyDescent="0.25">
      <c r="A38" s="489" t="s">
        <v>517</v>
      </c>
      <c r="B38" s="728">
        <f>HLOOKUP(Start!$B$20,$D$1:$AW$75,+C38, FALSE)</f>
        <v>0</v>
      </c>
      <c r="C38" s="426">
        <f t="shared" si="0"/>
        <v>38</v>
      </c>
      <c r="D38" s="518"/>
      <c r="E38" s="1119"/>
      <c r="F38" s="518"/>
      <c r="G38" s="358"/>
      <c r="H38" s="358"/>
      <c r="I38" s="360"/>
      <c r="J38" s="518"/>
      <c r="K38" s="358"/>
      <c r="L38" s="393"/>
      <c r="M38" s="518"/>
      <c r="N38" s="393"/>
      <c r="O38" s="393"/>
      <c r="P38" s="393"/>
      <c r="R38" s="393"/>
      <c r="S38" s="518"/>
      <c r="T38" s="393"/>
      <c r="U38" s="393"/>
      <c r="V38" s="393"/>
      <c r="X38" s="959"/>
    </row>
    <row r="39" spans="1:24" s="357" customFormat="1" ht="24" x14ac:dyDescent="0.25">
      <c r="A39" s="489" t="s">
        <v>518</v>
      </c>
      <c r="B39" s="728">
        <f>HLOOKUP(Start!$B$20,$D$1:$AW$75,+C39, FALSE)</f>
        <v>0</v>
      </c>
      <c r="C39" s="426">
        <f t="shared" si="0"/>
        <v>39</v>
      </c>
      <c r="D39" s="516"/>
      <c r="E39" s="1110"/>
      <c r="F39" s="516"/>
      <c r="G39" s="358"/>
      <c r="H39" s="358"/>
      <c r="I39" s="360"/>
      <c r="J39" s="516"/>
      <c r="K39" s="358"/>
      <c r="L39" s="393"/>
      <c r="M39" s="516"/>
      <c r="N39" s="393"/>
      <c r="O39" s="393"/>
      <c r="P39" s="393"/>
      <c r="R39" s="393"/>
      <c r="S39" s="516"/>
      <c r="T39" s="393"/>
      <c r="U39" s="393"/>
      <c r="V39" s="393"/>
      <c r="X39" s="959"/>
    </row>
    <row r="40" spans="1:24" s="357" customFormat="1" ht="24" x14ac:dyDescent="0.25">
      <c r="A40" s="489" t="s">
        <v>491</v>
      </c>
      <c r="B40" s="728">
        <f>HLOOKUP(Start!$B$20,$D$1:$AW$75,+C40, FALSE)</f>
        <v>0</v>
      </c>
      <c r="C40" s="426">
        <f t="shared" si="0"/>
        <v>40</v>
      </c>
      <c r="D40" s="519"/>
      <c r="E40" s="1120"/>
      <c r="F40" s="519"/>
      <c r="G40" s="358"/>
      <c r="H40" s="358"/>
      <c r="I40" s="360"/>
      <c r="J40" s="519"/>
      <c r="K40" s="358"/>
      <c r="L40" s="393"/>
      <c r="M40" s="519"/>
      <c r="N40" s="393"/>
      <c r="O40" s="393"/>
      <c r="P40" s="393"/>
      <c r="R40" s="393"/>
      <c r="S40" s="519"/>
      <c r="T40" s="393"/>
      <c r="U40" s="393"/>
      <c r="V40" s="393"/>
      <c r="X40" s="959"/>
    </row>
    <row r="41" spans="1:24" s="382" customFormat="1" ht="12.75" x14ac:dyDescent="0.25">
      <c r="A41" s="465" t="s">
        <v>462</v>
      </c>
      <c r="B41" s="728">
        <f>HLOOKUP(Start!$B$20,$D$1:$AW$75,+C41, FALSE)</f>
        <v>0</v>
      </c>
      <c r="C41" s="426">
        <f t="shared" si="0"/>
        <v>41</v>
      </c>
      <c r="D41" s="512"/>
      <c r="E41" s="826"/>
      <c r="F41" s="512"/>
      <c r="G41" s="383"/>
      <c r="H41" s="383"/>
      <c r="I41" s="383"/>
      <c r="J41" s="512"/>
      <c r="K41" s="383"/>
      <c r="L41" s="393"/>
      <c r="M41" s="512"/>
      <c r="N41" s="466"/>
      <c r="O41" s="466"/>
      <c r="P41" s="466"/>
      <c r="R41" s="466"/>
      <c r="S41" s="512"/>
      <c r="T41" s="466"/>
      <c r="U41" s="466"/>
      <c r="V41" s="466"/>
      <c r="X41" s="959"/>
    </row>
    <row r="42" spans="1:24" s="357" customFormat="1" ht="12.75" x14ac:dyDescent="0.2">
      <c r="A42" s="467" t="s">
        <v>453</v>
      </c>
      <c r="B42" s="728">
        <f>HLOOKUP(Start!$B$20,$D$1:$AW$75,+C42, FALSE)</f>
        <v>0</v>
      </c>
      <c r="C42" s="426">
        <f t="shared" si="0"/>
        <v>42</v>
      </c>
      <c r="D42" s="513"/>
      <c r="E42" s="1109"/>
      <c r="F42" s="513"/>
      <c r="G42" s="358"/>
      <c r="H42" s="358"/>
      <c r="I42" s="360"/>
      <c r="J42" s="513"/>
      <c r="K42" s="393"/>
      <c r="L42" s="393"/>
      <c r="M42" s="513"/>
      <c r="N42" s="393"/>
      <c r="O42" s="393"/>
      <c r="P42" s="393"/>
      <c r="R42" s="393"/>
      <c r="S42" s="513"/>
      <c r="T42" s="393"/>
      <c r="U42" s="393"/>
      <c r="V42" s="393"/>
      <c r="X42" s="959"/>
    </row>
    <row r="43" spans="1:24" s="357" customFormat="1" ht="12.75" x14ac:dyDescent="0.2">
      <c r="A43" s="467" t="s">
        <v>460</v>
      </c>
      <c r="B43" s="728">
        <f>HLOOKUP(Start!$B$20,$D$1:$AW$75,+C43, FALSE)</f>
        <v>0</v>
      </c>
      <c r="C43" s="426">
        <f t="shared" si="0"/>
        <v>43</v>
      </c>
      <c r="D43" s="513"/>
      <c r="E43" s="1109"/>
      <c r="F43" s="513"/>
      <c r="G43" s="358"/>
      <c r="H43" s="358"/>
      <c r="I43" s="360"/>
      <c r="J43" s="513"/>
      <c r="K43" s="393"/>
      <c r="L43" s="393"/>
      <c r="M43" s="513"/>
      <c r="N43" s="393"/>
      <c r="O43" s="393"/>
      <c r="P43" s="393"/>
      <c r="R43" s="393"/>
      <c r="S43" s="513"/>
      <c r="T43" s="393"/>
      <c r="U43" s="393"/>
      <c r="V43" s="393"/>
      <c r="X43" s="959"/>
    </row>
    <row r="44" spans="1:24" s="357" customFormat="1" ht="12.75" x14ac:dyDescent="0.2">
      <c r="A44" s="467" t="s">
        <v>454</v>
      </c>
      <c r="B44" s="728">
        <f>HLOOKUP(Start!$B$20,$D$1:$AW$75,+C44, FALSE)</f>
        <v>0</v>
      </c>
      <c r="C44" s="426">
        <f t="shared" si="0"/>
        <v>44</v>
      </c>
      <c r="D44" s="513"/>
      <c r="E44" s="1109"/>
      <c r="F44" s="513"/>
      <c r="G44" s="358"/>
      <c r="H44" s="358"/>
      <c r="I44" s="360"/>
      <c r="J44" s="513"/>
      <c r="K44" s="393"/>
      <c r="L44" s="393"/>
      <c r="M44" s="513"/>
      <c r="N44" s="393"/>
      <c r="O44" s="393"/>
      <c r="P44" s="393"/>
      <c r="R44" s="393"/>
      <c r="S44" s="513"/>
      <c r="T44" s="393"/>
      <c r="U44" s="393"/>
      <c r="V44" s="393"/>
      <c r="X44" s="959"/>
    </row>
    <row r="45" spans="1:24" s="357" customFormat="1" ht="12.75" x14ac:dyDescent="0.2">
      <c r="A45" s="467" t="s">
        <v>447</v>
      </c>
      <c r="B45" s="728">
        <f>HLOOKUP(Start!$B$20,$D$1:$AW$75,+C45, FALSE)</f>
        <v>0</v>
      </c>
      <c r="C45" s="426">
        <f t="shared" si="0"/>
        <v>45</v>
      </c>
      <c r="D45" s="513"/>
      <c r="E45" s="1109"/>
      <c r="F45" s="513"/>
      <c r="G45" s="358"/>
      <c r="H45" s="358"/>
      <c r="I45" s="360"/>
      <c r="J45" s="513"/>
      <c r="K45" s="739"/>
      <c r="L45" s="739"/>
      <c r="M45" s="513"/>
      <c r="N45" s="394"/>
      <c r="O45" s="394"/>
      <c r="P45" s="394"/>
      <c r="R45" s="394"/>
      <c r="S45" s="513"/>
      <c r="T45" s="394"/>
      <c r="U45" s="394"/>
      <c r="V45" s="394"/>
      <c r="X45" s="959"/>
    </row>
    <row r="46" spans="1:24" s="357" customFormat="1" ht="12.75" x14ac:dyDescent="0.2">
      <c r="A46" s="467" t="s">
        <v>448</v>
      </c>
      <c r="B46" s="728">
        <f>HLOOKUP(Start!$B$20,$D$1:$AW$75,+C46, FALSE)</f>
        <v>0</v>
      </c>
      <c r="C46" s="426">
        <f t="shared" si="0"/>
        <v>46</v>
      </c>
      <c r="D46" s="513"/>
      <c r="E46" s="1109"/>
      <c r="F46" s="513"/>
      <c r="G46" s="358"/>
      <c r="H46" s="358"/>
      <c r="I46" s="360"/>
      <c r="J46" s="513"/>
      <c r="K46" s="393"/>
      <c r="L46" s="393"/>
      <c r="M46" s="513"/>
      <c r="N46" s="393"/>
      <c r="O46" s="393"/>
      <c r="P46" s="393"/>
      <c r="R46" s="393"/>
      <c r="S46" s="513"/>
      <c r="T46" s="393"/>
      <c r="U46" s="393"/>
      <c r="V46" s="393"/>
      <c r="X46" s="959"/>
    </row>
    <row r="47" spans="1:24" s="357" customFormat="1" ht="12.75" x14ac:dyDescent="0.2">
      <c r="A47" s="467" t="s">
        <v>464</v>
      </c>
      <c r="B47" s="728">
        <f>HLOOKUP(Start!$B$20,$D$1:$AW$75,+C47, FALSE)</f>
        <v>0</v>
      </c>
      <c r="C47" s="426">
        <f t="shared" si="0"/>
        <v>47</v>
      </c>
      <c r="D47" s="513"/>
      <c r="E47" s="1109"/>
      <c r="F47" s="513"/>
      <c r="G47" s="358"/>
      <c r="H47" s="358"/>
      <c r="I47" s="360"/>
      <c r="J47" s="513"/>
      <c r="K47" s="393"/>
      <c r="L47" s="393"/>
      <c r="M47" s="513"/>
      <c r="N47" s="393"/>
      <c r="O47" s="393"/>
      <c r="P47" s="393"/>
      <c r="R47" s="393"/>
      <c r="S47" s="513"/>
      <c r="T47" s="393"/>
      <c r="U47" s="393"/>
      <c r="V47" s="393"/>
      <c r="X47" s="959"/>
    </row>
    <row r="48" spans="1:24" s="357" customFormat="1" ht="12.75" x14ac:dyDescent="0.2">
      <c r="A48" s="467" t="s">
        <v>455</v>
      </c>
      <c r="B48" s="728">
        <f>HLOOKUP(Start!$B$20,$D$1:$AW$75,+C48, FALSE)</f>
        <v>0</v>
      </c>
      <c r="C48" s="426">
        <f t="shared" si="0"/>
        <v>48</v>
      </c>
      <c r="D48" s="513"/>
      <c r="E48" s="1109"/>
      <c r="F48" s="513"/>
      <c r="G48" s="358"/>
      <c r="H48" s="358"/>
      <c r="I48" s="360"/>
      <c r="J48" s="513"/>
      <c r="K48" s="393"/>
      <c r="L48" s="393"/>
      <c r="M48" s="513"/>
      <c r="N48" s="393"/>
      <c r="O48" s="393"/>
      <c r="P48" s="393"/>
      <c r="R48" s="393"/>
      <c r="S48" s="513"/>
      <c r="T48" s="393"/>
      <c r="U48" s="393"/>
      <c r="V48" s="393"/>
      <c r="X48" s="959"/>
    </row>
    <row r="49" spans="1:24" s="357" customFormat="1" ht="12.75" x14ac:dyDescent="0.2">
      <c r="A49" s="467" t="s">
        <v>456</v>
      </c>
      <c r="B49" s="728">
        <f>HLOOKUP(Start!$B$20,$D$1:$AW$75,+C49, FALSE)</f>
        <v>0</v>
      </c>
      <c r="C49" s="426">
        <f t="shared" si="0"/>
        <v>49</v>
      </c>
      <c r="D49" s="513"/>
      <c r="E49" s="1109"/>
      <c r="F49" s="513"/>
      <c r="G49" s="358"/>
      <c r="H49" s="358"/>
      <c r="I49" s="360"/>
      <c r="J49" s="513"/>
      <c r="K49" s="393"/>
      <c r="L49" s="393"/>
      <c r="M49" s="513"/>
      <c r="N49" s="393"/>
      <c r="O49" s="393"/>
      <c r="P49" s="393"/>
      <c r="R49" s="393"/>
      <c r="S49" s="513"/>
      <c r="T49" s="393"/>
      <c r="U49" s="393"/>
      <c r="V49" s="393"/>
      <c r="X49" s="959"/>
    </row>
    <row r="50" spans="1:24" s="357" customFormat="1" ht="12.75" x14ac:dyDescent="0.2">
      <c r="A50" s="467" t="s">
        <v>457</v>
      </c>
      <c r="B50" s="728">
        <f>HLOOKUP(Start!$B$20,$D$1:$AW$75,+C50, FALSE)</f>
        <v>0</v>
      </c>
      <c r="C50" s="426">
        <f t="shared" si="0"/>
        <v>50</v>
      </c>
      <c r="D50" s="513"/>
      <c r="E50" s="1109"/>
      <c r="F50" s="513"/>
      <c r="G50" s="358"/>
      <c r="H50" s="358"/>
      <c r="I50" s="360"/>
      <c r="J50" s="513"/>
      <c r="K50" s="393"/>
      <c r="L50" s="393"/>
      <c r="M50" s="513"/>
      <c r="N50" s="393"/>
      <c r="O50" s="393"/>
      <c r="P50" s="393"/>
      <c r="R50" s="393"/>
      <c r="S50" s="513"/>
      <c r="T50" s="393"/>
      <c r="U50" s="393"/>
      <c r="V50" s="393"/>
      <c r="X50" s="959"/>
    </row>
    <row r="51" spans="1:24" s="357" customFormat="1" ht="12.75" x14ac:dyDescent="0.2">
      <c r="A51" s="467" t="s">
        <v>458</v>
      </c>
      <c r="B51" s="728">
        <f>HLOOKUP(Start!$B$20,$D$1:$AW$75,+C51, FALSE)</f>
        <v>0</v>
      </c>
      <c r="C51" s="426">
        <f t="shared" si="0"/>
        <v>51</v>
      </c>
      <c r="D51" s="513"/>
      <c r="E51" s="1109"/>
      <c r="F51" s="513"/>
      <c r="G51" s="358"/>
      <c r="H51" s="358"/>
      <c r="I51" s="360"/>
      <c r="J51" s="513"/>
      <c r="K51" s="393"/>
      <c r="L51" s="393"/>
      <c r="M51" s="513"/>
      <c r="N51" s="393"/>
      <c r="O51" s="393"/>
      <c r="P51" s="393"/>
      <c r="R51" s="393"/>
      <c r="S51" s="513"/>
      <c r="T51" s="393"/>
      <c r="U51" s="393"/>
      <c r="V51" s="393"/>
      <c r="X51" s="959"/>
    </row>
    <row r="52" spans="1:24" s="357" customFormat="1" ht="12.75" x14ac:dyDescent="0.2">
      <c r="A52" s="467" t="s">
        <v>461</v>
      </c>
      <c r="B52" s="728">
        <f>HLOOKUP(Start!$B$20,$D$1:$AW$75,+C52, FALSE)</f>
        <v>0</v>
      </c>
      <c r="C52" s="426">
        <f t="shared" si="0"/>
        <v>52</v>
      </c>
      <c r="D52" s="513"/>
      <c r="E52" s="1109"/>
      <c r="F52" s="513"/>
      <c r="G52" s="358"/>
      <c r="H52" s="358"/>
      <c r="I52" s="360"/>
      <c r="J52" s="513"/>
      <c r="K52" s="393"/>
      <c r="L52" s="393"/>
      <c r="M52" s="513"/>
      <c r="N52" s="393"/>
      <c r="O52" s="393"/>
      <c r="P52" s="393"/>
      <c r="R52" s="393"/>
      <c r="S52" s="513"/>
      <c r="T52" s="393"/>
      <c r="U52" s="393"/>
      <c r="V52" s="393"/>
      <c r="X52" s="959"/>
    </row>
    <row r="53" spans="1:24" x14ac:dyDescent="0.25">
      <c r="B53" s="728">
        <f>HLOOKUP(Start!$B$20,$D$1:$AW$75,+C53, FALSE)</f>
        <v>0</v>
      </c>
      <c r="C53" s="426">
        <f t="shared" si="0"/>
        <v>53</v>
      </c>
      <c r="D53" s="520"/>
      <c r="F53" s="520"/>
      <c r="J53" s="520"/>
      <c r="M53" s="520"/>
      <c r="S53" s="520"/>
      <c r="X53" s="963"/>
    </row>
    <row r="54" spans="1:24" s="357" customFormat="1" ht="12.75" x14ac:dyDescent="0.2">
      <c r="A54" s="467" t="s">
        <v>463</v>
      </c>
      <c r="B54" s="728">
        <f>HLOOKUP(Start!$B$20,$D$1:$AW$75,+C54, FALSE)</f>
        <v>0</v>
      </c>
      <c r="C54" s="426">
        <f t="shared" si="0"/>
        <v>54</v>
      </c>
      <c r="D54" s="513"/>
      <c r="E54" s="1109"/>
      <c r="F54" s="513"/>
      <c r="G54" s="358"/>
      <c r="H54" s="358"/>
      <c r="I54" s="360"/>
      <c r="J54" s="513"/>
      <c r="K54" s="393"/>
      <c r="L54" s="393"/>
      <c r="M54" s="513"/>
      <c r="N54" s="393"/>
      <c r="O54" s="393"/>
      <c r="P54" s="393"/>
      <c r="R54" s="393"/>
      <c r="S54" s="513"/>
      <c r="T54" s="393"/>
      <c r="U54" s="393"/>
      <c r="V54" s="393"/>
      <c r="X54" s="959"/>
    </row>
    <row r="55" spans="1:24" s="357" customFormat="1" ht="12.75" x14ac:dyDescent="0.2">
      <c r="A55" s="468"/>
      <c r="B55" s="728">
        <f>HLOOKUP(Start!$B$20,$D$1:$AW$75,+C55, FALSE)</f>
        <v>0</v>
      </c>
      <c r="C55" s="426">
        <f t="shared" si="0"/>
        <v>55</v>
      </c>
      <c r="D55" s="513"/>
      <c r="E55" s="1109"/>
      <c r="F55" s="513"/>
      <c r="G55" s="358"/>
      <c r="H55" s="358"/>
      <c r="I55" s="360"/>
      <c r="J55" s="513"/>
      <c r="K55" s="393"/>
      <c r="L55" s="393"/>
      <c r="M55" s="513"/>
      <c r="N55" s="393"/>
      <c r="O55" s="393"/>
      <c r="P55" s="393"/>
      <c r="R55" s="393"/>
      <c r="S55" s="513"/>
      <c r="T55" s="393"/>
      <c r="U55" s="393"/>
      <c r="V55" s="393"/>
      <c r="X55" s="959"/>
    </row>
    <row r="56" spans="1:24" s="382" customFormat="1" ht="12.75" x14ac:dyDescent="0.25">
      <c r="A56" s="465" t="s">
        <v>483</v>
      </c>
      <c r="B56" s="728">
        <f>HLOOKUP(Start!$B$20,$D$1:$AW$75,+C56, FALSE)</f>
        <v>0</v>
      </c>
      <c r="C56" s="426">
        <f t="shared" si="0"/>
        <v>56</v>
      </c>
      <c r="D56" s="512"/>
      <c r="E56" s="826"/>
      <c r="F56" s="512"/>
      <c r="G56" s="383"/>
      <c r="H56" s="383"/>
      <c r="I56" s="383"/>
      <c r="J56" s="512"/>
      <c r="K56" s="393"/>
      <c r="L56" s="393"/>
      <c r="M56" s="512"/>
      <c r="N56" s="466"/>
      <c r="O56" s="466"/>
      <c r="P56" s="466"/>
      <c r="R56" s="466"/>
      <c r="S56" s="512"/>
      <c r="T56" s="466"/>
      <c r="U56" s="466"/>
      <c r="V56" s="466"/>
      <c r="X56" s="959"/>
    </row>
    <row r="57" spans="1:24" s="357" customFormat="1" ht="24" x14ac:dyDescent="0.25">
      <c r="A57" s="489" t="s">
        <v>517</v>
      </c>
      <c r="B57" s="728">
        <f>HLOOKUP(Start!$B$20,$D$1:$AW$75,+C57, FALSE)</f>
        <v>0</v>
      </c>
      <c r="C57" s="426">
        <f t="shared" si="0"/>
        <v>57</v>
      </c>
      <c r="D57" s="518"/>
      <c r="E57" s="1119"/>
      <c r="F57" s="518"/>
      <c r="G57" s="358"/>
      <c r="H57" s="358"/>
      <c r="I57" s="360"/>
      <c r="J57" s="518"/>
      <c r="K57" s="393"/>
      <c r="L57" s="393"/>
      <c r="M57" s="518"/>
      <c r="N57" s="393"/>
      <c r="O57" s="393"/>
      <c r="P57" s="393"/>
      <c r="R57" s="393"/>
      <c r="S57" s="518"/>
      <c r="T57" s="393"/>
      <c r="U57" s="393"/>
      <c r="V57" s="393"/>
      <c r="X57" s="959"/>
    </row>
    <row r="58" spans="1:24" s="357" customFormat="1" ht="24" x14ac:dyDescent="0.25">
      <c r="A58" s="489" t="s">
        <v>518</v>
      </c>
      <c r="B58" s="728">
        <f>HLOOKUP(Start!$B$20,$D$1:$AW$75,+C58, FALSE)</f>
        <v>0</v>
      </c>
      <c r="C58" s="426">
        <f t="shared" si="0"/>
        <v>58</v>
      </c>
      <c r="D58" s="516"/>
      <c r="E58" s="1110"/>
      <c r="F58" s="516"/>
      <c r="G58" s="358"/>
      <c r="H58" s="358"/>
      <c r="I58" s="360"/>
      <c r="J58" s="516"/>
      <c r="K58" s="393"/>
      <c r="L58" s="393"/>
      <c r="M58" s="516"/>
      <c r="N58" s="393"/>
      <c r="O58" s="393"/>
      <c r="P58" s="393"/>
      <c r="R58" s="393"/>
      <c r="S58" s="516"/>
      <c r="T58" s="393"/>
      <c r="U58" s="393"/>
      <c r="V58" s="393"/>
      <c r="X58" s="959"/>
    </row>
    <row r="59" spans="1:24" s="357" customFormat="1" ht="24" x14ac:dyDescent="0.25">
      <c r="A59" s="489" t="s">
        <v>491</v>
      </c>
      <c r="B59" s="728">
        <f>HLOOKUP(Start!$B$20,$D$1:$AW$75,+C59, FALSE)</f>
        <v>0</v>
      </c>
      <c r="C59" s="426">
        <f t="shared" si="0"/>
        <v>59</v>
      </c>
      <c r="D59" s="519"/>
      <c r="E59" s="1120"/>
      <c r="F59" s="519"/>
      <c r="G59" s="358"/>
      <c r="H59" s="358"/>
      <c r="I59" s="360"/>
      <c r="J59" s="519"/>
      <c r="K59" s="393"/>
      <c r="L59" s="393"/>
      <c r="M59" s="519"/>
      <c r="N59" s="393"/>
      <c r="O59" s="393"/>
      <c r="P59" s="393"/>
      <c r="R59" s="393"/>
      <c r="S59" s="519"/>
      <c r="T59" s="393"/>
      <c r="U59" s="393"/>
      <c r="V59" s="393"/>
      <c r="X59" s="959"/>
    </row>
    <row r="60" spans="1:24" s="382" customFormat="1" ht="12.75" x14ac:dyDescent="0.25">
      <c r="A60" s="465" t="s">
        <v>484</v>
      </c>
      <c r="B60" s="728">
        <f>HLOOKUP(Start!$B$20,$D$1:$AW$75,+C60, FALSE)</f>
        <v>0</v>
      </c>
      <c r="C60" s="426">
        <f t="shared" si="0"/>
        <v>60</v>
      </c>
      <c r="D60" s="512"/>
      <c r="E60" s="826"/>
      <c r="F60" s="512"/>
      <c r="G60" s="383"/>
      <c r="H60" s="383"/>
      <c r="I60" s="383"/>
      <c r="J60" s="512"/>
      <c r="K60" s="393"/>
      <c r="L60" s="393"/>
      <c r="M60" s="512"/>
      <c r="N60" s="466"/>
      <c r="O60" s="466"/>
      <c r="P60" s="466"/>
      <c r="R60" s="466"/>
      <c r="S60" s="512"/>
      <c r="T60" s="466"/>
      <c r="U60" s="466"/>
      <c r="V60" s="466"/>
      <c r="X60" s="959"/>
    </row>
    <row r="61" spans="1:24" s="357" customFormat="1" ht="12.75" x14ac:dyDescent="0.2">
      <c r="A61" s="467" t="s">
        <v>453</v>
      </c>
      <c r="B61" s="728">
        <f>HLOOKUP(Start!$B$20,$D$1:$AW$75,+C61, FALSE)</f>
        <v>0</v>
      </c>
      <c r="C61" s="426">
        <f t="shared" si="0"/>
        <v>61</v>
      </c>
      <c r="D61" s="521"/>
      <c r="E61" s="1121"/>
      <c r="F61" s="521"/>
      <c r="G61" s="358"/>
      <c r="H61" s="358"/>
      <c r="I61" s="360"/>
      <c r="J61" s="521"/>
      <c r="K61" s="393"/>
      <c r="L61" s="393"/>
      <c r="M61" s="521"/>
      <c r="N61" s="393"/>
      <c r="O61" s="393"/>
      <c r="P61" s="393"/>
      <c r="R61" s="393"/>
      <c r="S61" s="521"/>
      <c r="T61" s="393"/>
      <c r="U61" s="393"/>
      <c r="V61" s="393"/>
      <c r="X61" s="959"/>
    </row>
    <row r="62" spans="1:24" s="357" customFormat="1" ht="12.75" x14ac:dyDescent="0.2">
      <c r="A62" s="467" t="s">
        <v>460</v>
      </c>
      <c r="B62" s="728">
        <f>HLOOKUP(Start!$B$20,$D$1:$AW$75,+C62, FALSE)</f>
        <v>0</v>
      </c>
      <c r="C62" s="426">
        <f t="shared" si="0"/>
        <v>62</v>
      </c>
      <c r="D62" s="521"/>
      <c r="E62" s="1121"/>
      <c r="F62" s="521"/>
      <c r="G62" s="358"/>
      <c r="H62" s="358"/>
      <c r="I62" s="360"/>
      <c r="J62" s="521"/>
      <c r="K62" s="393"/>
      <c r="L62" s="393"/>
      <c r="M62" s="521"/>
      <c r="N62" s="393"/>
      <c r="O62" s="393"/>
      <c r="P62" s="393"/>
      <c r="R62" s="393"/>
      <c r="S62" s="521"/>
      <c r="T62" s="393"/>
      <c r="U62" s="393"/>
      <c r="V62" s="393"/>
      <c r="X62" s="959"/>
    </row>
    <row r="63" spans="1:24" s="357" customFormat="1" ht="12.75" x14ac:dyDescent="0.2">
      <c r="A63" s="467" t="s">
        <v>454</v>
      </c>
      <c r="B63" s="728">
        <f>HLOOKUP(Start!$B$20,$D$1:$AW$75,+C63, FALSE)</f>
        <v>0</v>
      </c>
      <c r="C63" s="426">
        <f t="shared" si="0"/>
        <v>63</v>
      </c>
      <c r="D63" s="521"/>
      <c r="E63" s="1121"/>
      <c r="F63" s="521"/>
      <c r="G63" s="358"/>
      <c r="H63" s="358"/>
      <c r="I63" s="360"/>
      <c r="J63" s="521"/>
      <c r="K63" s="393"/>
      <c r="L63" s="393"/>
      <c r="M63" s="521"/>
      <c r="N63" s="393"/>
      <c r="O63" s="393"/>
      <c r="P63" s="393"/>
      <c r="R63" s="393"/>
      <c r="S63" s="521"/>
      <c r="T63" s="393"/>
      <c r="U63" s="393"/>
      <c r="V63" s="393"/>
      <c r="X63" s="959"/>
    </row>
    <row r="64" spans="1:24" s="357" customFormat="1" ht="12.75" x14ac:dyDescent="0.2">
      <c r="A64" s="467" t="s">
        <v>447</v>
      </c>
      <c r="B64" s="728">
        <f>HLOOKUP(Start!$B$20,$D$1:$AW$75,+C64, FALSE)</f>
        <v>0</v>
      </c>
      <c r="C64" s="426">
        <f t="shared" si="0"/>
        <v>64</v>
      </c>
      <c r="D64" s="521"/>
      <c r="E64" s="1121"/>
      <c r="F64" s="521"/>
      <c r="G64" s="358"/>
      <c r="H64" s="358"/>
      <c r="I64" s="360"/>
      <c r="J64" s="521"/>
      <c r="K64" s="393"/>
      <c r="L64" s="393"/>
      <c r="M64" s="521"/>
      <c r="N64" s="393"/>
      <c r="O64" s="393"/>
      <c r="P64" s="393"/>
      <c r="R64" s="393"/>
      <c r="S64" s="521"/>
      <c r="T64" s="393"/>
      <c r="U64" s="393"/>
      <c r="V64" s="393"/>
      <c r="X64" s="959"/>
    </row>
    <row r="65" spans="1:24" s="357" customFormat="1" ht="12.75" x14ac:dyDescent="0.2">
      <c r="A65" s="467" t="s">
        <v>448</v>
      </c>
      <c r="B65" s="728">
        <f>HLOOKUP(Start!$B$20,$D$1:$AW$75,+C65, FALSE)</f>
        <v>0</v>
      </c>
      <c r="C65" s="426">
        <f t="shared" si="0"/>
        <v>65</v>
      </c>
      <c r="D65" s="521"/>
      <c r="E65" s="1121"/>
      <c r="F65" s="521"/>
      <c r="G65" s="358"/>
      <c r="H65" s="358"/>
      <c r="I65" s="360"/>
      <c r="J65" s="521"/>
      <c r="K65" s="393"/>
      <c r="L65" s="393"/>
      <c r="M65" s="521"/>
      <c r="N65" s="393"/>
      <c r="O65" s="393"/>
      <c r="P65" s="393"/>
      <c r="R65" s="393"/>
      <c r="S65" s="521"/>
      <c r="T65" s="393"/>
      <c r="U65" s="393"/>
      <c r="V65" s="393"/>
      <c r="X65" s="959"/>
    </row>
    <row r="66" spans="1:24" s="357" customFormat="1" ht="12.75" x14ac:dyDescent="0.2">
      <c r="A66" s="467" t="s">
        <v>464</v>
      </c>
      <c r="B66" s="728">
        <f>HLOOKUP(Start!$B$20,$D$1:$AW$75,+C66, FALSE)</f>
        <v>0</v>
      </c>
      <c r="C66" s="426">
        <f t="shared" si="0"/>
        <v>66</v>
      </c>
      <c r="D66" s="521"/>
      <c r="E66" s="1121"/>
      <c r="F66" s="521"/>
      <c r="G66" s="358"/>
      <c r="H66" s="358"/>
      <c r="I66" s="360"/>
      <c r="J66" s="521"/>
      <c r="K66" s="393"/>
      <c r="L66" s="393"/>
      <c r="M66" s="521"/>
      <c r="N66" s="393"/>
      <c r="O66" s="393"/>
      <c r="P66" s="393"/>
      <c r="R66" s="393"/>
      <c r="S66" s="521"/>
      <c r="T66" s="393"/>
      <c r="U66" s="393"/>
      <c r="V66" s="393"/>
      <c r="X66" s="959"/>
    </row>
    <row r="67" spans="1:24" s="357" customFormat="1" ht="12.75" x14ac:dyDescent="0.2">
      <c r="A67" s="467" t="s">
        <v>455</v>
      </c>
      <c r="B67" s="728">
        <f>HLOOKUP(Start!$B$20,$D$1:$AW$75,+C67, FALSE)</f>
        <v>0</v>
      </c>
      <c r="C67" s="426">
        <f t="shared" ref="C67:C74" si="1">+C66+1</f>
        <v>67</v>
      </c>
      <c r="D67" s="522"/>
      <c r="E67" s="1122"/>
      <c r="F67" s="522"/>
      <c r="G67" s="358"/>
      <c r="H67" s="358"/>
      <c r="I67" s="360"/>
      <c r="J67" s="522"/>
      <c r="K67" s="393"/>
      <c r="L67" s="393"/>
      <c r="M67" s="522"/>
      <c r="N67" s="393"/>
      <c r="O67" s="393"/>
      <c r="P67" s="393"/>
      <c r="R67" s="393"/>
      <c r="S67" s="522"/>
      <c r="T67" s="393"/>
      <c r="U67" s="393"/>
      <c r="V67" s="393"/>
      <c r="X67" s="959"/>
    </row>
    <row r="68" spans="1:24" s="357" customFormat="1" ht="12.75" x14ac:dyDescent="0.2">
      <c r="A68" s="467" t="s">
        <v>456</v>
      </c>
      <c r="B68" s="728">
        <f>HLOOKUP(Start!$B$20,$D$1:$AW$75,+C68, FALSE)</f>
        <v>0</v>
      </c>
      <c r="C68" s="426">
        <f t="shared" si="1"/>
        <v>68</v>
      </c>
      <c r="D68" s="521"/>
      <c r="E68" s="1121"/>
      <c r="F68" s="521"/>
      <c r="G68" s="358"/>
      <c r="H68" s="358"/>
      <c r="I68" s="360"/>
      <c r="J68" s="521"/>
      <c r="K68" s="393"/>
      <c r="L68" s="393"/>
      <c r="M68" s="521"/>
      <c r="N68" s="393"/>
      <c r="O68" s="393"/>
      <c r="P68" s="393"/>
      <c r="R68" s="393"/>
      <c r="S68" s="521"/>
      <c r="T68" s="393"/>
      <c r="U68" s="393"/>
      <c r="V68" s="393"/>
      <c r="X68" s="959"/>
    </row>
    <row r="69" spans="1:24" s="357" customFormat="1" ht="12.75" x14ac:dyDescent="0.2">
      <c r="A69" s="467" t="s">
        <v>457</v>
      </c>
      <c r="B69" s="728">
        <f>HLOOKUP(Start!$B$20,$D$1:$AW$75,+C69, FALSE)</f>
        <v>0</v>
      </c>
      <c r="C69" s="426">
        <f t="shared" si="1"/>
        <v>69</v>
      </c>
      <c r="D69" s="521"/>
      <c r="E69" s="1121"/>
      <c r="F69" s="521"/>
      <c r="G69" s="358"/>
      <c r="H69" s="358"/>
      <c r="I69" s="360"/>
      <c r="J69" s="521"/>
      <c r="K69" s="393"/>
      <c r="L69" s="393"/>
      <c r="M69" s="521"/>
      <c r="N69" s="393"/>
      <c r="O69" s="393"/>
      <c r="P69" s="393"/>
      <c r="R69" s="393"/>
      <c r="S69" s="521"/>
      <c r="T69" s="393"/>
      <c r="U69" s="393"/>
      <c r="V69" s="393"/>
      <c r="X69" s="959"/>
    </row>
    <row r="70" spans="1:24" s="357" customFormat="1" ht="12.75" x14ac:dyDescent="0.2">
      <c r="A70" s="467" t="s">
        <v>458</v>
      </c>
      <c r="B70" s="728">
        <f>HLOOKUP(Start!$B$20,$D$1:$AW$75,+C70, FALSE)</f>
        <v>0</v>
      </c>
      <c r="C70" s="426">
        <f t="shared" si="1"/>
        <v>70</v>
      </c>
      <c r="D70" s="521"/>
      <c r="E70" s="1121"/>
      <c r="F70" s="521"/>
      <c r="G70" s="358"/>
      <c r="H70" s="358"/>
      <c r="I70" s="360"/>
      <c r="J70" s="521"/>
      <c r="K70" s="393"/>
      <c r="L70" s="393"/>
      <c r="M70" s="521"/>
      <c r="N70" s="393"/>
      <c r="O70" s="393"/>
      <c r="P70" s="393"/>
      <c r="R70" s="393"/>
      <c r="S70" s="521"/>
      <c r="T70" s="393"/>
      <c r="U70" s="393"/>
      <c r="V70" s="393"/>
      <c r="X70" s="959"/>
    </row>
    <row r="71" spans="1:24" s="357" customFormat="1" ht="12.75" x14ac:dyDescent="0.2">
      <c r="A71" s="467" t="s">
        <v>461</v>
      </c>
      <c r="B71" s="728">
        <f>HLOOKUP(Start!$B$20,$D$1:$AW$75,+C71, FALSE)</f>
        <v>0</v>
      </c>
      <c r="C71" s="426">
        <f t="shared" si="1"/>
        <v>71</v>
      </c>
      <c r="D71" s="521"/>
      <c r="E71" s="1121"/>
      <c r="F71" s="521"/>
      <c r="G71" s="358"/>
      <c r="H71" s="358"/>
      <c r="I71" s="360"/>
      <c r="J71" s="521"/>
      <c r="K71" s="393"/>
      <c r="L71" s="393"/>
      <c r="M71" s="521"/>
      <c r="N71" s="393"/>
      <c r="O71" s="393"/>
      <c r="P71" s="393"/>
      <c r="R71" s="393"/>
      <c r="S71" s="521"/>
      <c r="T71" s="393"/>
      <c r="U71" s="393"/>
      <c r="V71" s="393"/>
      <c r="X71" s="959"/>
    </row>
    <row r="72" spans="1:24" s="357" customFormat="1" ht="12.75" x14ac:dyDescent="0.2">
      <c r="A72" s="467" t="s">
        <v>459</v>
      </c>
      <c r="B72" s="728">
        <f>HLOOKUP(Start!$B$20,$D$1:$AW$75,+C72, FALSE)</f>
        <v>0</v>
      </c>
      <c r="C72" s="426">
        <f t="shared" si="1"/>
        <v>72</v>
      </c>
      <c r="D72" s="513"/>
      <c r="E72" s="1109"/>
      <c r="F72" s="513"/>
      <c r="G72" s="358"/>
      <c r="H72" s="358"/>
      <c r="I72" s="360"/>
      <c r="J72" s="513"/>
      <c r="K72" s="393"/>
      <c r="L72" s="393"/>
      <c r="M72" s="513"/>
      <c r="N72" s="393"/>
      <c r="O72" s="393"/>
      <c r="P72" s="393"/>
      <c r="R72" s="393"/>
      <c r="S72" s="513"/>
      <c r="T72" s="393"/>
      <c r="U72" s="393"/>
      <c r="V72" s="393"/>
      <c r="X72" s="959"/>
    </row>
    <row r="73" spans="1:24" s="357" customFormat="1" ht="12.75" x14ac:dyDescent="0.2">
      <c r="A73" s="467" t="s">
        <v>463</v>
      </c>
      <c r="B73" s="728">
        <f>HLOOKUP(Start!$B$20,$D$1:$AW$75,+C73, FALSE)</f>
        <v>0</v>
      </c>
      <c r="C73" s="426">
        <f t="shared" si="1"/>
        <v>73</v>
      </c>
      <c r="D73" s="521"/>
      <c r="E73" s="1121"/>
      <c r="F73" s="521"/>
      <c r="G73" s="358"/>
      <c r="H73" s="358"/>
      <c r="I73" s="360"/>
      <c r="J73" s="521"/>
      <c r="K73" s="393"/>
      <c r="L73" s="393"/>
      <c r="M73" s="521"/>
      <c r="N73" s="393"/>
      <c r="O73" s="393"/>
      <c r="P73" s="393"/>
      <c r="R73" s="393"/>
      <c r="S73" s="521"/>
      <c r="T73" s="393"/>
      <c r="U73" s="393"/>
      <c r="V73" s="393"/>
      <c r="X73" s="959"/>
    </row>
    <row r="74" spans="1:24" x14ac:dyDescent="0.25">
      <c r="B74" s="728">
        <f>HLOOKUP(Start!$B$20,$D$1:$AW$75,+C74, FALSE)</f>
        <v>0</v>
      </c>
      <c r="C74" s="426">
        <f t="shared" si="1"/>
        <v>74</v>
      </c>
      <c r="G74" s="358"/>
      <c r="H74" s="358"/>
    </row>
    <row r="75" spans="1:24" s="357" customFormat="1" ht="12.75" x14ac:dyDescent="0.25">
      <c r="A75" s="359"/>
      <c r="B75" s="728">
        <f>HLOOKUP(Start!$B$20,$D$1:$AW$75,+C75, FALSE)</f>
        <v>0</v>
      </c>
      <c r="C75" s="426">
        <f>+C74+1</f>
        <v>75</v>
      </c>
      <c r="E75" s="826"/>
      <c r="G75" s="358"/>
      <c r="H75" s="358"/>
      <c r="I75" s="360"/>
      <c r="K75" s="393"/>
      <c r="L75" s="393"/>
      <c r="N75" s="393"/>
      <c r="O75" s="393"/>
      <c r="P75" s="393"/>
      <c r="R75" s="393"/>
      <c r="T75" s="393"/>
      <c r="U75" s="393"/>
      <c r="V75" s="393"/>
    </row>
    <row r="76" spans="1:24" s="304" customFormat="1" x14ac:dyDescent="0.25">
      <c r="A76" s="316"/>
      <c r="B76" s="727"/>
      <c r="C76" s="734"/>
      <c r="D76" s="315"/>
      <c r="E76" s="1098"/>
      <c r="F76" s="315"/>
      <c r="G76" s="358"/>
      <c r="H76" s="358"/>
      <c r="J76" s="315"/>
      <c r="K76" s="393"/>
      <c r="L76" s="393"/>
      <c r="M76" s="315"/>
      <c r="N76" s="393"/>
      <c r="O76" s="393"/>
      <c r="P76" s="393"/>
      <c r="R76" s="393"/>
      <c r="S76" s="315"/>
      <c r="T76" s="393"/>
      <c r="U76" s="393"/>
      <c r="V76" s="393"/>
    </row>
    <row r="77" spans="1:24" s="304" customFormat="1" x14ac:dyDescent="0.25">
      <c r="A77" s="316"/>
      <c r="B77" s="735"/>
      <c r="C77" s="734"/>
      <c r="D77" s="315"/>
      <c r="E77" s="1098"/>
      <c r="F77" s="315"/>
      <c r="G77" s="358"/>
      <c r="H77" s="358"/>
      <c r="J77" s="315"/>
      <c r="K77" s="393"/>
      <c r="L77" s="393"/>
      <c r="M77" s="315"/>
      <c r="N77" s="393"/>
      <c r="O77" s="393"/>
      <c r="P77" s="393"/>
      <c r="R77" s="393"/>
      <c r="S77" s="315"/>
      <c r="T77" s="393"/>
      <c r="U77" s="393"/>
      <c r="V77" s="393"/>
    </row>
    <row r="78" spans="1:24" s="304" customFormat="1" x14ac:dyDescent="0.25">
      <c r="A78" s="316"/>
      <c r="B78" s="735"/>
      <c r="C78" s="734"/>
      <c r="D78" s="315"/>
      <c r="E78" s="1098"/>
      <c r="F78" s="315"/>
      <c r="G78" s="358"/>
      <c r="H78" s="358"/>
      <c r="J78" s="315"/>
      <c r="K78" s="393"/>
      <c r="L78" s="393"/>
      <c r="M78" s="315"/>
      <c r="N78" s="393"/>
      <c r="O78" s="393"/>
      <c r="P78" s="393"/>
      <c r="R78" s="393"/>
      <c r="S78" s="315"/>
      <c r="T78" s="393"/>
      <c r="U78" s="393"/>
      <c r="V78" s="393"/>
    </row>
    <row r="79" spans="1:24" s="304" customFormat="1" x14ac:dyDescent="0.25">
      <c r="B79" s="735"/>
      <c r="C79" s="734"/>
      <c r="E79" s="866"/>
      <c r="G79" s="358"/>
      <c r="H79" s="358"/>
      <c r="K79" s="393"/>
      <c r="L79" s="393"/>
      <c r="N79" s="393"/>
      <c r="O79" s="393"/>
      <c r="P79" s="393"/>
      <c r="R79" s="393"/>
      <c r="T79" s="393"/>
      <c r="U79" s="393"/>
      <c r="V79" s="393"/>
    </row>
    <row r="80" spans="1:24" s="304" customFormat="1" x14ac:dyDescent="0.25">
      <c r="B80" s="735"/>
      <c r="C80" s="734"/>
      <c r="E80" s="866"/>
      <c r="G80" s="358"/>
      <c r="H80" s="358"/>
      <c r="K80" s="393"/>
      <c r="L80" s="393"/>
      <c r="N80" s="393"/>
      <c r="O80" s="393"/>
      <c r="P80" s="393"/>
      <c r="R80" s="393"/>
      <c r="T80" s="393"/>
      <c r="U80" s="393"/>
      <c r="V80" s="393"/>
    </row>
    <row r="81" spans="1:22" s="304" customFormat="1" x14ac:dyDescent="0.25">
      <c r="B81" s="735"/>
      <c r="C81" s="734"/>
      <c r="E81" s="866"/>
      <c r="G81" s="358"/>
      <c r="H81" s="358"/>
      <c r="K81" s="393"/>
      <c r="L81" s="393"/>
      <c r="N81" s="393"/>
      <c r="O81" s="393"/>
      <c r="P81" s="393"/>
      <c r="R81" s="393"/>
      <c r="T81" s="393"/>
      <c r="U81" s="393"/>
      <c r="V81" s="393"/>
    </row>
    <row r="82" spans="1:22" s="304" customFormat="1" x14ac:dyDescent="0.25">
      <c r="B82" s="735"/>
      <c r="C82" s="734"/>
      <c r="E82" s="866"/>
      <c r="G82" s="358"/>
      <c r="H82" s="358"/>
      <c r="K82" s="393"/>
      <c r="L82" s="393"/>
      <c r="N82" s="393"/>
      <c r="O82" s="393"/>
      <c r="P82" s="393"/>
      <c r="R82" s="393"/>
      <c r="T82" s="393"/>
      <c r="U82" s="393"/>
      <c r="V82" s="393"/>
    </row>
    <row r="83" spans="1:22" s="304" customFormat="1" x14ac:dyDescent="0.25">
      <c r="B83" s="735"/>
      <c r="C83" s="734"/>
      <c r="E83" s="866"/>
      <c r="G83" s="358"/>
      <c r="H83" s="358"/>
      <c r="K83" s="393"/>
      <c r="L83" s="393"/>
      <c r="N83" s="393"/>
      <c r="O83" s="393"/>
      <c r="P83" s="393"/>
      <c r="R83" s="393"/>
      <c r="T83" s="393"/>
      <c r="U83" s="393"/>
      <c r="V83" s="393"/>
    </row>
    <row r="84" spans="1:22" s="304" customFormat="1" x14ac:dyDescent="0.25">
      <c r="B84" s="735"/>
      <c r="C84" s="734"/>
      <c r="E84" s="866"/>
      <c r="G84" s="358"/>
      <c r="H84" s="358"/>
      <c r="K84" s="393"/>
      <c r="L84" s="393"/>
      <c r="N84" s="393"/>
      <c r="O84" s="393"/>
      <c r="P84" s="393"/>
      <c r="R84" s="393"/>
      <c r="T84" s="393"/>
      <c r="U84" s="393"/>
      <c r="V84" s="393"/>
    </row>
    <row r="85" spans="1:22" s="304" customFormat="1" x14ac:dyDescent="0.25">
      <c r="B85" s="735"/>
      <c r="C85" s="734"/>
      <c r="E85" s="866"/>
      <c r="G85" s="358"/>
      <c r="H85" s="358"/>
      <c r="K85" s="393"/>
      <c r="L85" s="393"/>
      <c r="N85" s="393"/>
      <c r="O85" s="393"/>
      <c r="P85" s="393"/>
      <c r="R85" s="393"/>
      <c r="T85" s="393"/>
      <c r="U85" s="393"/>
      <c r="V85" s="393"/>
    </row>
    <row r="86" spans="1:22" s="304" customFormat="1" x14ac:dyDescent="0.25">
      <c r="B86" s="735"/>
      <c r="C86" s="734"/>
      <c r="E86" s="866"/>
      <c r="G86" s="358"/>
      <c r="H86" s="358"/>
      <c r="K86" s="393"/>
      <c r="L86" s="393"/>
      <c r="N86" s="393"/>
      <c r="O86" s="393"/>
      <c r="P86" s="393"/>
      <c r="R86" s="393"/>
      <c r="T86" s="393"/>
      <c r="U86" s="393"/>
      <c r="V86" s="393"/>
    </row>
    <row r="87" spans="1:22" s="304" customFormat="1" x14ac:dyDescent="0.25">
      <c r="B87" s="735"/>
      <c r="C87" s="734"/>
      <c r="E87" s="866"/>
      <c r="G87" s="358"/>
      <c r="H87" s="358"/>
      <c r="K87" s="393"/>
      <c r="L87" s="393"/>
      <c r="N87" s="393"/>
      <c r="O87" s="393"/>
      <c r="P87" s="393"/>
      <c r="R87" s="393"/>
      <c r="T87" s="393"/>
      <c r="U87" s="393"/>
      <c r="V87" s="393"/>
    </row>
    <row r="88" spans="1:22" s="304" customFormat="1" x14ac:dyDescent="0.25">
      <c r="B88" s="735"/>
      <c r="C88" s="734"/>
      <c r="E88" s="866"/>
      <c r="G88" s="358"/>
      <c r="H88" s="358"/>
      <c r="K88" s="393"/>
      <c r="L88" s="393"/>
      <c r="N88" s="393"/>
      <c r="O88" s="393"/>
      <c r="P88" s="393"/>
      <c r="R88" s="393"/>
      <c r="T88" s="393"/>
      <c r="U88" s="393"/>
      <c r="V88" s="393"/>
    </row>
    <row r="89" spans="1:22" s="304" customFormat="1" x14ac:dyDescent="0.25">
      <c r="B89" s="735"/>
      <c r="C89" s="734"/>
      <c r="E89" s="866"/>
      <c r="G89" s="358"/>
      <c r="H89" s="358"/>
      <c r="K89" s="393"/>
      <c r="L89" s="393"/>
      <c r="N89" s="393"/>
      <c r="O89" s="393"/>
      <c r="P89" s="393"/>
      <c r="R89" s="393"/>
      <c r="T89" s="393"/>
      <c r="U89" s="393"/>
      <c r="V89" s="393"/>
    </row>
    <row r="90" spans="1:22" s="304" customFormat="1" x14ac:dyDescent="0.25">
      <c r="B90" s="735"/>
      <c r="C90" s="734"/>
      <c r="E90" s="866"/>
      <c r="G90" s="358"/>
      <c r="H90" s="358"/>
      <c r="K90" s="393"/>
      <c r="L90" s="393"/>
      <c r="N90" s="393"/>
      <c r="O90" s="393"/>
      <c r="P90" s="393"/>
      <c r="R90" s="393"/>
      <c r="T90" s="393"/>
      <c r="U90" s="393"/>
      <c r="V90" s="393"/>
    </row>
    <row r="91" spans="1:22" s="304" customFormat="1" x14ac:dyDescent="0.25">
      <c r="B91" s="735"/>
      <c r="C91" s="734"/>
      <c r="E91" s="866"/>
      <c r="G91" s="358"/>
      <c r="H91" s="358"/>
      <c r="K91" s="393"/>
      <c r="L91" s="393"/>
      <c r="N91" s="393"/>
      <c r="O91" s="393"/>
      <c r="P91" s="393"/>
      <c r="R91" s="393"/>
      <c r="T91" s="393"/>
      <c r="U91" s="393"/>
      <c r="V91" s="393"/>
    </row>
    <row r="92" spans="1:22" x14ac:dyDescent="0.25">
      <c r="A92" s="304"/>
      <c r="C92" s="734"/>
      <c r="D92" s="304"/>
      <c r="E92" s="866"/>
      <c r="F92" s="304"/>
      <c r="J92" s="304"/>
      <c r="K92" s="393"/>
      <c r="L92" s="393"/>
      <c r="M92" s="304"/>
      <c r="N92" s="393"/>
      <c r="O92" s="393"/>
      <c r="P92" s="393"/>
      <c r="R92" s="393"/>
      <c r="S92" s="304"/>
      <c r="T92" s="393"/>
      <c r="U92" s="393"/>
      <c r="V92" s="393"/>
    </row>
    <row r="93" spans="1:22" x14ac:dyDescent="0.25">
      <c r="A93" s="304"/>
      <c r="C93" s="734"/>
      <c r="D93" s="304"/>
      <c r="E93" s="866"/>
      <c r="F93" s="304"/>
      <c r="J93" s="304"/>
      <c r="K93" s="393"/>
      <c r="L93" s="393"/>
      <c r="M93" s="304"/>
      <c r="N93" s="393"/>
      <c r="O93" s="393"/>
      <c r="P93" s="393"/>
      <c r="R93" s="393"/>
      <c r="S93" s="304"/>
      <c r="T93" s="393"/>
      <c r="U93" s="393"/>
      <c r="V93" s="393"/>
    </row>
    <row r="94" spans="1:22" x14ac:dyDescent="0.25">
      <c r="A94" s="304"/>
      <c r="C94" s="734"/>
      <c r="D94" s="304"/>
      <c r="E94" s="866"/>
      <c r="F94" s="304"/>
      <c r="J94" s="304"/>
      <c r="K94" s="393"/>
      <c r="L94" s="393"/>
      <c r="M94" s="304"/>
      <c r="N94" s="393"/>
      <c r="O94" s="393"/>
      <c r="P94" s="393"/>
      <c r="R94" s="393"/>
      <c r="S94" s="304"/>
      <c r="T94" s="393"/>
      <c r="U94" s="393"/>
      <c r="V94" s="393"/>
    </row>
    <row r="95" spans="1:22" x14ac:dyDescent="0.25">
      <c r="A95" s="304"/>
      <c r="B95" s="735"/>
      <c r="C95" s="734"/>
      <c r="D95" s="304"/>
      <c r="E95" s="866"/>
      <c r="F95" s="304"/>
      <c r="J95" s="304"/>
      <c r="K95" s="393"/>
      <c r="L95" s="393"/>
      <c r="M95" s="304"/>
      <c r="N95" s="393"/>
      <c r="O95" s="393"/>
      <c r="P95" s="393"/>
      <c r="R95" s="393"/>
      <c r="S95" s="304"/>
      <c r="T95" s="393"/>
      <c r="U95" s="393"/>
      <c r="V95" s="393"/>
    </row>
    <row r="96" spans="1:22" x14ac:dyDescent="0.25">
      <c r="C96" s="734"/>
      <c r="K96" s="393"/>
      <c r="L96" s="393"/>
      <c r="N96" s="393"/>
      <c r="O96" s="393"/>
      <c r="P96" s="393"/>
      <c r="R96" s="393"/>
      <c r="T96" s="393"/>
      <c r="U96" s="393"/>
      <c r="V96" s="393"/>
    </row>
    <row r="97" spans="3:22" x14ac:dyDescent="0.25">
      <c r="C97" s="734"/>
      <c r="K97" s="393"/>
      <c r="L97" s="393"/>
      <c r="N97" s="393"/>
      <c r="O97" s="393"/>
      <c r="P97" s="393"/>
      <c r="R97" s="393"/>
      <c r="T97" s="393"/>
      <c r="U97" s="393"/>
      <c r="V97" s="393"/>
    </row>
    <row r="98" spans="3:22" x14ac:dyDescent="0.25">
      <c r="C98" s="734"/>
    </row>
    <row r="99" spans="3:22" x14ac:dyDescent="0.25">
      <c r="C99" s="734"/>
    </row>
    <row r="100" spans="3:22" x14ac:dyDescent="0.25">
      <c r="C100" s="734"/>
    </row>
    <row r="101" spans="3:22" x14ac:dyDescent="0.25">
      <c r="C101" s="734"/>
    </row>
    <row r="102" spans="3:22" x14ac:dyDescent="0.25">
      <c r="C102" s="734"/>
    </row>
    <row r="103" spans="3:22" x14ac:dyDescent="0.25">
      <c r="C103" s="73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B103"/>
  <sheetViews>
    <sheetView workbookViewId="0">
      <pane xSplit="3" ySplit="1" topLeftCell="D2" activePane="bottomRight" state="frozen"/>
      <selection pane="topRight" activeCell="D1" sqref="D1"/>
      <selection pane="bottomLeft" activeCell="A2" sqref="A2"/>
      <selection pane="bottomRight"/>
    </sheetView>
  </sheetViews>
  <sheetFormatPr defaultRowHeight="15" x14ac:dyDescent="0.25"/>
  <cols>
    <col min="1" max="1" width="50.5703125" style="339" customWidth="1"/>
    <col min="2" max="3" width="52.140625" style="733" hidden="1" customWidth="1"/>
    <col min="4" max="4" width="11.7109375" style="339" customWidth="1"/>
    <col min="5" max="5" width="11.85546875" style="502" customWidth="1"/>
    <col min="6" max="6" width="11.85546875" style="339" customWidth="1"/>
    <col min="7" max="7" width="42.28515625" style="339" customWidth="1"/>
    <col min="8" max="8" width="40.85546875" style="339" customWidth="1"/>
    <col min="9" max="11" width="41.42578125" style="339" customWidth="1"/>
    <col min="12" max="12" width="9.140625" style="339"/>
    <col min="13" max="13" width="11.85546875" style="339" customWidth="1"/>
    <col min="14" max="14" width="42.28515625" style="339" customWidth="1"/>
    <col min="15" max="15" width="40.85546875" style="339" customWidth="1"/>
    <col min="16" max="18" width="41.42578125" style="339" customWidth="1"/>
    <col min="19" max="19" width="9.85546875" style="339" customWidth="1"/>
    <col min="20" max="20" width="12.85546875" style="339" customWidth="1"/>
    <col min="21" max="24" width="41.42578125" style="339" customWidth="1"/>
    <col min="25" max="25" width="11" style="339" customWidth="1"/>
    <col min="26" max="26" width="12.85546875" style="339" customWidth="1"/>
    <col min="27" max="28" width="12.5703125" style="339" customWidth="1"/>
    <col min="29" max="33" width="12" style="339" customWidth="1"/>
    <col min="34" max="50" width="39.28515625" style="339" customWidth="1"/>
    <col min="51" max="16384" width="9.140625" style="339"/>
  </cols>
  <sheetData>
    <row r="1" spans="1:28" s="425" customFormat="1" ht="69.75" customHeight="1" x14ac:dyDescent="0.25">
      <c r="A1" s="463" t="s">
        <v>797</v>
      </c>
      <c r="B1" s="726" t="str">
        <f>HLOOKUP(Start!$B$23,$D$1:$AA$75,+C1, FALSE)</f>
        <v>Fatt. Pigs (slurry). Application to field. Slurry acidification during application to field (SyreN). (Ref: Denmark, 2012)</v>
      </c>
      <c r="C1" s="462">
        <v>1</v>
      </c>
      <c r="D1" s="523" t="s">
        <v>1012</v>
      </c>
      <c r="E1" s="1114"/>
      <c r="F1" s="523" t="s">
        <v>1062</v>
      </c>
      <c r="G1" s="532" t="s">
        <v>1069</v>
      </c>
      <c r="H1" s="532" t="s">
        <v>1070</v>
      </c>
      <c r="I1" s="532" t="s">
        <v>1099</v>
      </c>
      <c r="J1" s="532" t="s">
        <v>1097</v>
      </c>
      <c r="K1" s="532" t="s">
        <v>1098</v>
      </c>
      <c r="M1" s="523" t="s">
        <v>1063</v>
      </c>
      <c r="N1" s="532" t="s">
        <v>1068</v>
      </c>
      <c r="O1" s="532" t="s">
        <v>1067</v>
      </c>
      <c r="P1" s="532" t="s">
        <v>1100</v>
      </c>
      <c r="Q1" s="532" t="s">
        <v>1101</v>
      </c>
      <c r="R1" s="532" t="s">
        <v>1102</v>
      </c>
      <c r="T1" s="523" t="s">
        <v>1016</v>
      </c>
      <c r="U1" s="532" t="s">
        <v>1081</v>
      </c>
      <c r="V1" s="532" t="s">
        <v>1082</v>
      </c>
      <c r="W1" s="532" t="s">
        <v>1083</v>
      </c>
      <c r="X1" s="532" t="s">
        <v>1084</v>
      </c>
      <c r="Z1" s="523"/>
      <c r="AA1" s="958"/>
      <c r="AB1" s="339"/>
    </row>
    <row r="2" spans="1:28" s="357" customFormat="1" ht="192.75" customHeight="1" x14ac:dyDescent="0.25">
      <c r="A2" s="380" t="s">
        <v>1064</v>
      </c>
      <c r="B2" s="726" t="str">
        <f>HLOOKUP(Start!$B$23,$D$1:$AA$75,+C2, FALSE)</f>
        <v xml:space="preserve">The SyreN technique was accepted on The Technology List by the Danish EPA (www.mst.dk) in Oct 2012 and verified in VERA Verification Statement (Oct 2012): (Technology: SyreN. Manufactured by: BioCover a/s.) www.veracert.eu. Further information from AgroTechnologyATLAS (2013): 1002 Slurry acidification during field spreading http://agro-technology-atlas.eu/techdescs.aspx?techgroup=1000. These information are combined with Information from the online system for revision of the IRPP BREF document the by the European IPPC Bureau, BAT Information System (BATIS). </v>
      </c>
      <c r="C2" s="426">
        <f>+C1+1</f>
        <v>2</v>
      </c>
      <c r="D2" s="511"/>
      <c r="E2" s="1115"/>
      <c r="F2" s="511"/>
      <c r="G2" s="1123" t="s">
        <v>1164</v>
      </c>
      <c r="H2" s="1123" t="s">
        <v>1165</v>
      </c>
      <c r="I2" s="968" t="s">
        <v>1166</v>
      </c>
      <c r="J2" s="968" t="s">
        <v>1167</v>
      </c>
      <c r="K2" s="968" t="s">
        <v>1168</v>
      </c>
      <c r="M2" s="511"/>
      <c r="N2" s="1123" t="s">
        <v>1164</v>
      </c>
      <c r="O2" s="1123" t="s">
        <v>1165</v>
      </c>
      <c r="P2" s="968" t="s">
        <v>1166</v>
      </c>
      <c r="Q2" s="968" t="s">
        <v>1167</v>
      </c>
      <c r="R2" s="968" t="s">
        <v>1168</v>
      </c>
      <c r="S2" s="964"/>
      <c r="T2" s="967"/>
      <c r="U2" s="968" t="s">
        <v>1103</v>
      </c>
      <c r="V2" s="968" t="s">
        <v>1103</v>
      </c>
      <c r="W2" s="968" t="s">
        <v>1103</v>
      </c>
      <c r="X2" s="968" t="s">
        <v>1103</v>
      </c>
      <c r="Y2" s="964"/>
      <c r="Z2" s="967"/>
      <c r="AA2" s="959"/>
    </row>
    <row r="3" spans="1:28" s="357" customFormat="1" ht="204" x14ac:dyDescent="0.25">
      <c r="A3" s="375" t="s">
        <v>368</v>
      </c>
      <c r="B3" s="726" t="str">
        <f>HLOOKUP(Start!$B$23,$D$1:$AA$75,+C3, FALSE)</f>
        <v xml:space="preserve">For slurry from fattening pigs and sows. During land application the slurry is continuously acidified by mixing the slurry with concentrated sulphuric acid. By mixing slurry with acid during the field spreading operation, the pH is lowered whereby the equilibrium between ammonia (NH3, gaseous form) and ammonium (NH4 - aquatic suspension) is changed towards ammonium. Ammonia evaporation is limited at pH under 6.5. Sulphuric acid is stored in an approved container mounted in front of the tractor that pulls the liquid manure spreader / slurry tanker. The sulphuric acid is pumped through pipes from the acid container  to the outlet of the manure spreader where the liquid manure is mixed with the acid.
</v>
      </c>
      <c r="C3" s="426">
        <f t="shared" ref="C3:C66" si="0">+C2+1</f>
        <v>3</v>
      </c>
      <c r="D3" s="511"/>
      <c r="E3" s="1115"/>
      <c r="F3" s="511"/>
      <c r="G3" s="359" t="s">
        <v>564</v>
      </c>
      <c r="H3" s="359" t="s">
        <v>565</v>
      </c>
      <c r="I3" s="359" t="s">
        <v>561</v>
      </c>
      <c r="J3" s="359" t="s">
        <v>563</v>
      </c>
      <c r="K3" s="359" t="s">
        <v>563</v>
      </c>
      <c r="M3" s="511"/>
      <c r="N3" s="359" t="s">
        <v>564</v>
      </c>
      <c r="O3" s="359" t="s">
        <v>565</v>
      </c>
      <c r="P3" s="359" t="s">
        <v>561</v>
      </c>
      <c r="Q3" s="359" t="s">
        <v>563</v>
      </c>
      <c r="R3" s="359" t="s">
        <v>563</v>
      </c>
      <c r="S3" s="359"/>
      <c r="T3" s="511"/>
      <c r="U3" s="359" t="s">
        <v>591</v>
      </c>
      <c r="V3" s="359" t="s">
        <v>591</v>
      </c>
      <c r="W3" s="359" t="s">
        <v>591</v>
      </c>
      <c r="X3" s="359" t="s">
        <v>591</v>
      </c>
      <c r="Z3" s="511"/>
      <c r="AA3" s="959"/>
    </row>
    <row r="4" spans="1:28" s="357" customFormat="1" ht="76.5" x14ac:dyDescent="0.25">
      <c r="A4" s="380" t="s">
        <v>415</v>
      </c>
      <c r="B4" s="726" t="str">
        <f>HLOOKUP(Start!$B$23,$D$1:$AA$75,+C4, FALSE)</f>
        <v>It is anticipated similar ammonia reduction effect can be obtained for other types of liquid manure and for spreading on growing crops, and that higher effects could be obtained in case of broad spreading, and under weather conditions with high temperatures and high wind speeds.</v>
      </c>
      <c r="C4" s="426">
        <f t="shared" si="0"/>
        <v>4</v>
      </c>
      <c r="D4" s="511"/>
      <c r="E4" s="1115"/>
      <c r="F4" s="511"/>
      <c r="G4" s="359" t="s">
        <v>443</v>
      </c>
      <c r="H4" s="359"/>
      <c r="M4" s="511"/>
      <c r="N4" s="359" t="s">
        <v>443</v>
      </c>
      <c r="O4" s="359"/>
      <c r="S4" s="359"/>
      <c r="T4" s="511"/>
      <c r="U4" s="357" t="s">
        <v>590</v>
      </c>
      <c r="V4" s="357" t="s">
        <v>590</v>
      </c>
      <c r="W4" s="357" t="s">
        <v>590</v>
      </c>
      <c r="X4" s="357" t="s">
        <v>590</v>
      </c>
      <c r="Z4" s="511"/>
      <c r="AA4" s="959"/>
    </row>
    <row r="5" spans="1:28" s="357" customFormat="1" ht="45.75" customHeight="1" x14ac:dyDescent="0.25">
      <c r="A5" s="380" t="s">
        <v>812</v>
      </c>
      <c r="B5" s="726" t="str">
        <f>HLOOKUP(Start!$B$23,$D$1:$AA$75,+C5, FALSE)</f>
        <v>Warning: This technique does not contain data for N2O or CH4. Please interpret results with care.</v>
      </c>
      <c r="C5" s="426">
        <f t="shared" si="0"/>
        <v>5</v>
      </c>
      <c r="D5" s="511"/>
      <c r="E5" s="1115"/>
      <c r="F5" s="511"/>
      <c r="G5" s="379" t="s">
        <v>822</v>
      </c>
      <c r="H5" s="379" t="s">
        <v>822</v>
      </c>
      <c r="I5" s="379"/>
      <c r="J5" s="379"/>
      <c r="K5" s="379" t="s">
        <v>822</v>
      </c>
      <c r="M5" s="511"/>
      <c r="N5" s="379" t="s">
        <v>822</v>
      </c>
      <c r="O5" s="379" t="s">
        <v>822</v>
      </c>
      <c r="P5" s="379" t="s">
        <v>822</v>
      </c>
      <c r="Q5" s="379" t="s">
        <v>822</v>
      </c>
      <c r="R5" s="379" t="s">
        <v>822</v>
      </c>
      <c r="S5" s="359"/>
      <c r="T5" s="511"/>
      <c r="U5" s="379" t="s">
        <v>822</v>
      </c>
      <c r="V5" s="379" t="s">
        <v>822</v>
      </c>
      <c r="W5" s="379" t="s">
        <v>822</v>
      </c>
      <c r="X5" s="379" t="s">
        <v>822</v>
      </c>
      <c r="Z5" s="511"/>
      <c r="AA5" s="960"/>
    </row>
    <row r="6" spans="1:28" s="382" customFormat="1" ht="25.5" x14ac:dyDescent="0.25">
      <c r="A6" s="376" t="s">
        <v>428</v>
      </c>
      <c r="B6" s="726">
        <f>HLOOKUP(Start!$B$23,$D$1:$AA$75,+C6, FALSE)</f>
        <v>0</v>
      </c>
      <c r="C6" s="426">
        <f t="shared" si="0"/>
        <v>6</v>
      </c>
      <c r="D6" s="512"/>
      <c r="E6" s="826"/>
      <c r="F6" s="512"/>
      <c r="M6" s="512"/>
      <c r="T6" s="512"/>
      <c r="Z6" s="512"/>
      <c r="AA6" s="959"/>
    </row>
    <row r="7" spans="1:28" s="357" customFormat="1" ht="12.75" x14ac:dyDescent="0.25">
      <c r="A7" s="390" t="s">
        <v>859</v>
      </c>
      <c r="B7" s="726">
        <f>HLOOKUP(Start!$B$23,$D$1:$AA$75,+C7, FALSE)</f>
        <v>0</v>
      </c>
      <c r="C7" s="426">
        <f t="shared" si="0"/>
        <v>7</v>
      </c>
      <c r="D7" s="513"/>
      <c r="E7" s="1109"/>
      <c r="F7" s="513"/>
      <c r="G7" s="384">
        <v>0</v>
      </c>
      <c r="H7" s="384">
        <v>0</v>
      </c>
      <c r="I7" s="358">
        <v>0</v>
      </c>
      <c r="J7" s="358">
        <v>0</v>
      </c>
      <c r="K7" s="358">
        <v>0</v>
      </c>
      <c r="M7" s="513"/>
      <c r="N7" s="384">
        <v>0</v>
      </c>
      <c r="O7" s="384">
        <v>0</v>
      </c>
      <c r="P7" s="358">
        <v>0</v>
      </c>
      <c r="Q7" s="358">
        <v>0</v>
      </c>
      <c r="R7" s="358">
        <v>0</v>
      </c>
      <c r="S7" s="358"/>
      <c r="T7" s="513"/>
      <c r="U7" s="358"/>
      <c r="V7" s="358"/>
      <c r="W7" s="358"/>
      <c r="X7" s="358"/>
      <c r="Z7" s="513"/>
      <c r="AA7" s="959"/>
    </row>
    <row r="8" spans="1:28" s="357" customFormat="1" ht="12.75" x14ac:dyDescent="0.25">
      <c r="A8" s="391" t="s">
        <v>860</v>
      </c>
      <c r="B8" s="726">
        <f>HLOOKUP(Start!$B$23,$D$1:$AA$75,+C8, FALSE)</f>
        <v>0</v>
      </c>
      <c r="C8" s="426">
        <f t="shared" si="0"/>
        <v>8</v>
      </c>
      <c r="D8" s="513"/>
      <c r="E8" s="1109"/>
      <c r="F8" s="513"/>
      <c r="G8" s="384">
        <v>0</v>
      </c>
      <c r="H8" s="384">
        <v>0</v>
      </c>
      <c r="I8" s="358">
        <v>0</v>
      </c>
      <c r="J8" s="358">
        <v>0</v>
      </c>
      <c r="K8" s="358">
        <v>0</v>
      </c>
      <c r="M8" s="513"/>
      <c r="N8" s="384">
        <v>0</v>
      </c>
      <c r="O8" s="384">
        <v>0</v>
      </c>
      <c r="P8" s="358">
        <v>0</v>
      </c>
      <c r="Q8" s="358">
        <v>0</v>
      </c>
      <c r="R8" s="358">
        <v>0</v>
      </c>
      <c r="S8" s="358"/>
      <c r="T8" s="513"/>
      <c r="U8" s="358"/>
      <c r="V8" s="358"/>
      <c r="W8" s="358"/>
      <c r="X8" s="358"/>
      <c r="Z8" s="513"/>
      <c r="AA8" s="961"/>
    </row>
    <row r="9" spans="1:28" s="357" customFormat="1" ht="12.75" x14ac:dyDescent="0.25">
      <c r="A9" s="390" t="s">
        <v>858</v>
      </c>
      <c r="B9" s="726">
        <f>HLOOKUP(Start!$B$23,$D$1:$AA$75,+C9, FALSE)</f>
        <v>0</v>
      </c>
      <c r="C9" s="426">
        <f t="shared" si="0"/>
        <v>9</v>
      </c>
      <c r="D9" s="513"/>
      <c r="E9" s="1109"/>
      <c r="F9" s="513"/>
      <c r="G9" s="384">
        <v>0</v>
      </c>
      <c r="H9" s="384">
        <v>0</v>
      </c>
      <c r="I9" s="358">
        <v>0</v>
      </c>
      <c r="J9" s="358">
        <v>0</v>
      </c>
      <c r="K9" s="358">
        <v>0</v>
      </c>
      <c r="M9" s="513"/>
      <c r="N9" s="384">
        <v>0</v>
      </c>
      <c r="O9" s="384">
        <v>0</v>
      </c>
      <c r="P9" s="358">
        <v>0</v>
      </c>
      <c r="Q9" s="358">
        <v>0</v>
      </c>
      <c r="R9" s="358">
        <v>0</v>
      </c>
      <c r="S9" s="358"/>
      <c r="T9" s="513"/>
      <c r="U9" s="358"/>
      <c r="V9" s="358"/>
      <c r="W9" s="358"/>
      <c r="X9" s="358"/>
      <c r="Z9" s="513"/>
      <c r="AA9" s="959"/>
    </row>
    <row r="10" spans="1:28" s="382" customFormat="1" ht="25.5" x14ac:dyDescent="0.25">
      <c r="A10" s="376" t="s">
        <v>424</v>
      </c>
      <c r="B10" s="726">
        <f>HLOOKUP(Start!$B$23,$D$1:$AA$75,+C10, FALSE)</f>
        <v>0</v>
      </c>
      <c r="C10" s="426">
        <f t="shared" si="0"/>
        <v>10</v>
      </c>
      <c r="D10" s="513"/>
      <c r="E10" s="1109"/>
      <c r="F10" s="513"/>
      <c r="M10" s="513"/>
      <c r="T10" s="513"/>
      <c r="Z10" s="513"/>
      <c r="AA10" s="959"/>
    </row>
    <row r="11" spans="1:28" s="357" customFormat="1" ht="12.75" x14ac:dyDescent="0.25">
      <c r="A11" s="357" t="s">
        <v>416</v>
      </c>
      <c r="B11" s="726">
        <f>HLOOKUP(Start!$B$23,$D$1:$AA$75,+C11, FALSE)</f>
        <v>0</v>
      </c>
      <c r="C11" s="426">
        <f t="shared" si="0"/>
        <v>11</v>
      </c>
      <c r="D11" s="514"/>
      <c r="E11" s="1116"/>
      <c r="F11" s="514"/>
      <c r="G11" s="384">
        <v>0</v>
      </c>
      <c r="H11" s="384">
        <v>0</v>
      </c>
      <c r="I11" s="384">
        <v>0</v>
      </c>
      <c r="J11" s="384">
        <v>0</v>
      </c>
      <c r="K11" s="384">
        <v>0</v>
      </c>
      <c r="M11" s="514"/>
      <c r="N11" s="384">
        <v>0</v>
      </c>
      <c r="O11" s="384">
        <v>0</v>
      </c>
      <c r="P11" s="384">
        <v>0</v>
      </c>
      <c r="Q11" s="384">
        <v>0</v>
      </c>
      <c r="R11" s="384">
        <v>0</v>
      </c>
      <c r="S11" s="358"/>
      <c r="T11" s="514"/>
      <c r="U11" s="384"/>
      <c r="V11" s="384"/>
      <c r="W11" s="384"/>
      <c r="X11" s="384"/>
      <c r="Z11" s="514"/>
      <c r="AA11" s="961"/>
    </row>
    <row r="12" spans="1:28" s="357" customFormat="1" ht="12.75" x14ac:dyDescent="0.25">
      <c r="A12" s="357" t="s">
        <v>417</v>
      </c>
      <c r="B12" s="726">
        <f>HLOOKUP(Start!$B$23,$D$1:$AA$75,+C12, FALSE)</f>
        <v>0</v>
      </c>
      <c r="C12" s="426">
        <f t="shared" si="0"/>
        <v>12</v>
      </c>
      <c r="D12" s="514"/>
      <c r="E12" s="1116"/>
      <c r="F12" s="514"/>
      <c r="G12" s="384">
        <v>0</v>
      </c>
      <c r="H12" s="384">
        <v>0</v>
      </c>
      <c r="I12" s="384">
        <v>0</v>
      </c>
      <c r="J12" s="384">
        <v>0</v>
      </c>
      <c r="K12" s="384">
        <v>0</v>
      </c>
      <c r="M12" s="514"/>
      <c r="N12" s="384">
        <v>0</v>
      </c>
      <c r="O12" s="384">
        <v>0</v>
      </c>
      <c r="P12" s="384">
        <v>0</v>
      </c>
      <c r="Q12" s="384">
        <v>0</v>
      </c>
      <c r="R12" s="384">
        <v>0</v>
      </c>
      <c r="S12" s="358"/>
      <c r="T12" s="514"/>
      <c r="U12" s="384"/>
      <c r="V12" s="384"/>
      <c r="W12" s="384"/>
      <c r="X12" s="384"/>
      <c r="Z12" s="514"/>
      <c r="AA12" s="959"/>
    </row>
    <row r="13" spans="1:28" s="357" customFormat="1" ht="12.75" x14ac:dyDescent="0.25">
      <c r="A13" s="357" t="s">
        <v>418</v>
      </c>
      <c r="B13" s="726">
        <f>HLOOKUP(Start!$B$23,$D$1:$AA$75,+C13, FALSE)</f>
        <v>0</v>
      </c>
      <c r="C13" s="426">
        <f t="shared" si="0"/>
        <v>13</v>
      </c>
      <c r="D13" s="514"/>
      <c r="E13" s="1116"/>
      <c r="F13" s="514"/>
      <c r="G13" s="384">
        <v>0</v>
      </c>
      <c r="H13" s="384">
        <v>0</v>
      </c>
      <c r="I13" s="384">
        <v>0</v>
      </c>
      <c r="J13" s="384">
        <v>0</v>
      </c>
      <c r="K13" s="384">
        <v>0</v>
      </c>
      <c r="M13" s="514"/>
      <c r="N13" s="384">
        <v>0</v>
      </c>
      <c r="O13" s="384">
        <v>0</v>
      </c>
      <c r="P13" s="384">
        <v>0</v>
      </c>
      <c r="Q13" s="384">
        <v>0</v>
      </c>
      <c r="R13" s="384">
        <v>0</v>
      </c>
      <c r="S13" s="358"/>
      <c r="T13" s="514"/>
      <c r="U13" s="384"/>
      <c r="V13" s="384"/>
      <c r="W13" s="384"/>
      <c r="X13" s="384"/>
      <c r="Z13" s="514"/>
      <c r="AA13" s="959"/>
    </row>
    <row r="14" spans="1:28" s="357" customFormat="1" ht="12.75" x14ac:dyDescent="0.25">
      <c r="A14" s="357" t="s">
        <v>419</v>
      </c>
      <c r="B14" s="726">
        <f>HLOOKUP(Start!$B$23,$D$1:$AA$75,+C14, FALSE)</f>
        <v>0</v>
      </c>
      <c r="C14" s="426">
        <f t="shared" si="0"/>
        <v>14</v>
      </c>
      <c r="D14" s="514"/>
      <c r="E14" s="1116"/>
      <c r="F14" s="514"/>
      <c r="G14" s="384">
        <v>0</v>
      </c>
      <c r="H14" s="384">
        <v>0</v>
      </c>
      <c r="I14" s="384">
        <v>0</v>
      </c>
      <c r="J14" s="384">
        <v>0</v>
      </c>
      <c r="K14" s="384">
        <v>0</v>
      </c>
      <c r="M14" s="514"/>
      <c r="N14" s="384">
        <v>0</v>
      </c>
      <c r="O14" s="384">
        <v>0</v>
      </c>
      <c r="P14" s="384">
        <v>0</v>
      </c>
      <c r="Q14" s="384">
        <v>0</v>
      </c>
      <c r="R14" s="384">
        <v>0</v>
      </c>
      <c r="S14" s="429"/>
      <c r="T14" s="514"/>
      <c r="U14" s="384"/>
      <c r="V14" s="384"/>
      <c r="W14" s="384"/>
      <c r="X14" s="384"/>
      <c r="Z14" s="514"/>
      <c r="AA14" s="959"/>
    </row>
    <row r="15" spans="1:28" s="382" customFormat="1" ht="25.5" x14ac:dyDescent="0.25">
      <c r="A15" s="376" t="s">
        <v>425</v>
      </c>
      <c r="B15" s="726">
        <f>HLOOKUP(Start!$B$23,$D$1:$AA$75,+C15, FALSE)</f>
        <v>0</v>
      </c>
      <c r="C15" s="426">
        <f t="shared" si="0"/>
        <v>15</v>
      </c>
      <c r="D15" s="515"/>
      <c r="E15" s="1117"/>
      <c r="F15" s="515"/>
      <c r="M15" s="515"/>
      <c r="T15" s="515"/>
      <c r="Z15" s="515"/>
      <c r="AA15" s="959"/>
    </row>
    <row r="16" spans="1:28" s="357" customFormat="1" ht="12.75" x14ac:dyDescent="0.25">
      <c r="A16" s="357" t="s">
        <v>416</v>
      </c>
      <c r="B16" s="726">
        <f>HLOOKUP(Start!$B$23,$D$1:$AA$75,+C16, FALSE)</f>
        <v>0</v>
      </c>
      <c r="C16" s="426">
        <f t="shared" si="0"/>
        <v>16</v>
      </c>
      <c r="D16" s="516"/>
      <c r="E16" s="1110"/>
      <c r="F16" s="516"/>
      <c r="G16" s="384">
        <v>0</v>
      </c>
      <c r="H16" s="384">
        <v>0</v>
      </c>
      <c r="I16" s="384">
        <v>0</v>
      </c>
      <c r="J16" s="384">
        <v>0</v>
      </c>
      <c r="K16" s="384">
        <v>0</v>
      </c>
      <c r="M16" s="516"/>
      <c r="N16" s="384">
        <v>0</v>
      </c>
      <c r="O16" s="384">
        <v>0</v>
      </c>
      <c r="P16" s="384">
        <v>0</v>
      </c>
      <c r="Q16" s="384">
        <v>0</v>
      </c>
      <c r="R16" s="384">
        <v>0</v>
      </c>
      <c r="S16" s="384"/>
      <c r="T16" s="516"/>
      <c r="U16" s="384"/>
      <c r="V16" s="384"/>
      <c r="W16" s="384"/>
      <c r="X16" s="384"/>
      <c r="Z16" s="516"/>
      <c r="AA16" s="961"/>
    </row>
    <row r="17" spans="1:27" s="357" customFormat="1" ht="12.75" x14ac:dyDescent="0.25">
      <c r="A17" s="357" t="s">
        <v>417</v>
      </c>
      <c r="B17" s="726">
        <f>HLOOKUP(Start!$B$23,$D$1:$AA$75,+C17, FALSE)</f>
        <v>0</v>
      </c>
      <c r="C17" s="426">
        <f t="shared" si="0"/>
        <v>17</v>
      </c>
      <c r="D17" s="516"/>
      <c r="E17" s="1110"/>
      <c r="F17" s="516"/>
      <c r="G17" s="384">
        <v>0</v>
      </c>
      <c r="H17" s="384">
        <v>0</v>
      </c>
      <c r="I17" s="384">
        <v>0</v>
      </c>
      <c r="J17" s="384">
        <v>0</v>
      </c>
      <c r="K17" s="384">
        <v>0</v>
      </c>
      <c r="M17" s="516"/>
      <c r="N17" s="384">
        <v>0</v>
      </c>
      <c r="O17" s="384">
        <v>0</v>
      </c>
      <c r="P17" s="384">
        <v>0</v>
      </c>
      <c r="Q17" s="384">
        <v>0</v>
      </c>
      <c r="R17" s="384">
        <v>0</v>
      </c>
      <c r="S17" s="384"/>
      <c r="T17" s="516"/>
      <c r="U17" s="384"/>
      <c r="V17" s="384"/>
      <c r="W17" s="384"/>
      <c r="X17" s="384"/>
      <c r="Z17" s="516"/>
      <c r="AA17" s="959"/>
    </row>
    <row r="18" spans="1:27" s="357" customFormat="1" ht="12.75" x14ac:dyDescent="0.25">
      <c r="A18" s="357" t="s">
        <v>418</v>
      </c>
      <c r="B18" s="726">
        <f>HLOOKUP(Start!$B$23,$D$1:$AA$75,+C18, FALSE)</f>
        <v>0</v>
      </c>
      <c r="C18" s="426">
        <f t="shared" si="0"/>
        <v>18</v>
      </c>
      <c r="D18" s="516"/>
      <c r="E18" s="1110"/>
      <c r="F18" s="516"/>
      <c r="G18" s="384">
        <v>0</v>
      </c>
      <c r="H18" s="384">
        <v>0</v>
      </c>
      <c r="I18" s="384">
        <v>0</v>
      </c>
      <c r="J18" s="384">
        <v>0</v>
      </c>
      <c r="K18" s="384">
        <v>0</v>
      </c>
      <c r="M18" s="516"/>
      <c r="N18" s="384">
        <v>0</v>
      </c>
      <c r="O18" s="384">
        <v>0</v>
      </c>
      <c r="P18" s="384">
        <v>0</v>
      </c>
      <c r="Q18" s="384">
        <v>0</v>
      </c>
      <c r="R18" s="384">
        <v>0</v>
      </c>
      <c r="S18" s="384"/>
      <c r="T18" s="516"/>
      <c r="U18" s="384"/>
      <c r="V18" s="384"/>
      <c r="W18" s="384"/>
      <c r="X18" s="384"/>
      <c r="Z18" s="516"/>
      <c r="AA18" s="959"/>
    </row>
    <row r="19" spans="1:27" s="357" customFormat="1" ht="12.75" x14ac:dyDescent="0.25">
      <c r="A19" s="357" t="s">
        <v>419</v>
      </c>
      <c r="B19" s="726">
        <f>HLOOKUP(Start!$B$23,$D$1:$AA$75,+C19, FALSE)</f>
        <v>0</v>
      </c>
      <c r="C19" s="426">
        <f t="shared" si="0"/>
        <v>19</v>
      </c>
      <c r="D19" s="516"/>
      <c r="E19" s="1110"/>
      <c r="F19" s="516"/>
      <c r="G19" s="384">
        <v>0</v>
      </c>
      <c r="H19" s="384">
        <v>0</v>
      </c>
      <c r="I19" s="384">
        <v>0</v>
      </c>
      <c r="J19" s="384">
        <v>0</v>
      </c>
      <c r="K19" s="384">
        <v>0</v>
      </c>
      <c r="M19" s="516"/>
      <c r="N19" s="384">
        <v>0</v>
      </c>
      <c r="O19" s="384">
        <v>0</v>
      </c>
      <c r="P19" s="384">
        <v>0</v>
      </c>
      <c r="Q19" s="384">
        <v>0</v>
      </c>
      <c r="R19" s="384">
        <v>0</v>
      </c>
      <c r="S19" s="384"/>
      <c r="T19" s="516"/>
      <c r="U19" s="384"/>
      <c r="V19" s="384"/>
      <c r="W19" s="384"/>
      <c r="X19" s="384"/>
      <c r="Z19" s="516"/>
      <c r="AA19" s="959"/>
    </row>
    <row r="20" spans="1:27" s="382" customFormat="1" ht="12.75" x14ac:dyDescent="0.25">
      <c r="A20" s="376" t="s">
        <v>414</v>
      </c>
      <c r="B20" s="726">
        <f>HLOOKUP(Start!$B$23,$D$1:$AA$75,+C20, FALSE)</f>
        <v>0</v>
      </c>
      <c r="C20" s="426">
        <f t="shared" si="0"/>
        <v>20</v>
      </c>
      <c r="D20" s="515"/>
      <c r="E20" s="1117"/>
      <c r="F20" s="515"/>
      <c r="M20" s="515"/>
      <c r="T20" s="515"/>
      <c r="Z20" s="515"/>
      <c r="AA20" s="959"/>
    </row>
    <row r="21" spans="1:27" s="357" customFormat="1" ht="12.75" x14ac:dyDescent="0.25">
      <c r="A21" s="357" t="s">
        <v>416</v>
      </c>
      <c r="B21" s="726">
        <f>HLOOKUP(Start!$B$23,$D$1:$AA$75,+C21, FALSE)</f>
        <v>-40</v>
      </c>
      <c r="C21" s="426">
        <f t="shared" si="0"/>
        <v>21</v>
      </c>
      <c r="D21" s="516"/>
      <c r="E21" s="1110"/>
      <c r="F21" s="516"/>
      <c r="G21" s="358">
        <v>-40</v>
      </c>
      <c r="H21" s="358">
        <v>-40</v>
      </c>
      <c r="I21" s="389">
        <v>-85</v>
      </c>
      <c r="J21" s="389">
        <v>-25</v>
      </c>
      <c r="K21" s="389">
        <v>-45</v>
      </c>
      <c r="M21" s="516"/>
      <c r="N21" s="358">
        <v>-49</v>
      </c>
      <c r="O21" s="358">
        <v>-49</v>
      </c>
      <c r="P21" s="389">
        <v>-85</v>
      </c>
      <c r="Q21" s="389">
        <v>-25</v>
      </c>
      <c r="R21" s="389">
        <v>-45</v>
      </c>
      <c r="S21" s="389"/>
      <c r="T21" s="516"/>
      <c r="U21" s="389">
        <v>-80</v>
      </c>
      <c r="V21" s="389">
        <v>-50</v>
      </c>
      <c r="W21" s="389">
        <v>-70</v>
      </c>
      <c r="X21" s="389">
        <v>-90</v>
      </c>
      <c r="Z21" s="516"/>
      <c r="AA21" s="961"/>
    </row>
    <row r="22" spans="1:27" s="357" customFormat="1" ht="12.75" x14ac:dyDescent="0.25">
      <c r="A22" s="357" t="s">
        <v>417</v>
      </c>
      <c r="B22" s="726">
        <f>HLOOKUP(Start!$B$23,$D$1:$AA$75,+C22, FALSE)</f>
        <v>0</v>
      </c>
      <c r="C22" s="426">
        <f t="shared" si="0"/>
        <v>22</v>
      </c>
      <c r="D22" s="516"/>
      <c r="E22" s="1110"/>
      <c r="F22" s="516"/>
      <c r="G22" s="358">
        <v>0</v>
      </c>
      <c r="H22" s="358">
        <v>0</v>
      </c>
      <c r="I22" s="384">
        <v>0</v>
      </c>
      <c r="J22" s="384">
        <v>0</v>
      </c>
      <c r="K22" s="384">
        <v>0</v>
      </c>
      <c r="M22" s="516"/>
      <c r="N22" s="358">
        <v>0</v>
      </c>
      <c r="O22" s="358">
        <v>0</v>
      </c>
      <c r="P22" s="384">
        <v>0</v>
      </c>
      <c r="Q22" s="384">
        <v>0</v>
      </c>
      <c r="R22" s="384">
        <v>0</v>
      </c>
      <c r="S22" s="384"/>
      <c r="T22" s="516"/>
      <c r="U22" s="384"/>
      <c r="V22" s="384"/>
      <c r="W22" s="384"/>
      <c r="X22" s="384"/>
      <c r="Z22" s="516"/>
      <c r="AA22" s="959"/>
    </row>
    <row r="23" spans="1:27" s="357" customFormat="1" ht="12.75" x14ac:dyDescent="0.25">
      <c r="A23" s="357" t="s">
        <v>418</v>
      </c>
      <c r="B23" s="726">
        <f>HLOOKUP(Start!$B$23,$D$1:$AA$75,+C23, FALSE)</f>
        <v>0</v>
      </c>
      <c r="C23" s="426">
        <f t="shared" si="0"/>
        <v>23</v>
      </c>
      <c r="D23" s="516"/>
      <c r="E23" s="1110"/>
      <c r="F23" s="516"/>
      <c r="G23" s="358">
        <v>0</v>
      </c>
      <c r="H23" s="358">
        <v>0</v>
      </c>
      <c r="I23" s="384">
        <v>100</v>
      </c>
      <c r="J23" s="384">
        <v>100</v>
      </c>
      <c r="K23" s="384">
        <v>100</v>
      </c>
      <c r="M23" s="516"/>
      <c r="N23" s="358">
        <v>0</v>
      </c>
      <c r="O23" s="358">
        <v>0</v>
      </c>
      <c r="P23" s="384">
        <v>100</v>
      </c>
      <c r="Q23" s="384">
        <v>100</v>
      </c>
      <c r="R23" s="384">
        <v>100</v>
      </c>
      <c r="S23" s="384"/>
      <c r="T23" s="516"/>
      <c r="U23" s="384"/>
      <c r="V23" s="384"/>
      <c r="W23" s="384"/>
      <c r="X23" s="384"/>
      <c r="Z23" s="516"/>
      <c r="AA23" s="959"/>
    </row>
    <row r="24" spans="1:27" s="357" customFormat="1" ht="12.75" x14ac:dyDescent="0.25">
      <c r="A24" s="357" t="s">
        <v>419</v>
      </c>
      <c r="B24" s="726" t="str">
        <f>HLOOKUP(Start!$B$23,$D$1:$AA$75,+C24, FALSE)</f>
        <v>No significant difference.</v>
      </c>
      <c r="C24" s="426">
        <f t="shared" si="0"/>
        <v>24</v>
      </c>
      <c r="D24" s="516"/>
      <c r="E24" s="1110"/>
      <c r="F24" s="516"/>
      <c r="G24" s="358" t="s">
        <v>444</v>
      </c>
      <c r="H24" s="358" t="s">
        <v>444</v>
      </c>
      <c r="I24" s="384" t="s">
        <v>562</v>
      </c>
      <c r="J24" s="384" t="s">
        <v>562</v>
      </c>
      <c r="K24" s="384" t="s">
        <v>562</v>
      </c>
      <c r="M24" s="516"/>
      <c r="N24" s="358" t="s">
        <v>444</v>
      </c>
      <c r="O24" s="358" t="s">
        <v>444</v>
      </c>
      <c r="P24" s="384" t="s">
        <v>562</v>
      </c>
      <c r="Q24" s="384" t="s">
        <v>562</v>
      </c>
      <c r="R24" s="384" t="s">
        <v>562</v>
      </c>
      <c r="S24" s="384"/>
      <c r="T24" s="516"/>
      <c r="U24" s="384"/>
      <c r="V24" s="384"/>
      <c r="W24" s="384"/>
      <c r="X24" s="384"/>
      <c r="Z24" s="516"/>
      <c r="AA24" s="959"/>
    </row>
    <row r="25" spans="1:27" s="357" customFormat="1" ht="90" thickBot="1" x14ac:dyDescent="0.3">
      <c r="A25" s="357" t="s">
        <v>415</v>
      </c>
      <c r="B25" s="726" t="str">
        <f>HLOOKUP(Start!$B$23,$D$1:$AA$75,+C25, FALSE)</f>
        <v>Acidification during spreading has an ammonia emission reduction efficiency of 49 % when applied on cattle slurry, and 40% for pig slurry, using  band laying system for spreading on forage grass as reference. The emission reduction efficiency is highly dependent on  the reference situation and weather conditions.</v>
      </c>
      <c r="C25" s="426">
        <f t="shared" si="0"/>
        <v>25</v>
      </c>
      <c r="D25" s="511"/>
      <c r="E25" s="1115"/>
      <c r="F25" s="511"/>
      <c r="G25" s="359" t="s">
        <v>1065</v>
      </c>
      <c r="H25" s="359" t="s">
        <v>1065</v>
      </c>
      <c r="I25" s="379" t="s">
        <v>1108</v>
      </c>
      <c r="J25" s="379" t="s">
        <v>1110</v>
      </c>
      <c r="K25" s="379" t="s">
        <v>1109</v>
      </c>
      <c r="M25" s="511"/>
      <c r="N25" s="359" t="s">
        <v>1065</v>
      </c>
      <c r="O25" s="359" t="s">
        <v>1065</v>
      </c>
      <c r="P25" s="379" t="s">
        <v>1108</v>
      </c>
      <c r="Q25" s="379" t="s">
        <v>1110</v>
      </c>
      <c r="R25" s="379" t="s">
        <v>1109</v>
      </c>
      <c r="S25" s="359"/>
      <c r="T25" s="511"/>
      <c r="U25" s="379"/>
      <c r="V25" s="379" t="s">
        <v>592</v>
      </c>
      <c r="W25" s="379" t="s">
        <v>592</v>
      </c>
      <c r="X25" s="379" t="s">
        <v>592</v>
      </c>
      <c r="Z25" s="511"/>
      <c r="AA25" s="959"/>
    </row>
    <row r="26" spans="1:27" s="382" customFormat="1" ht="25.5" x14ac:dyDescent="0.25">
      <c r="A26" s="398" t="s">
        <v>427</v>
      </c>
      <c r="B26" s="726">
        <f>HLOOKUP(Start!$B$23,$D$1:$AA$75,+C26, FALSE)</f>
        <v>0</v>
      </c>
      <c r="C26" s="426">
        <f t="shared" si="0"/>
        <v>26</v>
      </c>
      <c r="D26" s="512"/>
      <c r="E26" s="826"/>
      <c r="F26" s="512"/>
      <c r="M26" s="512"/>
      <c r="T26" s="512"/>
      <c r="Z26" s="512"/>
      <c r="AA26" s="959"/>
    </row>
    <row r="27" spans="1:27" s="357" customFormat="1" ht="12.75" x14ac:dyDescent="0.25">
      <c r="A27" s="359" t="s">
        <v>569</v>
      </c>
      <c r="B27" s="726">
        <f>HLOOKUP(Start!$B$23,$D$1:$AA$75,+C27, FALSE)</f>
        <v>0</v>
      </c>
      <c r="C27" s="426">
        <f t="shared" si="0"/>
        <v>27</v>
      </c>
      <c r="D27" s="516"/>
      <c r="E27" s="1110"/>
      <c r="F27" s="516"/>
      <c r="G27" s="384"/>
      <c r="H27" s="384"/>
      <c r="I27" s="384"/>
      <c r="J27" s="384">
        <v>0</v>
      </c>
      <c r="K27" s="384">
        <v>0</v>
      </c>
      <c r="M27" s="516"/>
      <c r="N27" s="384"/>
      <c r="O27" s="384">
        <v>0</v>
      </c>
      <c r="P27" s="384">
        <v>0</v>
      </c>
      <c r="Q27" s="384">
        <v>0</v>
      </c>
      <c r="R27" s="384">
        <v>0</v>
      </c>
      <c r="S27" s="384"/>
      <c r="T27" s="516"/>
      <c r="U27" s="384"/>
      <c r="V27" s="384"/>
      <c r="W27" s="384"/>
      <c r="X27" s="384"/>
      <c r="Z27" s="516"/>
      <c r="AA27" s="959"/>
    </row>
    <row r="28" spans="1:27" s="357" customFormat="1" ht="12.75" x14ac:dyDescent="0.25">
      <c r="A28" s="530" t="s">
        <v>1085</v>
      </c>
      <c r="B28" s="726">
        <f>HLOOKUP(Start!$B$23,$D$1:$AA$75,+C28, FALSE)</f>
        <v>7.5</v>
      </c>
      <c r="C28" s="426">
        <f t="shared" si="0"/>
        <v>28</v>
      </c>
      <c r="D28" s="516"/>
      <c r="E28" s="1110"/>
      <c r="F28" s="516"/>
      <c r="G28" s="384">
        <v>7.5</v>
      </c>
      <c r="H28" s="384">
        <v>0</v>
      </c>
      <c r="I28" s="384">
        <v>0</v>
      </c>
      <c r="J28" s="384">
        <v>0</v>
      </c>
      <c r="K28" s="384">
        <v>0</v>
      </c>
      <c r="M28" s="516"/>
      <c r="N28" s="384">
        <v>7.5</v>
      </c>
      <c r="O28" s="384">
        <v>0</v>
      </c>
      <c r="P28" s="384">
        <v>0</v>
      </c>
      <c r="Q28" s="384">
        <v>0</v>
      </c>
      <c r="R28" s="384">
        <v>0</v>
      </c>
      <c r="S28" s="384"/>
      <c r="T28" s="516"/>
      <c r="U28" s="384"/>
      <c r="V28" s="384"/>
      <c r="W28" s="384"/>
      <c r="X28" s="384"/>
      <c r="Z28" s="516"/>
      <c r="AA28" s="959"/>
    </row>
    <row r="29" spans="1:27" s="357" customFormat="1" ht="12.75" x14ac:dyDescent="0.25">
      <c r="A29" s="359" t="s">
        <v>570</v>
      </c>
      <c r="B29" s="726">
        <f>HLOOKUP(Start!$B$23,$D$1:$AA$75,+C29, FALSE)</f>
        <v>0</v>
      </c>
      <c r="C29" s="426">
        <f t="shared" si="0"/>
        <v>29</v>
      </c>
      <c r="D29" s="516"/>
      <c r="E29" s="1110"/>
      <c r="F29" s="516"/>
      <c r="I29" s="535">
        <f>7.5*3.6</f>
        <v>27</v>
      </c>
      <c r="J29" s="535">
        <f>7.5*3.6</f>
        <v>27</v>
      </c>
      <c r="K29" s="535">
        <f>7.5*3.6</f>
        <v>27</v>
      </c>
      <c r="M29" s="516"/>
      <c r="P29" s="535">
        <f>7.5*3.6</f>
        <v>27</v>
      </c>
      <c r="Q29" s="535">
        <f>7.5*3.6</f>
        <v>27</v>
      </c>
      <c r="R29" s="535">
        <f>7.5*3.6</f>
        <v>27</v>
      </c>
      <c r="S29" s="384"/>
      <c r="T29" s="516"/>
      <c r="U29" s="535"/>
      <c r="V29" s="535"/>
      <c r="W29" s="535"/>
      <c r="X29" s="535"/>
      <c r="Z29" s="516"/>
      <c r="AA29" s="959"/>
    </row>
    <row r="30" spans="1:27" s="357" customFormat="1" ht="12.75" x14ac:dyDescent="0.25">
      <c r="A30" s="359" t="s">
        <v>413</v>
      </c>
      <c r="B30" s="726">
        <f>HLOOKUP(Start!$B$23,$D$1:$AA$75,+C30, FALSE)</f>
        <v>1.5</v>
      </c>
      <c r="C30" s="426">
        <f t="shared" si="0"/>
        <v>30</v>
      </c>
      <c r="D30" s="516"/>
      <c r="E30" s="1110"/>
      <c r="F30" s="516"/>
      <c r="G30" s="358">
        <v>1.5</v>
      </c>
      <c r="H30" s="358">
        <v>2.5</v>
      </c>
      <c r="I30" s="384">
        <v>0</v>
      </c>
      <c r="J30" s="384">
        <v>0</v>
      </c>
      <c r="K30" s="384">
        <v>0</v>
      </c>
      <c r="M30" s="516"/>
      <c r="N30" s="358">
        <v>1.5</v>
      </c>
      <c r="O30" s="358">
        <v>2.5</v>
      </c>
      <c r="P30" s="384">
        <v>0</v>
      </c>
      <c r="Q30" s="384">
        <v>0</v>
      </c>
      <c r="R30" s="384">
        <v>0</v>
      </c>
      <c r="S30" s="384"/>
      <c r="T30" s="516"/>
      <c r="U30" s="384"/>
      <c r="V30" s="384"/>
      <c r="W30" s="384"/>
      <c r="X30" s="384"/>
      <c r="Z30" s="516"/>
      <c r="AA30" s="959"/>
    </row>
    <row r="31" spans="1:27" s="357" customFormat="1" ht="12.75" x14ac:dyDescent="0.25">
      <c r="A31" s="359" t="s">
        <v>420</v>
      </c>
      <c r="B31" s="726">
        <f>HLOOKUP(Start!$B$23,$D$1:$AA$75,+C31, FALSE)</f>
        <v>2.0999999999999996</v>
      </c>
      <c r="C31" s="426">
        <f t="shared" si="0"/>
        <v>31</v>
      </c>
      <c r="D31" s="516"/>
      <c r="E31" s="1110"/>
      <c r="F31" s="516"/>
      <c r="G31" s="358">
        <f>+G30*1.4</f>
        <v>2.0999999999999996</v>
      </c>
      <c r="H31" s="358">
        <f>+H30*1.4</f>
        <v>3.5</v>
      </c>
      <c r="I31" s="384">
        <v>0</v>
      </c>
      <c r="J31" s="384">
        <v>0</v>
      </c>
      <c r="K31" s="384">
        <v>0</v>
      </c>
      <c r="M31" s="516"/>
      <c r="N31" s="358">
        <f>+N30*1.4</f>
        <v>2.0999999999999996</v>
      </c>
      <c r="O31" s="358">
        <f>+O30*1.4</f>
        <v>3.5</v>
      </c>
      <c r="P31" s="384">
        <v>0</v>
      </c>
      <c r="Q31" s="384">
        <v>0</v>
      </c>
      <c r="R31" s="384">
        <v>0</v>
      </c>
      <c r="S31" s="384"/>
      <c r="T31" s="516"/>
      <c r="U31" s="384"/>
      <c r="V31" s="384"/>
      <c r="W31" s="384"/>
      <c r="X31" s="384"/>
      <c r="Z31" s="516"/>
      <c r="AA31" s="959"/>
    </row>
    <row r="32" spans="1:27" s="357" customFormat="1" ht="12.75" x14ac:dyDescent="0.25">
      <c r="A32" s="359" t="s">
        <v>421</v>
      </c>
      <c r="B32" s="726">
        <f>HLOOKUP(Start!$B$23,$D$1:$AA$75,+C32, FALSE)</f>
        <v>2.2999999999999998</v>
      </c>
      <c r="C32" s="426">
        <f t="shared" si="0"/>
        <v>32</v>
      </c>
      <c r="D32" s="516"/>
      <c r="E32" s="1110"/>
      <c r="F32" s="516"/>
      <c r="G32" s="360">
        <v>2.2999999999999998</v>
      </c>
      <c r="H32" s="360">
        <v>2.2999999999999998</v>
      </c>
      <c r="I32" s="384">
        <v>0</v>
      </c>
      <c r="J32" s="384">
        <v>0</v>
      </c>
      <c r="K32" s="384">
        <v>0</v>
      </c>
      <c r="M32" s="516"/>
      <c r="N32" s="360">
        <v>2.2999999999999998</v>
      </c>
      <c r="O32" s="360">
        <v>2.2999999999999998</v>
      </c>
      <c r="P32" s="384">
        <v>0</v>
      </c>
      <c r="Q32" s="384">
        <v>0</v>
      </c>
      <c r="R32" s="384">
        <v>0</v>
      </c>
      <c r="S32" s="384"/>
      <c r="T32" s="516"/>
      <c r="U32" s="384"/>
      <c r="V32" s="384"/>
      <c r="W32" s="384"/>
      <c r="X32" s="384"/>
      <c r="Z32" s="516"/>
      <c r="AA32" s="959"/>
    </row>
    <row r="33" spans="1:27" s="357" customFormat="1" ht="12.75" x14ac:dyDescent="0.25">
      <c r="A33" s="359" t="s">
        <v>422</v>
      </c>
      <c r="B33" s="726">
        <f>HLOOKUP(Start!$B$23,$D$1:$AA$75,+C33, FALSE)</f>
        <v>0.48979591836734693</v>
      </c>
      <c r="C33" s="426">
        <f t="shared" si="0"/>
        <v>33</v>
      </c>
      <c r="D33" s="516"/>
      <c r="E33" s="1110"/>
      <c r="F33" s="516"/>
      <c r="G33" s="526">
        <f>+G30*32/98</f>
        <v>0.48979591836734693</v>
      </c>
      <c r="H33" s="526">
        <f>+H30*32/98</f>
        <v>0.81632653061224492</v>
      </c>
      <c r="I33" s="384">
        <v>0</v>
      </c>
      <c r="J33" s="384">
        <v>0</v>
      </c>
      <c r="K33" s="384">
        <v>0</v>
      </c>
      <c r="M33" s="516"/>
      <c r="N33" s="526">
        <f>+N30*32/98</f>
        <v>0.48979591836734693</v>
      </c>
      <c r="O33" s="526">
        <f>+O30*32/98</f>
        <v>0.81632653061224492</v>
      </c>
      <c r="P33" s="384">
        <v>0</v>
      </c>
      <c r="Q33" s="384">
        <v>0</v>
      </c>
      <c r="R33" s="384">
        <v>0</v>
      </c>
      <c r="S33" s="384"/>
      <c r="T33" s="516"/>
      <c r="U33" s="384"/>
      <c r="V33" s="384"/>
      <c r="W33" s="384"/>
      <c r="X33" s="384"/>
      <c r="Z33" s="516"/>
      <c r="AA33" s="959"/>
    </row>
    <row r="34" spans="1:27" s="357" customFormat="1" ht="25.5" x14ac:dyDescent="0.25">
      <c r="A34" s="379" t="s">
        <v>431</v>
      </c>
      <c r="B34" s="726">
        <f>HLOOKUP(Start!$B$23,$D$1:$AA$75,+C34, FALSE)</f>
        <v>0</v>
      </c>
      <c r="C34" s="426">
        <f t="shared" si="0"/>
        <v>34</v>
      </c>
      <c r="D34" s="516"/>
      <c r="E34" s="1110"/>
      <c r="F34" s="516"/>
      <c r="I34" s="384">
        <v>0</v>
      </c>
      <c r="J34" s="384">
        <v>0</v>
      </c>
      <c r="K34" s="384">
        <v>0</v>
      </c>
      <c r="M34" s="516"/>
      <c r="P34" s="384">
        <v>0</v>
      </c>
      <c r="Q34" s="384">
        <v>0</v>
      </c>
      <c r="R34" s="384">
        <v>0</v>
      </c>
      <c r="S34" s="384"/>
      <c r="T34" s="516"/>
      <c r="U34" s="384"/>
      <c r="V34" s="384"/>
      <c r="W34" s="384"/>
      <c r="X34" s="384"/>
      <c r="Z34" s="516"/>
      <c r="AA34" s="959"/>
    </row>
    <row r="35" spans="1:27" s="357" customFormat="1" ht="12.75" x14ac:dyDescent="0.25">
      <c r="A35" s="379"/>
      <c r="B35" s="726">
        <f>HLOOKUP(Start!$B$23,$D$1:$AA$75,+C35, FALSE)</f>
        <v>0</v>
      </c>
      <c r="C35" s="426">
        <f t="shared" si="0"/>
        <v>35</v>
      </c>
      <c r="D35" s="516"/>
      <c r="E35" s="1110"/>
      <c r="F35" s="516"/>
      <c r="I35" s="384"/>
      <c r="J35" s="384"/>
      <c r="K35" s="384"/>
      <c r="M35" s="516"/>
      <c r="P35" s="384"/>
      <c r="Q35" s="384"/>
      <c r="R35" s="384"/>
      <c r="S35" s="384"/>
      <c r="T35" s="516"/>
      <c r="U35" s="384"/>
      <c r="V35" s="384"/>
      <c r="W35" s="384"/>
      <c r="X35" s="384"/>
      <c r="Z35" s="516"/>
      <c r="AA35" s="959"/>
    </row>
    <row r="36" spans="1:27" s="315" customFormat="1" ht="165.75" x14ac:dyDescent="0.25">
      <c r="A36" s="381" t="s">
        <v>415</v>
      </c>
      <c r="B36" s="726" t="str">
        <f>HLOOKUP(Start!$B$23,$D$1:$AA$75,+C36, FALSE)</f>
        <v>The use of sulphuric acid increases the yield. The yield increase used in the calculations is a "conservitve etimate" based on theoretical calculations. A range of field trials has shown yield increases significantly higher than this. Furthermore, the use of acid leads to a higher demand for lime applied to the field. This is included. Additional, slurry acidification during spreading reduces the energy consumption if farming in cases, where the technology is used in stead of slurry injection, which normally consume 7.5 kWh extra energy per ton slurry compared to spreading with band laying system.</v>
      </c>
      <c r="C36" s="426">
        <f t="shared" si="0"/>
        <v>36</v>
      </c>
      <c r="D36" s="517"/>
      <c r="E36" s="1118"/>
      <c r="F36" s="517"/>
      <c r="G36" s="359" t="s">
        <v>1066</v>
      </c>
      <c r="H36" s="359" t="s">
        <v>566</v>
      </c>
      <c r="I36" s="534"/>
      <c r="J36" s="534"/>
      <c r="K36" s="534"/>
      <c r="M36" s="517"/>
      <c r="N36" s="359" t="s">
        <v>1066</v>
      </c>
      <c r="O36" s="359" t="s">
        <v>566</v>
      </c>
      <c r="P36" s="534"/>
      <c r="Q36" s="534"/>
      <c r="R36" s="534"/>
      <c r="S36" s="534"/>
      <c r="T36" s="517"/>
      <c r="U36" s="534"/>
      <c r="V36" s="534"/>
      <c r="W36" s="534"/>
      <c r="X36" s="534"/>
      <c r="Z36" s="517"/>
      <c r="AA36" s="962"/>
    </row>
    <row r="37" spans="1:27" s="382" customFormat="1" ht="12.75" x14ac:dyDescent="0.25">
      <c r="A37" s="465" t="s">
        <v>482</v>
      </c>
      <c r="B37" s="726">
        <f>HLOOKUP(Start!$B$23,$D$1:$AA$75,+C37, FALSE)</f>
        <v>0</v>
      </c>
      <c r="C37" s="426">
        <f t="shared" si="0"/>
        <v>37</v>
      </c>
      <c r="D37" s="512"/>
      <c r="E37" s="826"/>
      <c r="F37" s="512"/>
      <c r="I37" s="388"/>
      <c r="J37" s="388"/>
      <c r="K37" s="388"/>
      <c r="M37" s="512"/>
      <c r="P37" s="388"/>
      <c r="Q37" s="388"/>
      <c r="R37" s="388"/>
      <c r="T37" s="512"/>
      <c r="U37" s="388"/>
      <c r="V37" s="388"/>
      <c r="W37" s="388"/>
      <c r="X37" s="388"/>
      <c r="Z37" s="512"/>
      <c r="AA37" s="959"/>
    </row>
    <row r="38" spans="1:27" s="357" customFormat="1" ht="24" x14ac:dyDescent="0.25">
      <c r="A38" s="489" t="s">
        <v>517</v>
      </c>
      <c r="B38" s="726">
        <f>HLOOKUP(Start!$B$23,$D$1:$AA$75,+C38, FALSE)</f>
        <v>0</v>
      </c>
      <c r="C38" s="426">
        <f t="shared" si="0"/>
        <v>38</v>
      </c>
      <c r="D38" s="518"/>
      <c r="E38" s="1119"/>
      <c r="F38" s="518"/>
      <c r="I38" s="384"/>
      <c r="J38" s="384"/>
      <c r="K38" s="384"/>
      <c r="M38" s="518"/>
      <c r="P38" s="384"/>
      <c r="Q38" s="384"/>
      <c r="R38" s="384"/>
      <c r="T38" s="518"/>
      <c r="U38" s="384"/>
      <c r="V38" s="384"/>
      <c r="W38" s="384"/>
      <c r="X38" s="384"/>
      <c r="Z38" s="518"/>
      <c r="AA38" s="959"/>
    </row>
    <row r="39" spans="1:27" s="357" customFormat="1" ht="24" x14ac:dyDescent="0.25">
      <c r="A39" s="489" t="s">
        <v>518</v>
      </c>
      <c r="B39" s="726">
        <f>HLOOKUP(Start!$B$23,$D$1:$AA$75,+C39, FALSE)</f>
        <v>0</v>
      </c>
      <c r="C39" s="426">
        <f t="shared" si="0"/>
        <v>39</v>
      </c>
      <c r="D39" s="516"/>
      <c r="E39" s="1110"/>
      <c r="F39" s="516"/>
      <c r="I39" s="384"/>
      <c r="J39" s="384"/>
      <c r="K39" s="384"/>
      <c r="M39" s="516"/>
      <c r="P39" s="384"/>
      <c r="Q39" s="384"/>
      <c r="R39" s="384"/>
      <c r="T39" s="516"/>
      <c r="U39" s="384"/>
      <c r="V39" s="384"/>
      <c r="W39" s="384"/>
      <c r="X39" s="384"/>
      <c r="Z39" s="516"/>
      <c r="AA39" s="959"/>
    </row>
    <row r="40" spans="1:27" s="357" customFormat="1" ht="24" x14ac:dyDescent="0.25">
      <c r="A40" s="489" t="s">
        <v>491</v>
      </c>
      <c r="B40" s="726">
        <f>HLOOKUP(Start!$B$23,$D$1:$AA$75,+C40, FALSE)</f>
        <v>0</v>
      </c>
      <c r="C40" s="426">
        <f t="shared" si="0"/>
        <v>40</v>
      </c>
      <c r="D40" s="519"/>
      <c r="E40" s="1120"/>
      <c r="F40" s="519"/>
      <c r="I40" s="384"/>
      <c r="J40" s="384"/>
      <c r="K40" s="384"/>
      <c r="M40" s="519"/>
      <c r="P40" s="384"/>
      <c r="Q40" s="384"/>
      <c r="R40" s="384"/>
      <c r="T40" s="519"/>
      <c r="U40" s="384"/>
      <c r="V40" s="384"/>
      <c r="W40" s="384"/>
      <c r="X40" s="384"/>
      <c r="Z40" s="519"/>
      <c r="AA40" s="959"/>
    </row>
    <row r="41" spans="1:27" s="382" customFormat="1" ht="12.75" x14ac:dyDescent="0.25">
      <c r="A41" s="465" t="s">
        <v>462</v>
      </c>
      <c r="B41" s="726">
        <f>HLOOKUP(Start!$B$23,$D$1:$AA$75,+C41, FALSE)</f>
        <v>0</v>
      </c>
      <c r="C41" s="426">
        <f t="shared" si="0"/>
        <v>41</v>
      </c>
      <c r="D41" s="512"/>
      <c r="E41" s="826"/>
      <c r="F41" s="512"/>
      <c r="I41" s="388"/>
      <c r="J41" s="388"/>
      <c r="K41" s="388"/>
      <c r="M41" s="512"/>
      <c r="P41" s="388"/>
      <c r="Q41" s="388"/>
      <c r="R41" s="388"/>
      <c r="T41" s="512"/>
      <c r="U41" s="388"/>
      <c r="V41" s="388"/>
      <c r="W41" s="388"/>
      <c r="X41" s="388"/>
      <c r="Z41" s="512"/>
      <c r="AA41" s="959"/>
    </row>
    <row r="42" spans="1:27" s="357" customFormat="1" ht="12.75" x14ac:dyDescent="0.2">
      <c r="A42" s="467" t="s">
        <v>453</v>
      </c>
      <c r="B42" s="726">
        <f>HLOOKUP(Start!$B$23,$D$1:$AA$75,+C42, FALSE)</f>
        <v>0</v>
      </c>
      <c r="C42" s="426">
        <f t="shared" si="0"/>
        <v>42</v>
      </c>
      <c r="D42" s="513"/>
      <c r="E42" s="1109"/>
      <c r="F42" s="513"/>
      <c r="I42" s="384"/>
      <c r="J42" s="384"/>
      <c r="K42" s="384"/>
      <c r="M42" s="513"/>
      <c r="P42" s="384"/>
      <c r="Q42" s="384"/>
      <c r="R42" s="384"/>
      <c r="T42" s="513"/>
      <c r="U42" s="384"/>
      <c r="V42" s="384"/>
      <c r="W42" s="384"/>
      <c r="X42" s="384"/>
      <c r="Z42" s="513"/>
      <c r="AA42" s="959"/>
    </row>
    <row r="43" spans="1:27" s="357" customFormat="1" ht="12.75" x14ac:dyDescent="0.2">
      <c r="A43" s="467" t="s">
        <v>460</v>
      </c>
      <c r="B43" s="726">
        <f>HLOOKUP(Start!$B$23,$D$1:$AA$75,+C43, FALSE)</f>
        <v>0</v>
      </c>
      <c r="C43" s="426">
        <f t="shared" si="0"/>
        <v>43</v>
      </c>
      <c r="D43" s="513"/>
      <c r="E43" s="1109"/>
      <c r="F43" s="513"/>
      <c r="I43" s="384"/>
      <c r="J43" s="384"/>
      <c r="K43" s="384"/>
      <c r="M43" s="513"/>
      <c r="P43" s="384"/>
      <c r="Q43" s="384"/>
      <c r="R43" s="384"/>
      <c r="T43" s="513"/>
      <c r="U43" s="384"/>
      <c r="V43" s="384"/>
      <c r="W43" s="384"/>
      <c r="X43" s="384"/>
      <c r="Z43" s="513"/>
      <c r="AA43" s="959"/>
    </row>
    <row r="44" spans="1:27" s="357" customFormat="1" ht="12.75" x14ac:dyDescent="0.2">
      <c r="A44" s="467" t="s">
        <v>454</v>
      </c>
      <c r="B44" s="726">
        <f>HLOOKUP(Start!$B$23,$D$1:$AA$75,+C44, FALSE)</f>
        <v>0</v>
      </c>
      <c r="C44" s="426">
        <f t="shared" si="0"/>
        <v>44</v>
      </c>
      <c r="D44" s="513"/>
      <c r="E44" s="1109"/>
      <c r="F44" s="513"/>
      <c r="I44" s="384"/>
      <c r="J44" s="384"/>
      <c r="K44" s="384"/>
      <c r="M44" s="513"/>
      <c r="P44" s="384"/>
      <c r="Q44" s="384"/>
      <c r="R44" s="384"/>
      <c r="T44" s="513"/>
      <c r="U44" s="384"/>
      <c r="V44" s="384"/>
      <c r="W44" s="384"/>
      <c r="X44" s="384"/>
      <c r="Z44" s="513"/>
      <c r="AA44" s="959"/>
    </row>
    <row r="45" spans="1:27" s="357" customFormat="1" ht="12.75" x14ac:dyDescent="0.2">
      <c r="A45" s="467" t="s">
        <v>447</v>
      </c>
      <c r="B45" s="726">
        <f>HLOOKUP(Start!$B$23,$D$1:$AA$75,+C45, FALSE)</f>
        <v>0</v>
      </c>
      <c r="C45" s="426">
        <f t="shared" si="0"/>
        <v>45</v>
      </c>
      <c r="D45" s="513"/>
      <c r="E45" s="1109"/>
      <c r="F45" s="513"/>
      <c r="I45" s="384"/>
      <c r="J45" s="384"/>
      <c r="K45" s="384"/>
      <c r="M45" s="513"/>
      <c r="P45" s="384"/>
      <c r="Q45" s="384"/>
      <c r="R45" s="384"/>
      <c r="T45" s="513"/>
      <c r="U45" s="384"/>
      <c r="V45" s="384"/>
      <c r="W45" s="384"/>
      <c r="X45" s="384"/>
      <c r="Z45" s="513"/>
      <c r="AA45" s="959"/>
    </row>
    <row r="46" spans="1:27" s="357" customFormat="1" ht="12.75" x14ac:dyDescent="0.2">
      <c r="A46" s="467" t="s">
        <v>448</v>
      </c>
      <c r="B46" s="726">
        <f>HLOOKUP(Start!$B$23,$D$1:$AA$75,+C46, FALSE)</f>
        <v>0</v>
      </c>
      <c r="C46" s="426">
        <f t="shared" si="0"/>
        <v>46</v>
      </c>
      <c r="D46" s="513"/>
      <c r="E46" s="1109"/>
      <c r="F46" s="513"/>
      <c r="I46" s="384"/>
      <c r="J46" s="384"/>
      <c r="K46" s="384"/>
      <c r="M46" s="513"/>
      <c r="P46" s="384"/>
      <c r="Q46" s="384"/>
      <c r="R46" s="384"/>
      <c r="T46" s="513"/>
      <c r="U46" s="384"/>
      <c r="V46" s="384"/>
      <c r="W46" s="384"/>
      <c r="X46" s="384"/>
      <c r="Z46" s="513"/>
      <c r="AA46" s="959"/>
    </row>
    <row r="47" spans="1:27" s="357" customFormat="1" ht="12.75" x14ac:dyDescent="0.2">
      <c r="A47" s="467" t="s">
        <v>464</v>
      </c>
      <c r="B47" s="726">
        <f>HLOOKUP(Start!$B$23,$D$1:$AA$75,+C47, FALSE)</f>
        <v>0</v>
      </c>
      <c r="C47" s="426">
        <f t="shared" si="0"/>
        <v>47</v>
      </c>
      <c r="D47" s="513"/>
      <c r="E47" s="1109"/>
      <c r="F47" s="513"/>
      <c r="I47" s="384"/>
      <c r="J47" s="384"/>
      <c r="K47" s="384"/>
      <c r="M47" s="513"/>
      <c r="P47" s="384"/>
      <c r="Q47" s="384"/>
      <c r="R47" s="384"/>
      <c r="T47" s="513"/>
      <c r="U47" s="384"/>
      <c r="V47" s="384"/>
      <c r="W47" s="384"/>
      <c r="X47" s="384"/>
      <c r="Z47" s="513"/>
      <c r="AA47" s="959"/>
    </row>
    <row r="48" spans="1:27" s="357" customFormat="1" ht="12.75" x14ac:dyDescent="0.2">
      <c r="A48" s="467" t="s">
        <v>455</v>
      </c>
      <c r="B48" s="726">
        <f>HLOOKUP(Start!$B$23,$D$1:$AA$75,+C48, FALSE)</f>
        <v>0</v>
      </c>
      <c r="C48" s="426">
        <f t="shared" si="0"/>
        <v>48</v>
      </c>
      <c r="D48" s="513"/>
      <c r="E48" s="1109"/>
      <c r="F48" s="513"/>
      <c r="I48" s="384"/>
      <c r="J48" s="384"/>
      <c r="K48" s="384"/>
      <c r="M48" s="513"/>
      <c r="P48" s="384"/>
      <c r="Q48" s="384"/>
      <c r="R48" s="384"/>
      <c r="T48" s="513"/>
      <c r="U48" s="384"/>
      <c r="V48" s="384"/>
      <c r="W48" s="384"/>
      <c r="X48" s="384"/>
      <c r="Z48" s="513"/>
      <c r="AA48" s="959"/>
    </row>
    <row r="49" spans="1:27" s="357" customFormat="1" ht="12.75" x14ac:dyDescent="0.2">
      <c r="A49" s="467" t="s">
        <v>456</v>
      </c>
      <c r="B49" s="726">
        <f>HLOOKUP(Start!$B$23,$D$1:$AA$75,+C49, FALSE)</f>
        <v>0</v>
      </c>
      <c r="C49" s="426">
        <f t="shared" si="0"/>
        <v>49</v>
      </c>
      <c r="D49" s="513"/>
      <c r="E49" s="1109"/>
      <c r="F49" s="513"/>
      <c r="I49" s="384"/>
      <c r="J49" s="384"/>
      <c r="K49" s="384"/>
      <c r="M49" s="513"/>
      <c r="P49" s="384"/>
      <c r="Q49" s="384"/>
      <c r="R49" s="384"/>
      <c r="T49" s="513"/>
      <c r="U49" s="384"/>
      <c r="V49" s="384"/>
      <c r="W49" s="384"/>
      <c r="X49" s="384"/>
      <c r="Z49" s="513"/>
      <c r="AA49" s="959"/>
    </row>
    <row r="50" spans="1:27" s="357" customFormat="1" ht="12.75" x14ac:dyDescent="0.2">
      <c r="A50" s="467" t="s">
        <v>457</v>
      </c>
      <c r="B50" s="726">
        <f>HLOOKUP(Start!$B$23,$D$1:$AA$75,+C50, FALSE)</f>
        <v>0</v>
      </c>
      <c r="C50" s="426">
        <f t="shared" si="0"/>
        <v>50</v>
      </c>
      <c r="D50" s="513"/>
      <c r="E50" s="1109"/>
      <c r="F50" s="513"/>
      <c r="I50" s="384"/>
      <c r="J50" s="384"/>
      <c r="K50" s="384"/>
      <c r="M50" s="513"/>
      <c r="P50" s="384"/>
      <c r="Q50" s="384"/>
      <c r="R50" s="384"/>
      <c r="T50" s="513"/>
      <c r="U50" s="384"/>
      <c r="V50" s="384"/>
      <c r="W50" s="384"/>
      <c r="X50" s="384"/>
      <c r="Z50" s="513"/>
      <c r="AA50" s="959"/>
    </row>
    <row r="51" spans="1:27" s="357" customFormat="1" ht="12.75" x14ac:dyDescent="0.2">
      <c r="A51" s="467" t="s">
        <v>458</v>
      </c>
      <c r="B51" s="726">
        <f>HLOOKUP(Start!$B$23,$D$1:$AA$75,+C51, FALSE)</f>
        <v>0</v>
      </c>
      <c r="C51" s="426">
        <f t="shared" si="0"/>
        <v>51</v>
      </c>
      <c r="D51" s="513"/>
      <c r="E51" s="1109"/>
      <c r="F51" s="513"/>
      <c r="I51" s="384"/>
      <c r="J51" s="384"/>
      <c r="K51" s="384"/>
      <c r="M51" s="513"/>
      <c r="P51" s="384"/>
      <c r="Q51" s="384"/>
      <c r="R51" s="384"/>
      <c r="T51" s="513"/>
      <c r="U51" s="384"/>
      <c r="V51" s="384"/>
      <c r="W51" s="384"/>
      <c r="X51" s="384"/>
      <c r="Z51" s="513"/>
      <c r="AA51" s="959"/>
    </row>
    <row r="52" spans="1:27" s="357" customFormat="1" ht="12.75" x14ac:dyDescent="0.2">
      <c r="A52" s="467" t="s">
        <v>461</v>
      </c>
      <c r="B52" s="726">
        <f>HLOOKUP(Start!$B$23,$D$1:$AA$75,+C52, FALSE)</f>
        <v>0</v>
      </c>
      <c r="C52" s="426">
        <f t="shared" si="0"/>
        <v>52</v>
      </c>
      <c r="D52" s="513"/>
      <c r="E52" s="1109"/>
      <c r="F52" s="513"/>
      <c r="I52" s="384"/>
      <c r="J52" s="384"/>
      <c r="K52" s="384"/>
      <c r="M52" s="513"/>
      <c r="P52" s="384"/>
      <c r="Q52" s="384"/>
      <c r="R52" s="384"/>
      <c r="T52" s="513"/>
      <c r="U52" s="384"/>
      <c r="V52" s="384"/>
      <c r="W52" s="384"/>
      <c r="X52" s="384"/>
      <c r="Z52" s="513"/>
      <c r="AA52" s="959"/>
    </row>
    <row r="53" spans="1:27" x14ac:dyDescent="0.25">
      <c r="B53" s="726">
        <f>HLOOKUP(Start!$B$23,$D$1:$AA$75,+C53, FALSE)</f>
        <v>0</v>
      </c>
      <c r="C53" s="426">
        <f t="shared" si="0"/>
        <v>53</v>
      </c>
      <c r="D53" s="520"/>
      <c r="F53" s="520"/>
      <c r="M53" s="520"/>
      <c r="T53" s="520"/>
      <c r="Z53" s="520"/>
      <c r="AA53" s="963"/>
    </row>
    <row r="54" spans="1:27" s="357" customFormat="1" ht="12.75" x14ac:dyDescent="0.2">
      <c r="A54" s="467" t="s">
        <v>463</v>
      </c>
      <c r="B54" s="726">
        <f>HLOOKUP(Start!$B$23,$D$1:$AA$75,+C54, FALSE)</f>
        <v>0</v>
      </c>
      <c r="C54" s="426">
        <f t="shared" si="0"/>
        <v>54</v>
      </c>
      <c r="D54" s="513"/>
      <c r="E54" s="1109"/>
      <c r="F54" s="513"/>
      <c r="I54" s="384"/>
      <c r="J54" s="384"/>
      <c r="K54" s="384"/>
      <c r="M54" s="513"/>
      <c r="P54" s="384"/>
      <c r="Q54" s="384"/>
      <c r="R54" s="384"/>
      <c r="T54" s="513"/>
      <c r="U54" s="384"/>
      <c r="V54" s="384"/>
      <c r="W54" s="384"/>
      <c r="X54" s="384"/>
      <c r="Z54" s="513"/>
      <c r="AA54" s="959"/>
    </row>
    <row r="55" spans="1:27" s="357" customFormat="1" ht="12.75" x14ac:dyDescent="0.2">
      <c r="A55" s="468"/>
      <c r="B55" s="726">
        <f>HLOOKUP(Start!$B$23,$D$1:$AA$75,+C55, FALSE)</f>
        <v>0</v>
      </c>
      <c r="C55" s="426">
        <f t="shared" si="0"/>
        <v>55</v>
      </c>
      <c r="D55" s="513"/>
      <c r="E55" s="1109"/>
      <c r="F55" s="513"/>
      <c r="I55" s="384"/>
      <c r="J55" s="384"/>
      <c r="K55" s="384"/>
      <c r="M55" s="513"/>
      <c r="P55" s="384"/>
      <c r="Q55" s="384"/>
      <c r="R55" s="384"/>
      <c r="T55" s="513"/>
      <c r="U55" s="384"/>
      <c r="V55" s="384"/>
      <c r="W55" s="384"/>
      <c r="X55" s="384"/>
      <c r="Z55" s="513"/>
      <c r="AA55" s="959"/>
    </row>
    <row r="56" spans="1:27" s="382" customFormat="1" ht="12.75" x14ac:dyDescent="0.25">
      <c r="A56" s="465" t="s">
        <v>483</v>
      </c>
      <c r="B56" s="726">
        <f>HLOOKUP(Start!$B$23,$D$1:$AA$75,+C56, FALSE)</f>
        <v>0</v>
      </c>
      <c r="C56" s="426">
        <f t="shared" si="0"/>
        <v>56</v>
      </c>
      <c r="D56" s="512"/>
      <c r="E56" s="826"/>
      <c r="F56" s="512"/>
      <c r="I56" s="388"/>
      <c r="J56" s="388"/>
      <c r="K56" s="388"/>
      <c r="M56" s="512"/>
      <c r="P56" s="388"/>
      <c r="Q56" s="388"/>
      <c r="R56" s="388"/>
      <c r="T56" s="512"/>
      <c r="U56" s="388"/>
      <c r="V56" s="388"/>
      <c r="W56" s="388"/>
      <c r="X56" s="388"/>
      <c r="Z56" s="512"/>
      <c r="AA56" s="959"/>
    </row>
    <row r="57" spans="1:27" s="357" customFormat="1" ht="24" x14ac:dyDescent="0.25">
      <c r="A57" s="489" t="s">
        <v>517</v>
      </c>
      <c r="B57" s="726">
        <f>HLOOKUP(Start!$B$23,$D$1:$AA$75,+C57, FALSE)</f>
        <v>0</v>
      </c>
      <c r="C57" s="426">
        <f t="shared" si="0"/>
        <v>57</v>
      </c>
      <c r="D57" s="518"/>
      <c r="E57" s="1119"/>
      <c r="F57" s="518"/>
      <c r="I57" s="384"/>
      <c r="J57" s="384"/>
      <c r="K57" s="384"/>
      <c r="M57" s="518"/>
      <c r="P57" s="384"/>
      <c r="Q57" s="384"/>
      <c r="R57" s="384"/>
      <c r="T57" s="518"/>
      <c r="U57" s="384"/>
      <c r="V57" s="384"/>
      <c r="W57" s="384"/>
      <c r="X57" s="384"/>
      <c r="Z57" s="518"/>
      <c r="AA57" s="959"/>
    </row>
    <row r="58" spans="1:27" s="357" customFormat="1" ht="24" x14ac:dyDescent="0.25">
      <c r="A58" s="489" t="s">
        <v>518</v>
      </c>
      <c r="B58" s="726">
        <f>HLOOKUP(Start!$B$23,$D$1:$AA$75,+C58, FALSE)</f>
        <v>0</v>
      </c>
      <c r="C58" s="426">
        <f t="shared" si="0"/>
        <v>58</v>
      </c>
      <c r="D58" s="516"/>
      <c r="E58" s="1110"/>
      <c r="F58" s="516"/>
      <c r="I58" s="384"/>
      <c r="J58" s="384"/>
      <c r="K58" s="384"/>
      <c r="M58" s="516"/>
      <c r="P58" s="384"/>
      <c r="Q58" s="384"/>
      <c r="R58" s="384"/>
      <c r="T58" s="516"/>
      <c r="U58" s="384"/>
      <c r="V58" s="384"/>
      <c r="W58" s="384"/>
      <c r="X58" s="384"/>
      <c r="Z58" s="516"/>
      <c r="AA58" s="959"/>
    </row>
    <row r="59" spans="1:27" s="357" customFormat="1" ht="24" x14ac:dyDescent="0.25">
      <c r="A59" s="489" t="s">
        <v>491</v>
      </c>
      <c r="B59" s="726">
        <f>HLOOKUP(Start!$B$23,$D$1:$AA$75,+C59, FALSE)</f>
        <v>0</v>
      </c>
      <c r="C59" s="426">
        <f t="shared" si="0"/>
        <v>59</v>
      </c>
      <c r="D59" s="519"/>
      <c r="E59" s="1120"/>
      <c r="F59" s="519"/>
      <c r="I59" s="384"/>
      <c r="J59" s="384"/>
      <c r="K59" s="384"/>
      <c r="M59" s="519"/>
      <c r="P59" s="384"/>
      <c r="Q59" s="384"/>
      <c r="R59" s="384"/>
      <c r="T59" s="519"/>
      <c r="U59" s="384"/>
      <c r="V59" s="384"/>
      <c r="W59" s="384"/>
      <c r="X59" s="384"/>
      <c r="Z59" s="519"/>
      <c r="AA59" s="959"/>
    </row>
    <row r="60" spans="1:27" s="382" customFormat="1" ht="12.75" x14ac:dyDescent="0.25">
      <c r="A60" s="465" t="s">
        <v>484</v>
      </c>
      <c r="B60" s="726">
        <f>HLOOKUP(Start!$B$23,$D$1:$AA$75,+C60, FALSE)</f>
        <v>0</v>
      </c>
      <c r="C60" s="426">
        <f t="shared" si="0"/>
        <v>60</v>
      </c>
      <c r="D60" s="512"/>
      <c r="E60" s="826"/>
      <c r="F60" s="512"/>
      <c r="I60" s="388"/>
      <c r="J60" s="388"/>
      <c r="K60" s="388"/>
      <c r="M60" s="512"/>
      <c r="P60" s="388"/>
      <c r="Q60" s="388"/>
      <c r="R60" s="388"/>
      <c r="T60" s="512"/>
      <c r="U60" s="388"/>
      <c r="V60" s="388"/>
      <c r="W60" s="388"/>
      <c r="X60" s="388"/>
      <c r="Z60" s="512"/>
      <c r="AA60" s="959"/>
    </row>
    <row r="61" spans="1:27" s="357" customFormat="1" ht="12.75" x14ac:dyDescent="0.2">
      <c r="A61" s="467" t="s">
        <v>453</v>
      </c>
      <c r="B61" s="726">
        <f>HLOOKUP(Start!$B$23,$D$1:$AA$75,+C61, FALSE)</f>
        <v>0</v>
      </c>
      <c r="C61" s="426">
        <f t="shared" si="0"/>
        <v>61</v>
      </c>
      <c r="D61" s="521"/>
      <c r="E61" s="1121"/>
      <c r="F61" s="521"/>
      <c r="I61" s="384"/>
      <c r="J61" s="384"/>
      <c r="K61" s="384"/>
      <c r="M61" s="521"/>
      <c r="P61" s="384"/>
      <c r="Q61" s="384"/>
      <c r="R61" s="384"/>
      <c r="T61" s="521"/>
      <c r="U61" s="384"/>
      <c r="V61" s="384"/>
      <c r="W61" s="384"/>
      <c r="X61" s="384"/>
      <c r="Z61" s="521"/>
      <c r="AA61" s="959"/>
    </row>
    <row r="62" spans="1:27" s="357" customFormat="1" ht="12.75" x14ac:dyDescent="0.2">
      <c r="A62" s="467" t="s">
        <v>460</v>
      </c>
      <c r="B62" s="726">
        <f>HLOOKUP(Start!$B$23,$D$1:$AA$75,+C62, FALSE)</f>
        <v>0</v>
      </c>
      <c r="C62" s="426">
        <f t="shared" si="0"/>
        <v>62</v>
      </c>
      <c r="D62" s="521"/>
      <c r="E62" s="1121"/>
      <c r="F62" s="521"/>
      <c r="I62" s="384"/>
      <c r="J62" s="384"/>
      <c r="K62" s="384"/>
      <c r="M62" s="521"/>
      <c r="P62" s="384"/>
      <c r="Q62" s="384"/>
      <c r="R62" s="384"/>
      <c r="T62" s="521"/>
      <c r="U62" s="384"/>
      <c r="V62" s="384"/>
      <c r="W62" s="384"/>
      <c r="X62" s="384"/>
      <c r="Z62" s="521"/>
      <c r="AA62" s="959"/>
    </row>
    <row r="63" spans="1:27" s="357" customFormat="1" ht="12.75" x14ac:dyDescent="0.2">
      <c r="A63" s="467" t="s">
        <v>454</v>
      </c>
      <c r="B63" s="726">
        <f>HLOOKUP(Start!$B$23,$D$1:$AA$75,+C63, FALSE)</f>
        <v>0</v>
      </c>
      <c r="C63" s="426">
        <f t="shared" si="0"/>
        <v>63</v>
      </c>
      <c r="D63" s="521"/>
      <c r="E63" s="1121"/>
      <c r="F63" s="521"/>
      <c r="I63" s="384"/>
      <c r="J63" s="384"/>
      <c r="K63" s="384"/>
      <c r="M63" s="521"/>
      <c r="P63" s="384"/>
      <c r="Q63" s="384"/>
      <c r="R63" s="384"/>
      <c r="T63" s="521"/>
      <c r="U63" s="384"/>
      <c r="V63" s="384"/>
      <c r="W63" s="384"/>
      <c r="X63" s="384"/>
      <c r="Z63" s="521"/>
      <c r="AA63" s="959"/>
    </row>
    <row r="64" spans="1:27" s="357" customFormat="1" ht="12.75" x14ac:dyDescent="0.2">
      <c r="A64" s="467" t="s">
        <v>447</v>
      </c>
      <c r="B64" s="726">
        <f>HLOOKUP(Start!$B$23,$D$1:$AA$75,+C64, FALSE)</f>
        <v>0</v>
      </c>
      <c r="C64" s="426">
        <f t="shared" si="0"/>
        <v>64</v>
      </c>
      <c r="D64" s="521"/>
      <c r="E64" s="1121"/>
      <c r="F64" s="521"/>
      <c r="I64" s="384"/>
      <c r="J64" s="384"/>
      <c r="K64" s="384"/>
      <c r="M64" s="521"/>
      <c r="P64" s="384"/>
      <c r="Q64" s="384"/>
      <c r="R64" s="384"/>
      <c r="T64" s="521"/>
      <c r="U64" s="384"/>
      <c r="V64" s="384"/>
      <c r="W64" s="384"/>
      <c r="X64" s="384"/>
      <c r="Z64" s="521"/>
      <c r="AA64" s="959"/>
    </row>
    <row r="65" spans="1:27" s="357" customFormat="1" ht="12.75" x14ac:dyDescent="0.2">
      <c r="A65" s="467" t="s">
        <v>448</v>
      </c>
      <c r="B65" s="726">
        <f>HLOOKUP(Start!$B$23,$D$1:$AA$75,+C65, FALSE)</f>
        <v>0</v>
      </c>
      <c r="C65" s="426">
        <f t="shared" si="0"/>
        <v>65</v>
      </c>
      <c r="D65" s="521"/>
      <c r="E65" s="1121"/>
      <c r="F65" s="521"/>
      <c r="I65" s="384"/>
      <c r="J65" s="384"/>
      <c r="K65" s="384"/>
      <c r="M65" s="521"/>
      <c r="P65" s="384"/>
      <c r="Q65" s="384"/>
      <c r="R65" s="384"/>
      <c r="T65" s="521"/>
      <c r="U65" s="384"/>
      <c r="V65" s="384"/>
      <c r="W65" s="384"/>
      <c r="X65" s="384"/>
      <c r="Z65" s="521"/>
      <c r="AA65" s="959"/>
    </row>
    <row r="66" spans="1:27" s="357" customFormat="1" ht="12.75" x14ac:dyDescent="0.2">
      <c r="A66" s="467" t="s">
        <v>464</v>
      </c>
      <c r="B66" s="726">
        <f>HLOOKUP(Start!$B$23,$D$1:$AA$75,+C66, FALSE)</f>
        <v>0</v>
      </c>
      <c r="C66" s="426">
        <f t="shared" si="0"/>
        <v>66</v>
      </c>
      <c r="D66" s="521"/>
      <c r="E66" s="1121"/>
      <c r="F66" s="521"/>
      <c r="I66" s="384"/>
      <c r="J66" s="384"/>
      <c r="K66" s="384"/>
      <c r="M66" s="521"/>
      <c r="P66" s="384"/>
      <c r="Q66" s="384"/>
      <c r="R66" s="384"/>
      <c r="T66" s="521"/>
      <c r="U66" s="384"/>
      <c r="V66" s="384"/>
      <c r="W66" s="384"/>
      <c r="X66" s="384"/>
      <c r="Z66" s="521"/>
      <c r="AA66" s="959"/>
    </row>
    <row r="67" spans="1:27" s="357" customFormat="1" ht="12.75" x14ac:dyDescent="0.2">
      <c r="A67" s="467" t="s">
        <v>455</v>
      </c>
      <c r="B67" s="726">
        <f>HLOOKUP(Start!$B$23,$D$1:$AA$75,+C67, FALSE)</f>
        <v>0</v>
      </c>
      <c r="C67" s="426">
        <f t="shared" ref="C67:C74" si="1">+C66+1</f>
        <v>67</v>
      </c>
      <c r="D67" s="522"/>
      <c r="E67" s="1122"/>
      <c r="F67" s="522"/>
      <c r="I67" s="384"/>
      <c r="J67" s="384"/>
      <c r="K67" s="384"/>
      <c r="M67" s="522"/>
      <c r="P67" s="384"/>
      <c r="Q67" s="384"/>
      <c r="R67" s="384"/>
      <c r="T67" s="522"/>
      <c r="U67" s="384"/>
      <c r="V67" s="384"/>
      <c r="W67" s="384"/>
      <c r="X67" s="384"/>
      <c r="Z67" s="522"/>
      <c r="AA67" s="959"/>
    </row>
    <row r="68" spans="1:27" s="357" customFormat="1" ht="12.75" x14ac:dyDescent="0.2">
      <c r="A68" s="467" t="s">
        <v>456</v>
      </c>
      <c r="B68" s="726">
        <f>HLOOKUP(Start!$B$23,$D$1:$AA$75,+C68, FALSE)</f>
        <v>0</v>
      </c>
      <c r="C68" s="426">
        <f t="shared" si="1"/>
        <v>68</v>
      </c>
      <c r="D68" s="521"/>
      <c r="E68" s="1121"/>
      <c r="F68" s="521"/>
      <c r="I68" s="384"/>
      <c r="J68" s="384"/>
      <c r="K68" s="384"/>
      <c r="M68" s="521"/>
      <c r="P68" s="384"/>
      <c r="Q68" s="384"/>
      <c r="R68" s="384"/>
      <c r="T68" s="521"/>
      <c r="U68" s="384"/>
      <c r="V68" s="384"/>
      <c r="W68" s="384"/>
      <c r="X68" s="384"/>
      <c r="Z68" s="521"/>
      <c r="AA68" s="959"/>
    </row>
    <row r="69" spans="1:27" s="357" customFormat="1" ht="12.75" x14ac:dyDescent="0.2">
      <c r="A69" s="467" t="s">
        <v>457</v>
      </c>
      <c r="B69" s="726">
        <f>HLOOKUP(Start!$B$23,$D$1:$AA$75,+C69, FALSE)</f>
        <v>0</v>
      </c>
      <c r="C69" s="426">
        <f t="shared" si="1"/>
        <v>69</v>
      </c>
      <c r="D69" s="521"/>
      <c r="E69" s="1121"/>
      <c r="F69" s="521"/>
      <c r="I69" s="384"/>
      <c r="J69" s="384"/>
      <c r="K69" s="384"/>
      <c r="M69" s="521"/>
      <c r="P69" s="384"/>
      <c r="Q69" s="384"/>
      <c r="R69" s="384"/>
      <c r="T69" s="521"/>
      <c r="U69" s="384"/>
      <c r="V69" s="384"/>
      <c r="W69" s="384"/>
      <c r="X69" s="384"/>
      <c r="Z69" s="521"/>
      <c r="AA69" s="959"/>
    </row>
    <row r="70" spans="1:27" s="357" customFormat="1" ht="12.75" x14ac:dyDescent="0.2">
      <c r="A70" s="467" t="s">
        <v>458</v>
      </c>
      <c r="B70" s="726">
        <f>HLOOKUP(Start!$B$23,$D$1:$AA$75,+C70, FALSE)</f>
        <v>0</v>
      </c>
      <c r="C70" s="426">
        <f t="shared" si="1"/>
        <v>70</v>
      </c>
      <c r="D70" s="521"/>
      <c r="E70" s="1121"/>
      <c r="F70" s="521"/>
      <c r="I70" s="384"/>
      <c r="J70" s="384"/>
      <c r="K70" s="384"/>
      <c r="M70" s="521"/>
      <c r="P70" s="384"/>
      <c r="Q70" s="384"/>
      <c r="R70" s="384"/>
      <c r="T70" s="521"/>
      <c r="U70" s="384"/>
      <c r="V70" s="384"/>
      <c r="W70" s="384"/>
      <c r="X70" s="384"/>
      <c r="Z70" s="521"/>
      <c r="AA70" s="959"/>
    </row>
    <row r="71" spans="1:27" s="357" customFormat="1" ht="12.75" x14ac:dyDescent="0.2">
      <c r="A71" s="467" t="s">
        <v>461</v>
      </c>
      <c r="B71" s="726">
        <f>HLOOKUP(Start!$B$23,$D$1:$AA$75,+C71, FALSE)</f>
        <v>0</v>
      </c>
      <c r="C71" s="426">
        <f t="shared" si="1"/>
        <v>71</v>
      </c>
      <c r="D71" s="521"/>
      <c r="E71" s="1121"/>
      <c r="F71" s="521"/>
      <c r="I71" s="384"/>
      <c r="J71" s="384"/>
      <c r="K71" s="384"/>
      <c r="M71" s="521"/>
      <c r="P71" s="384"/>
      <c r="Q71" s="384"/>
      <c r="R71" s="384"/>
      <c r="T71" s="521"/>
      <c r="U71" s="384"/>
      <c r="V71" s="384"/>
      <c r="W71" s="384"/>
      <c r="X71" s="384"/>
      <c r="Z71" s="521"/>
      <c r="AA71" s="959"/>
    </row>
    <row r="72" spans="1:27" s="357" customFormat="1" ht="12.75" x14ac:dyDescent="0.2">
      <c r="A72" s="467" t="s">
        <v>459</v>
      </c>
      <c r="B72" s="726">
        <f>HLOOKUP(Start!$B$23,$D$1:$AA$75,+C72, FALSE)</f>
        <v>0</v>
      </c>
      <c r="C72" s="426">
        <f t="shared" si="1"/>
        <v>72</v>
      </c>
      <c r="D72" s="513"/>
      <c r="E72" s="1109"/>
      <c r="F72" s="513"/>
      <c r="I72" s="384"/>
      <c r="J72" s="384"/>
      <c r="K72" s="384"/>
      <c r="M72" s="513"/>
      <c r="P72" s="384"/>
      <c r="Q72" s="384"/>
      <c r="R72" s="384"/>
      <c r="T72" s="513"/>
      <c r="U72" s="384"/>
      <c r="V72" s="384"/>
      <c r="W72" s="384"/>
      <c r="X72" s="384"/>
      <c r="Z72" s="513"/>
      <c r="AA72" s="959"/>
    </row>
    <row r="73" spans="1:27" s="357" customFormat="1" ht="12.75" x14ac:dyDescent="0.2">
      <c r="A73" s="467" t="s">
        <v>463</v>
      </c>
      <c r="B73" s="726">
        <f>HLOOKUP(Start!$B$23,$D$1:$AA$75,+C73, FALSE)</f>
        <v>0</v>
      </c>
      <c r="C73" s="426">
        <f t="shared" si="1"/>
        <v>73</v>
      </c>
      <c r="D73" s="521"/>
      <c r="E73" s="1121"/>
      <c r="F73" s="521"/>
      <c r="I73" s="384"/>
      <c r="J73" s="384"/>
      <c r="K73" s="384"/>
      <c r="M73" s="521"/>
      <c r="P73" s="384"/>
      <c r="Q73" s="384"/>
      <c r="R73" s="384"/>
      <c r="T73" s="521"/>
      <c r="U73" s="384"/>
      <c r="V73" s="384"/>
      <c r="W73" s="384"/>
      <c r="X73" s="384"/>
      <c r="Z73" s="521"/>
      <c r="AA73" s="959"/>
    </row>
    <row r="74" spans="1:27" x14ac:dyDescent="0.25">
      <c r="B74" s="726">
        <f>HLOOKUP(Start!$B$23,$D$1:$AA$75,+C74, FALSE)</f>
        <v>0</v>
      </c>
      <c r="C74" s="426">
        <f t="shared" si="1"/>
        <v>74</v>
      </c>
    </row>
    <row r="75" spans="1:27" s="357" customFormat="1" ht="12.75" x14ac:dyDescent="0.25">
      <c r="A75" s="359"/>
      <c r="B75" s="726">
        <f>HLOOKUP(Start!$B$23,$D$1:$AA$75,+C75, FALSE)</f>
        <v>0</v>
      </c>
      <c r="C75" s="426">
        <f>+C74+1</f>
        <v>75</v>
      </c>
      <c r="E75" s="826"/>
    </row>
    <row r="76" spans="1:27" s="304" customFormat="1" x14ac:dyDescent="0.25">
      <c r="A76" s="316"/>
      <c r="B76" s="733"/>
      <c r="C76" s="734"/>
      <c r="D76" s="315"/>
      <c r="E76" s="1098"/>
      <c r="F76" s="315"/>
      <c r="I76" s="315"/>
      <c r="J76" s="315"/>
      <c r="K76" s="315"/>
      <c r="M76" s="315"/>
      <c r="P76" s="315"/>
      <c r="Q76" s="315"/>
      <c r="R76" s="315"/>
      <c r="T76" s="315"/>
      <c r="U76" s="315"/>
      <c r="V76" s="315"/>
      <c r="W76" s="315"/>
      <c r="X76" s="315"/>
      <c r="Z76" s="315"/>
    </row>
    <row r="77" spans="1:27" s="304" customFormat="1" x14ac:dyDescent="0.25">
      <c r="A77" s="316"/>
      <c r="B77" s="735"/>
      <c r="C77" s="734"/>
      <c r="D77" s="315"/>
      <c r="E77" s="1098"/>
      <c r="F77" s="315"/>
      <c r="I77" s="315"/>
      <c r="J77" s="315"/>
      <c r="K77" s="315"/>
      <c r="M77" s="315"/>
      <c r="P77" s="315"/>
      <c r="Q77" s="315"/>
      <c r="R77" s="315"/>
      <c r="T77" s="315"/>
      <c r="U77" s="315"/>
      <c r="V77" s="315"/>
      <c r="W77" s="315"/>
      <c r="X77" s="315"/>
      <c r="Z77" s="315"/>
    </row>
    <row r="78" spans="1:27" s="304" customFormat="1" x14ac:dyDescent="0.25">
      <c r="A78" s="316"/>
      <c r="B78" s="735"/>
      <c r="C78" s="734"/>
      <c r="D78" s="315"/>
      <c r="E78" s="1098"/>
      <c r="F78" s="315"/>
      <c r="M78" s="315"/>
      <c r="T78" s="315"/>
      <c r="Z78" s="315"/>
    </row>
    <row r="79" spans="1:27" s="304" customFormat="1" x14ac:dyDescent="0.25">
      <c r="B79" s="735"/>
      <c r="C79" s="734"/>
      <c r="E79" s="866"/>
    </row>
    <row r="80" spans="1:27" s="304" customFormat="1" x14ac:dyDescent="0.25">
      <c r="B80" s="735"/>
      <c r="C80" s="734"/>
      <c r="E80" s="866"/>
    </row>
    <row r="81" spans="1:26" s="304" customFormat="1" x14ac:dyDescent="0.25">
      <c r="B81" s="735"/>
      <c r="C81" s="734"/>
      <c r="E81" s="866"/>
    </row>
    <row r="82" spans="1:26" s="304" customFormat="1" x14ac:dyDescent="0.25">
      <c r="B82" s="735"/>
      <c r="C82" s="734"/>
      <c r="E82" s="866"/>
    </row>
    <row r="83" spans="1:26" s="304" customFormat="1" x14ac:dyDescent="0.25">
      <c r="B83" s="735"/>
      <c r="C83" s="734"/>
      <c r="E83" s="866"/>
    </row>
    <row r="84" spans="1:26" s="304" customFormat="1" x14ac:dyDescent="0.25">
      <c r="B84" s="735"/>
      <c r="C84" s="734"/>
      <c r="E84" s="866"/>
    </row>
    <row r="85" spans="1:26" s="304" customFormat="1" x14ac:dyDescent="0.25">
      <c r="B85" s="735"/>
      <c r="C85" s="734"/>
      <c r="E85" s="866"/>
    </row>
    <row r="86" spans="1:26" s="304" customFormat="1" x14ac:dyDescent="0.25">
      <c r="B86" s="735"/>
      <c r="C86" s="734"/>
      <c r="E86" s="866"/>
    </row>
    <row r="87" spans="1:26" s="304" customFormat="1" x14ac:dyDescent="0.25">
      <c r="B87" s="735"/>
      <c r="C87" s="734"/>
      <c r="E87" s="866"/>
    </row>
    <row r="88" spans="1:26" s="304" customFormat="1" x14ac:dyDescent="0.25">
      <c r="B88" s="735"/>
      <c r="C88" s="734"/>
      <c r="E88" s="866"/>
    </row>
    <row r="89" spans="1:26" s="304" customFormat="1" x14ac:dyDescent="0.25">
      <c r="B89" s="735"/>
      <c r="C89" s="734"/>
      <c r="E89" s="866"/>
    </row>
    <row r="90" spans="1:26" s="304" customFormat="1" x14ac:dyDescent="0.25">
      <c r="B90" s="735"/>
      <c r="C90" s="734"/>
      <c r="E90" s="866"/>
    </row>
    <row r="91" spans="1:26" s="304" customFormat="1" x14ac:dyDescent="0.25">
      <c r="B91" s="735"/>
      <c r="C91" s="734"/>
      <c r="E91" s="866"/>
    </row>
    <row r="92" spans="1:26" x14ac:dyDescent="0.25">
      <c r="A92" s="304"/>
      <c r="C92" s="734"/>
      <c r="D92" s="304"/>
      <c r="E92" s="866"/>
      <c r="F92" s="304"/>
      <c r="M92" s="304"/>
      <c r="T92" s="304"/>
      <c r="Z92" s="304"/>
    </row>
    <row r="93" spans="1:26" x14ac:dyDescent="0.25">
      <c r="A93" s="304"/>
      <c r="C93" s="734"/>
      <c r="D93" s="304"/>
      <c r="E93" s="866"/>
      <c r="F93" s="304"/>
      <c r="M93" s="304"/>
      <c r="T93" s="304"/>
      <c r="Z93" s="304"/>
    </row>
    <row r="94" spans="1:26" x14ac:dyDescent="0.25">
      <c r="A94" s="304"/>
      <c r="C94" s="734"/>
      <c r="D94" s="304"/>
      <c r="E94" s="866"/>
      <c r="F94" s="304"/>
      <c r="M94" s="304"/>
      <c r="T94" s="304"/>
      <c r="Z94" s="304"/>
    </row>
    <row r="95" spans="1:26" x14ac:dyDescent="0.25">
      <c r="A95" s="304"/>
      <c r="B95" s="735"/>
      <c r="C95" s="734"/>
      <c r="D95" s="304"/>
      <c r="E95" s="866"/>
      <c r="F95" s="304"/>
      <c r="M95" s="304"/>
      <c r="T95" s="304"/>
      <c r="Z95" s="304"/>
    </row>
    <row r="96" spans="1:26" x14ac:dyDescent="0.25">
      <c r="C96" s="734"/>
    </row>
    <row r="97" spans="3:3" x14ac:dyDescent="0.25">
      <c r="C97" s="734"/>
    </row>
    <row r="98" spans="3:3" x14ac:dyDescent="0.25">
      <c r="C98" s="734"/>
    </row>
    <row r="99" spans="3:3" x14ac:dyDescent="0.25">
      <c r="C99" s="734"/>
    </row>
    <row r="100" spans="3:3" x14ac:dyDescent="0.25">
      <c r="C100" s="734"/>
    </row>
    <row r="101" spans="3:3" x14ac:dyDescent="0.25">
      <c r="C101" s="734"/>
    </row>
    <row r="102" spans="3:3" x14ac:dyDescent="0.25">
      <c r="C102" s="734"/>
    </row>
    <row r="103" spans="3:3" x14ac:dyDescent="0.25">
      <c r="C103" s="73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7"/>
  <sheetViews>
    <sheetView zoomScale="90" zoomScaleNormal="90" workbookViewId="0">
      <pane xSplit="2" topLeftCell="C1" activePane="topRight" state="frozen"/>
      <selection pane="topRight" activeCell="B1" sqref="B1"/>
    </sheetView>
  </sheetViews>
  <sheetFormatPr defaultRowHeight="15" x14ac:dyDescent="0.25"/>
  <cols>
    <col min="1" max="1" width="2.5703125" customWidth="1"/>
    <col min="2" max="2" width="32.140625" customWidth="1"/>
    <col min="3" max="3" width="16.140625" customWidth="1"/>
    <col min="4" max="4" width="14.42578125" customWidth="1"/>
    <col min="5" max="5" width="13" bestFit="1" customWidth="1"/>
    <col min="6" max="6" width="9.28515625" bestFit="1" customWidth="1"/>
    <col min="7" max="7" width="14.7109375" customWidth="1"/>
    <col min="8" max="8" width="19.140625" customWidth="1"/>
    <col min="9" max="9" width="1" customWidth="1"/>
    <col min="10" max="10" width="19.5703125" customWidth="1"/>
    <col min="11" max="11" width="12.42578125" customWidth="1"/>
    <col min="12" max="12" width="13.85546875" customWidth="1"/>
    <col min="13" max="13" width="16.5703125" bestFit="1" customWidth="1"/>
    <col min="14" max="14" width="14.5703125" customWidth="1"/>
    <col min="15" max="15" width="27.42578125" customWidth="1"/>
    <col min="16" max="16" width="14.42578125" customWidth="1"/>
    <col min="17" max="17" width="19.85546875" customWidth="1"/>
    <col min="20" max="20" width="9.5703125" bestFit="1" customWidth="1"/>
    <col min="21" max="21" width="14.5703125" customWidth="1"/>
    <col min="22" max="22" width="12.28515625" customWidth="1"/>
  </cols>
  <sheetData>
    <row r="1" spans="1:22" s="26" customFormat="1" ht="26.25" x14ac:dyDescent="0.4">
      <c r="B1" s="274"/>
      <c r="C1" s="274"/>
      <c r="D1" s="274"/>
      <c r="E1" s="266"/>
      <c r="F1" s="266"/>
    </row>
    <row r="2" spans="1:22" ht="21" x14ac:dyDescent="0.35">
      <c r="B2" s="416" t="s">
        <v>408</v>
      </c>
      <c r="C2" s="416" t="str">
        <f>+Start!B14</f>
        <v>Fattening pigs, slurry (DK)</v>
      </c>
      <c r="D2" s="416"/>
      <c r="E2" s="417"/>
      <c r="F2" s="417"/>
      <c r="G2" s="417"/>
      <c r="H2" s="417"/>
      <c r="I2" s="417"/>
      <c r="J2" s="422"/>
      <c r="K2" s="44"/>
      <c r="L2" s="339"/>
      <c r="M2" s="105"/>
      <c r="R2" s="44"/>
      <c r="S2" s="28"/>
      <c r="T2" s="28"/>
      <c r="U2" s="28"/>
    </row>
    <row r="3" spans="1:22" ht="21" x14ac:dyDescent="0.35">
      <c r="B3" s="416"/>
      <c r="C3" s="416"/>
      <c r="D3" s="417"/>
      <c r="E3" s="417"/>
      <c r="F3" s="417"/>
      <c r="G3" s="417"/>
      <c r="H3" s="417"/>
      <c r="I3" s="417"/>
      <c r="J3" s="424"/>
      <c r="K3" s="44"/>
      <c r="L3" s="339"/>
      <c r="M3" s="105"/>
      <c r="R3" s="44"/>
      <c r="S3" s="28"/>
      <c r="T3" s="28"/>
      <c r="U3" s="28"/>
    </row>
    <row r="4" spans="1:22" x14ac:dyDescent="0.25">
      <c r="D4" s="28"/>
      <c r="E4" s="28"/>
      <c r="F4" s="28"/>
      <c r="S4" s="28"/>
      <c r="T4" s="28"/>
      <c r="U4" s="28"/>
    </row>
    <row r="5" spans="1:22" s="26" customFormat="1" ht="24" thickBot="1" x14ac:dyDescent="0.4">
      <c r="D5" s="224" t="s">
        <v>291</v>
      </c>
      <c r="E5" s="224"/>
      <c r="F5" s="224"/>
      <c r="H5" s="45"/>
      <c r="K5" s="224" t="s">
        <v>289</v>
      </c>
      <c r="L5" s="224"/>
      <c r="M5" s="224"/>
      <c r="O5" s="95"/>
      <c r="P5" s="28"/>
      <c r="Q5" s="224" t="s">
        <v>290</v>
      </c>
      <c r="R5" s="45"/>
      <c r="S5" s="28"/>
      <c r="T5" s="28"/>
    </row>
    <row r="6" spans="1:22" ht="15.75" x14ac:dyDescent="0.25">
      <c r="A6" s="20"/>
      <c r="B6" s="110" t="s">
        <v>265</v>
      </c>
      <c r="C6" s="111"/>
      <c r="G6" s="112"/>
      <c r="H6" s="225"/>
      <c r="I6" s="113"/>
      <c r="J6" s="112"/>
      <c r="N6" s="112"/>
      <c r="O6" s="225"/>
      <c r="P6" s="113"/>
      <c r="Q6" s="112"/>
      <c r="S6" s="115"/>
      <c r="T6" s="115"/>
      <c r="U6" s="112"/>
      <c r="V6" s="116"/>
    </row>
    <row r="7" spans="1:22" x14ac:dyDescent="0.25">
      <c r="A7" s="47"/>
      <c r="B7" s="51"/>
      <c r="C7" s="97"/>
      <c r="D7" s="33"/>
      <c r="E7" s="33" t="s">
        <v>2</v>
      </c>
      <c r="F7" s="33"/>
      <c r="G7" s="33"/>
      <c r="H7" s="51" t="s">
        <v>79</v>
      </c>
      <c r="I7" s="52"/>
      <c r="J7" s="33"/>
      <c r="K7" s="33"/>
      <c r="L7" s="33" t="s">
        <v>2</v>
      </c>
      <c r="M7" s="33"/>
      <c r="N7" s="33"/>
      <c r="O7" s="51" t="s">
        <v>79</v>
      </c>
      <c r="P7" s="52"/>
      <c r="Q7" s="33"/>
      <c r="R7" s="33"/>
      <c r="S7" s="33" t="s">
        <v>2</v>
      </c>
      <c r="T7" s="33"/>
      <c r="U7" s="33"/>
      <c r="V7" s="117"/>
    </row>
    <row r="8" spans="1:22" x14ac:dyDescent="0.25">
      <c r="A8" s="47"/>
      <c r="B8" s="51" t="s">
        <v>0</v>
      </c>
      <c r="C8" s="33"/>
      <c r="D8" s="33"/>
      <c r="E8" s="81" t="s">
        <v>3</v>
      </c>
      <c r="F8" s="98">
        <v>1000</v>
      </c>
      <c r="G8" s="33"/>
      <c r="H8" s="51"/>
      <c r="I8" s="52"/>
      <c r="J8" s="33"/>
      <c r="K8" s="33"/>
      <c r="L8" s="81" t="s">
        <v>3</v>
      </c>
      <c r="M8" s="98">
        <v>1000</v>
      </c>
      <c r="N8" s="33"/>
      <c r="O8" s="51"/>
      <c r="P8" s="52"/>
      <c r="Q8" s="33"/>
      <c r="R8" s="33"/>
      <c r="S8" s="81" t="s">
        <v>3</v>
      </c>
      <c r="T8" s="98">
        <v>1000</v>
      </c>
      <c r="U8" s="33"/>
      <c r="V8" s="117"/>
    </row>
    <row r="9" spans="1:22" x14ac:dyDescent="0.25">
      <c r="A9" s="47"/>
      <c r="B9" s="51" t="s">
        <v>1</v>
      </c>
      <c r="C9" s="33"/>
      <c r="D9" s="81" t="s">
        <v>5</v>
      </c>
      <c r="E9" s="81" t="s">
        <v>3</v>
      </c>
      <c r="F9" s="657">
        <f>+'Reference Systems'!AC8</f>
        <v>74.518028055518201</v>
      </c>
      <c r="G9" s="33"/>
      <c r="H9" s="51"/>
      <c r="I9" s="52"/>
      <c r="J9" s="33"/>
      <c r="K9" s="81" t="s">
        <v>5</v>
      </c>
      <c r="L9" s="81" t="s">
        <v>3</v>
      </c>
      <c r="M9" s="657">
        <f>+M11+M10</f>
        <v>73.035732525674149</v>
      </c>
      <c r="N9" s="656" t="s">
        <v>870</v>
      </c>
      <c r="O9" s="51"/>
      <c r="P9" s="52"/>
      <c r="Q9" s="33"/>
      <c r="R9" s="81" t="s">
        <v>5</v>
      </c>
      <c r="S9" s="81" t="s">
        <v>3</v>
      </c>
      <c r="T9" s="657">
        <f>+T11+T10</f>
        <v>70.648943392408611</v>
      </c>
      <c r="U9" s="656" t="s">
        <v>870</v>
      </c>
      <c r="V9" s="117"/>
    </row>
    <row r="10" spans="1:22" x14ac:dyDescent="0.25">
      <c r="A10" s="47"/>
      <c r="B10" s="51" t="s">
        <v>4</v>
      </c>
      <c r="C10" s="33"/>
      <c r="D10" s="33"/>
      <c r="E10" s="81" t="s">
        <v>3</v>
      </c>
      <c r="F10" s="646">
        <f>+'Reference Systems'!AC9</f>
        <v>14.154893617021273</v>
      </c>
      <c r="G10" s="33"/>
      <c r="H10" s="51" t="s">
        <v>78</v>
      </c>
      <c r="I10" s="52"/>
      <c r="J10" s="33"/>
      <c r="K10" s="33"/>
      <c r="L10" s="81" t="s">
        <v>3</v>
      </c>
      <c r="M10" s="646">
        <f>+F10</f>
        <v>14.154893617021273</v>
      </c>
      <c r="N10" s="51" t="s">
        <v>78</v>
      </c>
      <c r="O10" s="51" t="s">
        <v>78</v>
      </c>
      <c r="P10" s="52"/>
      <c r="Q10" s="33"/>
      <c r="R10" s="556" t="s">
        <v>789</v>
      </c>
      <c r="S10" s="82" t="s">
        <v>3</v>
      </c>
      <c r="T10" s="646">
        <f>+M10</f>
        <v>14.154893617021273</v>
      </c>
      <c r="U10" s="51" t="s">
        <v>78</v>
      </c>
      <c r="V10" s="117"/>
    </row>
    <row r="11" spans="1:22" x14ac:dyDescent="0.25">
      <c r="A11" s="47"/>
      <c r="B11" s="51" t="s">
        <v>7</v>
      </c>
      <c r="C11" s="33"/>
      <c r="D11" s="81" t="s">
        <v>6</v>
      </c>
      <c r="E11" s="81" t="s">
        <v>3</v>
      </c>
      <c r="F11" s="646">
        <f>+'Reference Systems'!AC10</f>
        <v>60.363134438496928</v>
      </c>
      <c r="G11" s="33"/>
      <c r="H11" s="51"/>
      <c r="I11" s="52"/>
      <c r="J11" s="33"/>
      <c r="K11" s="81" t="s">
        <v>6</v>
      </c>
      <c r="L11" s="81" t="s">
        <v>3</v>
      </c>
      <c r="M11" s="646">
        <f>+F11-H49</f>
        <v>58.880838908652869</v>
      </c>
      <c r="N11" s="33"/>
      <c r="O11" s="51"/>
      <c r="P11" s="52"/>
      <c r="Q11" s="33"/>
      <c r="R11" s="81" t="s">
        <v>6</v>
      </c>
      <c r="S11" s="81" t="s">
        <v>3</v>
      </c>
      <c r="T11" s="623">
        <f>+M11-O49</f>
        <v>56.494049775387339</v>
      </c>
      <c r="U11" s="33"/>
      <c r="V11" s="117"/>
    </row>
    <row r="12" spans="1:22" x14ac:dyDescent="0.25">
      <c r="A12" s="47"/>
      <c r="B12" s="53" t="s">
        <v>8</v>
      </c>
      <c r="C12" s="100"/>
      <c r="D12" s="101"/>
      <c r="E12" s="101" t="s">
        <v>3</v>
      </c>
      <c r="F12" s="102"/>
      <c r="G12" s="33"/>
      <c r="H12" s="51"/>
      <c r="I12" s="52"/>
      <c r="J12" s="33"/>
      <c r="K12" s="101"/>
      <c r="L12" s="101" t="s">
        <v>3</v>
      </c>
      <c r="M12" s="894"/>
      <c r="N12" s="33"/>
      <c r="O12" s="51"/>
      <c r="P12" s="52"/>
      <c r="Q12" s="33"/>
      <c r="R12" s="101"/>
      <c r="S12" s="101" t="s">
        <v>3</v>
      </c>
      <c r="T12" s="895"/>
      <c r="U12" s="33"/>
      <c r="V12" s="117"/>
    </row>
    <row r="13" spans="1:22" x14ac:dyDescent="0.25">
      <c r="A13" s="47"/>
      <c r="B13" s="53" t="s">
        <v>9</v>
      </c>
      <c r="C13" s="100"/>
      <c r="D13" s="101"/>
      <c r="E13" s="101" t="s">
        <v>3</v>
      </c>
      <c r="F13" s="102"/>
      <c r="G13" s="33"/>
      <c r="H13" s="51"/>
      <c r="I13" s="52"/>
      <c r="J13" s="33"/>
      <c r="K13" s="101"/>
      <c r="L13" s="101" t="s">
        <v>3</v>
      </c>
      <c r="M13" s="102"/>
      <c r="N13" s="33"/>
      <c r="O13" s="51"/>
      <c r="P13" s="52"/>
      <c r="Q13" s="33"/>
      <c r="R13" s="101"/>
      <c r="S13" s="101" t="s">
        <v>3</v>
      </c>
      <c r="T13" s="102"/>
      <c r="U13" s="33"/>
      <c r="V13" s="117"/>
    </row>
    <row r="14" spans="1:22" x14ac:dyDescent="0.25">
      <c r="A14" s="47"/>
      <c r="B14" s="51" t="s">
        <v>28</v>
      </c>
      <c r="C14" s="33"/>
      <c r="D14" s="81" t="s">
        <v>29</v>
      </c>
      <c r="E14" s="81" t="s">
        <v>3</v>
      </c>
      <c r="F14" s="1042">
        <f>+'Reference Systems'!AC11</f>
        <v>33.547219620478501</v>
      </c>
      <c r="G14" s="33"/>
      <c r="H14" s="51"/>
      <c r="I14" s="52"/>
      <c r="J14" s="33"/>
      <c r="K14" s="81" t="s">
        <v>29</v>
      </c>
      <c r="L14" s="81" t="s">
        <v>3</v>
      </c>
      <c r="M14" s="1043">
        <f>+F14-H46-H47</f>
        <v>32.800720090634442</v>
      </c>
      <c r="N14" s="289"/>
      <c r="O14" s="51"/>
      <c r="P14" s="52"/>
      <c r="Q14" s="33"/>
      <c r="R14" s="81" t="s">
        <v>29</v>
      </c>
      <c r="S14" s="81" t="s">
        <v>3</v>
      </c>
      <c r="T14" s="289"/>
      <c r="U14" s="289"/>
      <c r="V14" s="117"/>
    </row>
    <row r="15" spans="1:22" x14ac:dyDescent="0.25">
      <c r="A15" s="47"/>
      <c r="B15" s="51" t="s">
        <v>10</v>
      </c>
      <c r="C15" s="33"/>
      <c r="D15" s="81" t="s">
        <v>11</v>
      </c>
      <c r="E15" s="81" t="s">
        <v>3</v>
      </c>
      <c r="F15" s="623">
        <f>+'Reference Systems'!AC12</f>
        <v>6</v>
      </c>
      <c r="G15" s="33"/>
      <c r="H15" s="51"/>
      <c r="I15" s="52"/>
      <c r="J15" s="33"/>
      <c r="K15" s="81" t="s">
        <v>11</v>
      </c>
      <c r="L15" s="81" t="s">
        <v>3</v>
      </c>
      <c r="M15" s="646">
        <f>(F15-H37-H41-H42-H43+'Background data'!C26)/'Background data'!D32</f>
        <v>5.2642039999999994</v>
      </c>
      <c r="N15" s="163"/>
      <c r="O15" s="51" t="s">
        <v>98</v>
      </c>
      <c r="P15" s="52"/>
      <c r="Q15" s="33"/>
      <c r="R15" s="81" t="s">
        <v>11</v>
      </c>
      <c r="S15" s="81" t="s">
        <v>3</v>
      </c>
      <c r="T15" s="646">
        <f>(F15-H37-H41-H42-H43-O37-O41-O42-O43+'Background data'!C26)/'Background data'!D34</f>
        <v>5.1324714688599995</v>
      </c>
      <c r="U15" s="163"/>
      <c r="V15" s="1095"/>
    </row>
    <row r="16" spans="1:22" x14ac:dyDescent="0.25">
      <c r="A16" s="47"/>
      <c r="B16" s="51" t="s">
        <v>12</v>
      </c>
      <c r="C16" s="33"/>
      <c r="D16" s="81" t="s">
        <v>13</v>
      </c>
      <c r="E16" s="81" t="s">
        <v>3</v>
      </c>
      <c r="F16" s="33"/>
      <c r="G16" s="33"/>
      <c r="H16" s="51"/>
      <c r="I16" s="52"/>
      <c r="J16" s="33"/>
      <c r="K16" s="81" t="s">
        <v>13</v>
      </c>
      <c r="L16" s="81" t="s">
        <v>3</v>
      </c>
      <c r="M16" s="33"/>
      <c r="N16" s="33"/>
      <c r="O16" s="51"/>
      <c r="P16" s="52"/>
      <c r="Q16" s="33"/>
      <c r="R16" s="81" t="s">
        <v>13</v>
      </c>
      <c r="S16" s="81" t="s">
        <v>3</v>
      </c>
      <c r="T16" s="33"/>
      <c r="U16" s="33"/>
      <c r="V16" s="117"/>
    </row>
    <row r="17" spans="1:22" x14ac:dyDescent="0.25">
      <c r="A17" s="47"/>
      <c r="B17" s="51" t="s">
        <v>15</v>
      </c>
      <c r="C17" s="33"/>
      <c r="D17" s="81" t="s">
        <v>14</v>
      </c>
      <c r="E17" s="81" t="s">
        <v>3</v>
      </c>
      <c r="F17" s="406">
        <f>+'Reference Systems'!AC14</f>
        <v>1.2127659574468084</v>
      </c>
      <c r="G17" s="33"/>
      <c r="H17" s="51"/>
      <c r="I17" s="52"/>
      <c r="J17" s="33"/>
      <c r="K17" s="81" t="s">
        <v>14</v>
      </c>
      <c r="L17" s="81" t="s">
        <v>3</v>
      </c>
      <c r="M17" s="103">
        <f>(F17+'Background data'!C27)/'Background data'!D32</f>
        <v>1.2127659574468084</v>
      </c>
      <c r="N17" s="33"/>
      <c r="O17" s="51" t="s">
        <v>97</v>
      </c>
      <c r="P17" s="52"/>
      <c r="Q17" s="33"/>
      <c r="R17" s="81" t="s">
        <v>14</v>
      </c>
      <c r="S17" s="81" t="s">
        <v>3</v>
      </c>
      <c r="T17" s="103">
        <f>M17/'Background data'!$D$33</f>
        <v>1.2127659574468084</v>
      </c>
      <c r="U17" s="33"/>
      <c r="V17" s="117"/>
    </row>
    <row r="18" spans="1:22" x14ac:dyDescent="0.25">
      <c r="A18" s="47"/>
      <c r="B18" s="51" t="s">
        <v>16</v>
      </c>
      <c r="C18" s="33"/>
      <c r="D18" s="81" t="s">
        <v>17</v>
      </c>
      <c r="E18" s="81" t="s">
        <v>3</v>
      </c>
      <c r="F18" s="405">
        <f>+'Reference Systems'!AC15</f>
        <v>2.8297872340425534</v>
      </c>
      <c r="G18" s="33"/>
      <c r="H18" s="51"/>
      <c r="I18" s="52"/>
      <c r="J18" s="33"/>
      <c r="K18" s="81" t="s">
        <v>17</v>
      </c>
      <c r="L18" s="81" t="s">
        <v>3</v>
      </c>
      <c r="M18" s="99">
        <f>(F18+'Background data'!C28)/'Background data'!D32</f>
        <v>2.8297872340425534</v>
      </c>
      <c r="N18" s="33"/>
      <c r="O18" s="51" t="s">
        <v>97</v>
      </c>
      <c r="P18" s="52"/>
      <c r="Q18" s="33"/>
      <c r="R18" s="81" t="s">
        <v>17</v>
      </c>
      <c r="S18" s="81" t="s">
        <v>3</v>
      </c>
      <c r="T18" s="99">
        <f>M18/'Background data'!$D$33</f>
        <v>2.8297872340425534</v>
      </c>
      <c r="U18" s="33"/>
      <c r="V18" s="117"/>
    </row>
    <row r="19" spans="1:22" x14ac:dyDescent="0.25">
      <c r="A19" s="47"/>
      <c r="B19" s="51" t="s">
        <v>18</v>
      </c>
      <c r="C19" s="33"/>
      <c r="D19" s="81" t="s">
        <v>19</v>
      </c>
      <c r="E19" s="81" t="s">
        <v>3</v>
      </c>
      <c r="F19" s="103">
        <f>+'Reference Systems'!AC16</f>
        <v>3.1030112731578616E-2</v>
      </c>
      <c r="G19" s="33"/>
      <c r="H19" s="51" t="s">
        <v>86</v>
      </c>
      <c r="I19" s="52"/>
      <c r="J19" s="33"/>
      <c r="K19" s="81" t="s">
        <v>19</v>
      </c>
      <c r="L19" s="81" t="s">
        <v>3</v>
      </c>
      <c r="M19" s="103">
        <f>T19*'Background data'!$D$33</f>
        <v>3.2535697614925023E-2</v>
      </c>
      <c r="N19" s="33"/>
      <c r="O19" s="51" t="s">
        <v>86</v>
      </c>
      <c r="P19" s="52"/>
      <c r="Q19" s="33"/>
      <c r="R19" s="106" t="s">
        <v>19</v>
      </c>
      <c r="S19" s="81" t="s">
        <v>3</v>
      </c>
      <c r="T19" s="103">
        <f>Cu_dm*T9</f>
        <v>3.2535697614925023E-2</v>
      </c>
      <c r="U19" s="33"/>
      <c r="V19" s="117"/>
    </row>
    <row r="20" spans="1:22" x14ac:dyDescent="0.25">
      <c r="A20" s="47"/>
      <c r="B20" s="51" t="s">
        <v>20</v>
      </c>
      <c r="C20" s="33"/>
      <c r="D20" s="81" t="s">
        <v>21</v>
      </c>
      <c r="E20" s="81" t="s">
        <v>3</v>
      </c>
      <c r="F20" s="103">
        <f>+'Reference Systems'!AC17</f>
        <v>9.0822161548259103E-2</v>
      </c>
      <c r="G20" s="33"/>
      <c r="H20" s="51" t="s">
        <v>86</v>
      </c>
      <c r="I20" s="52"/>
      <c r="J20" s="33"/>
      <c r="K20" s="81" t="s">
        <v>21</v>
      </c>
      <c r="L20" s="81" t="s">
        <v>3</v>
      </c>
      <c r="M20" s="103">
        <f>T20*'Background data'!$D$33</f>
        <v>9.5376073579751613E-2</v>
      </c>
      <c r="N20" s="33"/>
      <c r="O20" s="51" t="s">
        <v>86</v>
      </c>
      <c r="P20" s="52"/>
      <c r="Q20" s="33"/>
      <c r="R20" s="106" t="s">
        <v>21</v>
      </c>
      <c r="S20" s="81" t="s">
        <v>3</v>
      </c>
      <c r="T20" s="99">
        <f>Zn_dm*T9</f>
        <v>9.5376073579751613E-2</v>
      </c>
      <c r="U20" s="33"/>
      <c r="V20" s="117"/>
    </row>
    <row r="21" spans="1:22" ht="15.75" x14ac:dyDescent="0.25">
      <c r="A21" s="47"/>
      <c r="B21" s="51" t="s">
        <v>22</v>
      </c>
      <c r="C21" s="33"/>
      <c r="D21" s="33"/>
      <c r="E21" s="81" t="s">
        <v>80</v>
      </c>
      <c r="F21" s="98">
        <v>1053</v>
      </c>
      <c r="G21" s="33"/>
      <c r="H21" s="51"/>
      <c r="I21" s="52"/>
      <c r="J21" s="33"/>
      <c r="K21" s="33"/>
      <c r="L21" s="81" t="s">
        <v>80</v>
      </c>
      <c r="M21" s="98">
        <v>1053</v>
      </c>
      <c r="N21" s="33"/>
      <c r="O21" s="51"/>
      <c r="P21" s="52"/>
      <c r="Q21" s="33"/>
      <c r="R21" s="33"/>
      <c r="S21" s="81" t="s">
        <v>80</v>
      </c>
      <c r="T21" s="98">
        <v>1053</v>
      </c>
      <c r="U21" s="33"/>
      <c r="V21" s="117"/>
    </row>
    <row r="22" spans="1:22" ht="15.75" thickBot="1" x14ac:dyDescent="0.3">
      <c r="A22" s="16"/>
      <c r="B22" s="118" t="s">
        <v>23</v>
      </c>
      <c r="C22" s="119"/>
      <c r="D22" s="119"/>
      <c r="E22" s="119"/>
      <c r="F22" s="134">
        <v>7.3</v>
      </c>
      <c r="G22" s="119"/>
      <c r="H22" s="118"/>
      <c r="I22" s="52"/>
      <c r="J22" s="119"/>
      <c r="K22" s="119"/>
      <c r="L22" s="119"/>
      <c r="M22" s="134">
        <v>7.3</v>
      </c>
      <c r="N22" s="119"/>
      <c r="O22" s="118"/>
      <c r="P22" s="120"/>
      <c r="Q22" s="119"/>
      <c r="R22" s="119"/>
      <c r="S22" s="119"/>
      <c r="T22" s="134">
        <v>7.3</v>
      </c>
      <c r="U22" s="119"/>
      <c r="V22" s="121"/>
    </row>
    <row r="23" spans="1:22" s="26" customFormat="1" ht="15.75" thickBot="1" x14ac:dyDescent="0.3">
      <c r="A23" s="47"/>
      <c r="B23" s="33"/>
      <c r="C23" s="33"/>
      <c r="D23" s="33"/>
      <c r="E23" s="33"/>
      <c r="F23" s="98"/>
      <c r="G23" s="33"/>
      <c r="H23" s="33"/>
      <c r="I23" s="84"/>
      <c r="J23" s="33"/>
      <c r="K23" s="33"/>
      <c r="L23" s="33"/>
      <c r="M23" s="98"/>
      <c r="N23" s="33"/>
      <c r="O23" s="33"/>
      <c r="P23" s="33"/>
      <c r="Q23" s="33"/>
      <c r="R23" s="33"/>
      <c r="S23" s="33"/>
      <c r="T23" s="98"/>
      <c r="U23" s="33"/>
      <c r="V23" s="33"/>
    </row>
    <row r="24" spans="1:22" s="26" customFormat="1" ht="15.75" x14ac:dyDescent="0.25">
      <c r="A24" s="20"/>
      <c r="B24" s="110" t="s">
        <v>292</v>
      </c>
      <c r="C24" s="1193" t="s">
        <v>298</v>
      </c>
      <c r="D24" s="1193"/>
      <c r="E24" s="1193" t="s">
        <v>288</v>
      </c>
      <c r="F24" s="1193"/>
      <c r="G24" s="1193" t="s">
        <v>296</v>
      </c>
      <c r="H24" s="1193"/>
      <c r="I24" s="114"/>
      <c r="J24" s="112"/>
      <c r="K24" s="1193" t="s">
        <v>285</v>
      </c>
      <c r="L24" s="1193"/>
      <c r="M24" s="159"/>
      <c r="N24" s="112"/>
      <c r="O24" s="112"/>
      <c r="P24" s="84"/>
      <c r="Q24" s="112"/>
      <c r="R24" s="1193" t="s">
        <v>297</v>
      </c>
      <c r="S24" s="1193"/>
      <c r="T24" s="159"/>
      <c r="U24" s="112"/>
      <c r="V24" s="116"/>
    </row>
    <row r="25" spans="1:22" s="26" customFormat="1" x14ac:dyDescent="0.25">
      <c r="A25" s="47"/>
      <c r="B25" s="30"/>
      <c r="C25" s="160" t="s">
        <v>2</v>
      </c>
      <c r="D25" s="81" t="s">
        <v>75</v>
      </c>
      <c r="E25" s="106" t="s">
        <v>2</v>
      </c>
      <c r="F25" s="160" t="s">
        <v>75</v>
      </c>
      <c r="G25" s="81" t="s">
        <v>2</v>
      </c>
      <c r="H25" s="160"/>
      <c r="I25" s="52"/>
      <c r="J25" s="33"/>
      <c r="K25" s="33" t="s">
        <v>2</v>
      </c>
      <c r="L25" s="28" t="s">
        <v>75</v>
      </c>
      <c r="M25" s="98"/>
      <c r="N25" s="33"/>
      <c r="O25" s="33"/>
      <c r="P25" s="52"/>
      <c r="Q25" s="33"/>
      <c r="R25" s="33" t="s">
        <v>2</v>
      </c>
      <c r="S25" s="28" t="s">
        <v>75</v>
      </c>
      <c r="T25" s="98"/>
      <c r="U25" s="33"/>
      <c r="V25" s="117"/>
    </row>
    <row r="26" spans="1:22" s="26" customFormat="1" x14ac:dyDescent="0.25">
      <c r="A26" s="47"/>
      <c r="B26" s="51"/>
      <c r="C26" s="33" t="s">
        <v>31</v>
      </c>
      <c r="D26" s="490">
        <f>+'Reference Systems'!AC176</f>
        <v>454.78723404255322</v>
      </c>
      <c r="E26" s="33" t="s">
        <v>286</v>
      </c>
      <c r="F26" s="403">
        <f>+'Reference Systems'!AC163</f>
        <v>14.130434782608695</v>
      </c>
      <c r="G26" s="33" t="s">
        <v>294</v>
      </c>
      <c r="H26" s="402">
        <f>+'Reference Systems'!AC164</f>
        <v>136.95652173913044</v>
      </c>
      <c r="I26" s="52"/>
      <c r="J26" s="33"/>
      <c r="K26" s="33" t="s">
        <v>286</v>
      </c>
      <c r="L26" s="404">
        <f>+'Reference Systems'!$AC$166</f>
        <v>4.5999999999999996</v>
      </c>
      <c r="M26" s="98"/>
      <c r="N26" s="33"/>
      <c r="O26" s="33"/>
      <c r="P26" s="52"/>
      <c r="Q26" s="33"/>
      <c r="R26" s="33" t="s">
        <v>271</v>
      </c>
      <c r="S26" s="404">
        <f>+'Reference Systems'!$AC$168</f>
        <v>11</v>
      </c>
      <c r="T26" s="98"/>
      <c r="U26" s="33"/>
      <c r="V26" s="117"/>
    </row>
    <row r="27" spans="1:22" s="26" customFormat="1" x14ac:dyDescent="0.25">
      <c r="A27" s="47"/>
      <c r="B27" s="51" t="s">
        <v>81</v>
      </c>
      <c r="C27" s="33" t="s">
        <v>31</v>
      </c>
      <c r="D27" s="33"/>
      <c r="E27" s="33"/>
      <c r="F27" s="161">
        <f>F26*'Background data'!$Q65*14/17</f>
        <v>2.9122922164393443E-4</v>
      </c>
      <c r="G27" s="33"/>
      <c r="H27" s="33"/>
      <c r="I27" s="52"/>
      <c r="J27" s="33"/>
      <c r="K27" s="33"/>
      <c r="L27" s="167">
        <f>L26*'Background data'!$Q65*14/17</f>
        <v>9.4806312769010032E-5</v>
      </c>
      <c r="M27" s="98"/>
      <c r="N27" s="33"/>
      <c r="O27" s="33"/>
      <c r="P27" s="52"/>
      <c r="Q27" s="33"/>
      <c r="R27" s="33"/>
      <c r="S27" s="33"/>
      <c r="T27" s="98"/>
      <c r="U27" s="33"/>
      <c r="V27" s="117"/>
    </row>
    <row r="28" spans="1:22" s="26" customFormat="1" x14ac:dyDescent="0.25">
      <c r="A28" s="47"/>
      <c r="B28" s="51" t="s">
        <v>295</v>
      </c>
      <c r="C28" s="33" t="s">
        <v>31</v>
      </c>
      <c r="D28" s="28"/>
      <c r="E28" s="28"/>
      <c r="F28" s="157">
        <f>F26*'Background data'!$H71</f>
        <v>13.391606347826087</v>
      </c>
      <c r="G28" s="28"/>
      <c r="H28" s="164">
        <f>H26*'Background data'!I150</f>
        <v>8.6056598934782613</v>
      </c>
      <c r="I28" s="52"/>
      <c r="J28" s="33"/>
      <c r="K28" s="33"/>
      <c r="L28" s="168">
        <f>L26*'Background data'!$H71</f>
        <v>4.3594829279999994</v>
      </c>
      <c r="M28" s="98"/>
      <c r="N28" s="33"/>
      <c r="O28" s="33"/>
      <c r="P28" s="52"/>
      <c r="Q28" s="33"/>
      <c r="R28" s="33"/>
      <c r="S28" s="151">
        <f>S26*'Background data'!G49</f>
        <v>0.8231292517006803</v>
      </c>
      <c r="T28" s="98"/>
      <c r="U28" s="33"/>
      <c r="V28" s="117"/>
    </row>
    <row r="29" spans="1:22" s="26" customFormat="1" x14ac:dyDescent="0.25">
      <c r="A29" s="47"/>
      <c r="B29" s="51" t="s">
        <v>82</v>
      </c>
      <c r="C29" s="33" t="s">
        <v>31</v>
      </c>
      <c r="D29" s="33"/>
      <c r="E29" s="33"/>
      <c r="F29" s="158">
        <f>F26*'Background data'!$H72</f>
        <v>6.2858716918714558E-2</v>
      </c>
      <c r="G29" s="33"/>
      <c r="H29" s="152">
        <f>H26*'Background data'!I151</f>
        <v>2.1596757873345935E-2</v>
      </c>
      <c r="I29" s="52"/>
      <c r="J29" s="33"/>
      <c r="K29" s="33"/>
      <c r="L29" s="158">
        <f>L26*'Background data'!$H72</f>
        <v>2.0462929999999997E-2</v>
      </c>
      <c r="M29" s="98"/>
      <c r="N29" s="33"/>
      <c r="O29" s="33"/>
      <c r="P29" s="52"/>
      <c r="Q29" s="33"/>
      <c r="R29" s="33"/>
      <c r="S29" s="33"/>
      <c r="T29" s="98"/>
      <c r="U29" s="33"/>
      <c r="V29" s="117"/>
    </row>
    <row r="30" spans="1:22" s="26" customFormat="1" x14ac:dyDescent="0.25">
      <c r="A30" s="47"/>
      <c r="B30" s="51" t="s">
        <v>83</v>
      </c>
      <c r="C30" s="33" t="s">
        <v>31</v>
      </c>
      <c r="D30" s="33"/>
      <c r="E30" s="33"/>
      <c r="F30" s="161">
        <f>F26*'Background data'!$H73</f>
        <v>5.5734917376615756E-4</v>
      </c>
      <c r="G30" s="33"/>
      <c r="H30" s="163">
        <f>H26*'Background data'!I152</f>
        <v>8.4747793404817858E-5</v>
      </c>
      <c r="I30" s="52"/>
      <c r="J30" s="33"/>
      <c r="K30" s="33"/>
      <c r="L30" s="166">
        <f>L26*'Background data'!$H73</f>
        <v>1.8143859256756757E-4</v>
      </c>
      <c r="M30" s="98"/>
      <c r="N30" s="33"/>
      <c r="O30" s="33"/>
      <c r="P30" s="52"/>
      <c r="Q30" s="33"/>
      <c r="R30" s="33"/>
      <c r="S30" s="33"/>
      <c r="T30" s="98"/>
      <c r="U30" s="33"/>
      <c r="V30" s="117"/>
    </row>
    <row r="31" spans="1:22" s="339" customFormat="1" x14ac:dyDescent="0.25">
      <c r="A31" s="47"/>
      <c r="B31" s="33" t="s">
        <v>433</v>
      </c>
      <c r="C31" s="33" t="s">
        <v>31</v>
      </c>
      <c r="D31" s="434">
        <f>+'Not in use'!I16</f>
        <v>328.43642553191489</v>
      </c>
      <c r="E31" s="33"/>
      <c r="F31" s="161"/>
      <c r="G31" s="33"/>
      <c r="H31" s="163"/>
      <c r="I31" s="52"/>
      <c r="J31" s="33"/>
      <c r="K31" s="33"/>
      <c r="L31" s="166"/>
      <c r="M31" s="98"/>
      <c r="N31" s="33"/>
      <c r="O31" s="33"/>
      <c r="P31" s="52"/>
      <c r="Q31" s="33"/>
      <c r="R31" s="33"/>
      <c r="S31" s="33"/>
      <c r="T31" s="98"/>
      <c r="U31" s="33"/>
      <c r="V31" s="117"/>
    </row>
    <row r="32" spans="1:22" s="339" customFormat="1" x14ac:dyDescent="0.25">
      <c r="A32" s="47"/>
      <c r="B32" s="33" t="s">
        <v>434</v>
      </c>
      <c r="C32" s="33" t="s">
        <v>31</v>
      </c>
      <c r="D32" s="434">
        <f>+'Not in use'!Q16</f>
        <v>1256.2732187739716</v>
      </c>
      <c r="E32" s="33"/>
      <c r="F32" s="161"/>
      <c r="G32" s="33"/>
      <c r="H32" s="163"/>
      <c r="I32" s="52"/>
      <c r="J32" s="33"/>
      <c r="K32" s="33"/>
      <c r="L32" s="166"/>
      <c r="M32" s="98"/>
      <c r="N32" s="33"/>
      <c r="O32" s="33"/>
      <c r="P32" s="52"/>
      <c r="Q32" s="33"/>
      <c r="R32" s="33"/>
      <c r="S32" s="33"/>
      <c r="T32" s="98"/>
      <c r="U32" s="33"/>
      <c r="V32" s="117"/>
    </row>
    <row r="33" spans="1:23" s="26" customFormat="1" ht="15.75" thickBot="1" x14ac:dyDescent="0.3">
      <c r="A33" s="16"/>
      <c r="B33" s="118" t="s">
        <v>270</v>
      </c>
      <c r="C33" s="33" t="s">
        <v>31</v>
      </c>
      <c r="D33" s="436">
        <f>+D31+D32</f>
        <v>1584.7096443058865</v>
      </c>
      <c r="E33" s="119"/>
      <c r="F33" s="162">
        <f>F28+F29*23+F30*296</f>
        <v>15.002332192391304</v>
      </c>
      <c r="G33" s="119"/>
      <c r="H33" s="162">
        <f>H28+H29*23+H30*296</f>
        <v>9.1274706714130431</v>
      </c>
      <c r="I33" s="120"/>
      <c r="J33" s="119"/>
      <c r="K33" s="119"/>
      <c r="L33" s="162">
        <f>L28+L29*23+L30*296</f>
        <v>4.8838361413999989</v>
      </c>
      <c r="M33" s="134"/>
      <c r="N33" s="119"/>
      <c r="O33" s="119"/>
      <c r="P33" s="83"/>
      <c r="Q33" s="119"/>
      <c r="R33" s="119"/>
      <c r="S33" s="165">
        <f>S28</f>
        <v>0.8231292517006803</v>
      </c>
      <c r="T33" s="134"/>
      <c r="U33" s="119"/>
      <c r="V33" s="121"/>
    </row>
    <row r="34" spans="1:23" ht="15.75" thickBot="1" x14ac:dyDescent="0.3">
      <c r="A34" s="16"/>
      <c r="B34" s="135"/>
      <c r="C34" s="135"/>
      <c r="D34" s="119"/>
      <c r="E34" s="119"/>
      <c r="F34" s="119"/>
      <c r="G34" s="119"/>
      <c r="H34" s="119"/>
      <c r="I34" s="83"/>
      <c r="J34" s="119"/>
      <c r="K34" s="119"/>
      <c r="L34" s="119"/>
      <c r="M34" s="119"/>
      <c r="N34" s="119"/>
      <c r="O34" s="119"/>
      <c r="P34" s="119"/>
      <c r="Q34" s="119"/>
      <c r="R34" s="119"/>
      <c r="S34" s="119"/>
      <c r="T34" s="119"/>
      <c r="U34" s="119"/>
      <c r="V34" s="119"/>
    </row>
    <row r="35" spans="1:23" ht="15.75" x14ac:dyDescent="0.25">
      <c r="A35" s="20"/>
      <c r="B35" s="85" t="s">
        <v>280</v>
      </c>
      <c r="C35" s="122"/>
      <c r="D35" s="123" t="s">
        <v>25</v>
      </c>
      <c r="E35" s="122"/>
      <c r="F35" s="122"/>
      <c r="G35" s="1191" t="s">
        <v>30</v>
      </c>
      <c r="H35" s="1192"/>
      <c r="I35" s="52"/>
      <c r="J35" s="94"/>
      <c r="K35" s="122" t="s">
        <v>25</v>
      </c>
      <c r="L35" s="122"/>
      <c r="M35" s="122"/>
      <c r="N35" s="94"/>
      <c r="O35" s="122" t="s">
        <v>30</v>
      </c>
      <c r="P35" s="114"/>
      <c r="Q35" s="122"/>
      <c r="R35" s="122" t="s">
        <v>25</v>
      </c>
      <c r="S35" s="122"/>
      <c r="T35" s="122"/>
      <c r="U35" s="122" t="s">
        <v>30</v>
      </c>
      <c r="V35" s="140"/>
    </row>
    <row r="36" spans="1:23" x14ac:dyDescent="0.25">
      <c r="A36" s="47"/>
      <c r="B36" s="30"/>
      <c r="C36" s="29" t="s">
        <v>2</v>
      </c>
      <c r="D36" s="106" t="s">
        <v>26</v>
      </c>
      <c r="E36" s="106" t="s">
        <v>75</v>
      </c>
      <c r="F36" s="29" t="s">
        <v>27</v>
      </c>
      <c r="G36" s="106" t="s">
        <v>2</v>
      </c>
      <c r="H36" s="107" t="s">
        <v>75</v>
      </c>
      <c r="I36" s="52"/>
      <c r="J36" s="29" t="s">
        <v>2</v>
      </c>
      <c r="K36" s="106" t="s">
        <v>26</v>
      </c>
      <c r="L36" s="106" t="s">
        <v>75</v>
      </c>
      <c r="M36" s="29" t="s">
        <v>27</v>
      </c>
      <c r="N36" s="106" t="s">
        <v>2</v>
      </c>
      <c r="O36" s="107" t="s">
        <v>75</v>
      </c>
      <c r="P36" s="52"/>
      <c r="Q36" s="29" t="s">
        <v>2</v>
      </c>
      <c r="R36" s="106" t="s">
        <v>26</v>
      </c>
      <c r="S36" s="106" t="s">
        <v>75</v>
      </c>
      <c r="T36" s="29" t="s">
        <v>27</v>
      </c>
      <c r="U36" s="29" t="s">
        <v>2</v>
      </c>
      <c r="V36" s="141" t="s">
        <v>75</v>
      </c>
    </row>
    <row r="37" spans="1:23" x14ac:dyDescent="0.25">
      <c r="A37" s="47"/>
      <c r="B37" s="51" t="s">
        <v>81</v>
      </c>
      <c r="C37" s="29" t="s">
        <v>744</v>
      </c>
      <c r="D37" s="106">
        <v>0.09</v>
      </c>
      <c r="E37" s="619">
        <f>+'Reference Systems'!AC48</f>
        <v>0.11899999999999999</v>
      </c>
      <c r="F37" s="106">
        <v>0.18</v>
      </c>
      <c r="G37" s="106" t="s">
        <v>31</v>
      </c>
      <c r="H37" s="624">
        <f>E37*F15</f>
        <v>0.71399999999999997</v>
      </c>
      <c r="I37" s="52"/>
      <c r="J37" s="29" t="s">
        <v>745</v>
      </c>
      <c r="K37" s="106">
        <v>8.0000000000000002E-3</v>
      </c>
      <c r="L37" s="621">
        <f>+'Reference Systems'!AC50</f>
        <v>1.8750000000000003E-2</v>
      </c>
      <c r="M37" s="106">
        <v>0.11</v>
      </c>
      <c r="N37" s="106" t="s">
        <v>31</v>
      </c>
      <c r="O37" s="136">
        <f>L37*M15</f>
        <v>9.8703825000000009E-2</v>
      </c>
      <c r="P37" s="52"/>
      <c r="Q37" s="29" t="s">
        <v>92</v>
      </c>
      <c r="R37" s="106">
        <v>6.0000000000000001E-3</v>
      </c>
      <c r="S37" s="635">
        <f>+'Reference Systems'!AC51</f>
        <v>0.123053760456726</v>
      </c>
      <c r="T37" s="106">
        <v>0.19500000000000001</v>
      </c>
      <c r="U37" s="29" t="s">
        <v>31</v>
      </c>
      <c r="V37" s="663">
        <f>S37*T15</f>
        <v>0.63156991468007906</v>
      </c>
    </row>
    <row r="38" spans="1:23" x14ac:dyDescent="0.25">
      <c r="A38" s="47"/>
      <c r="B38" s="51" t="s">
        <v>82</v>
      </c>
      <c r="C38" s="620" t="s">
        <v>783</v>
      </c>
      <c r="D38" s="106"/>
      <c r="E38" s="621">
        <f>+'Reference Systems'!AC59</f>
        <v>9.9006500000000004E-3</v>
      </c>
      <c r="F38" s="106"/>
      <c r="G38" s="106" t="s">
        <v>31</v>
      </c>
      <c r="H38" s="644">
        <f>+E38*F11</f>
        <v>0.59763426697850464</v>
      </c>
      <c r="I38" s="52"/>
      <c r="J38" s="620" t="s">
        <v>788</v>
      </c>
      <c r="K38" s="29"/>
      <c r="L38" s="621">
        <f>+'Reference Systems'!AC61</f>
        <v>3.0661218538914275E-2</v>
      </c>
      <c r="M38" s="29"/>
      <c r="N38" s="106" t="s">
        <v>31</v>
      </c>
      <c r="O38" s="654">
        <f>+L38*M11</f>
        <v>1.8053582695328123</v>
      </c>
      <c r="P38" s="52"/>
      <c r="Q38" s="29" t="s">
        <v>31</v>
      </c>
      <c r="R38" s="29"/>
      <c r="S38" s="402">
        <v>0</v>
      </c>
      <c r="T38" s="29"/>
      <c r="U38" s="29" t="s">
        <v>31</v>
      </c>
      <c r="V38" s="141">
        <v>0</v>
      </c>
    </row>
    <row r="39" spans="1:23" s="339" customFormat="1" x14ac:dyDescent="0.25">
      <c r="A39" s="47"/>
      <c r="B39" s="653" t="s">
        <v>781</v>
      </c>
      <c r="C39" s="620" t="s">
        <v>782</v>
      </c>
      <c r="D39" s="106"/>
      <c r="E39" s="619">
        <f>+'Reference Systems'!AC85</f>
        <v>1.83</v>
      </c>
      <c r="F39" s="106"/>
      <c r="G39" s="106" t="s">
        <v>31</v>
      </c>
      <c r="H39" s="644">
        <f>+E39*H38</f>
        <v>1.0936707085706636</v>
      </c>
      <c r="I39" s="52"/>
      <c r="J39" s="620" t="s">
        <v>782</v>
      </c>
      <c r="K39" s="29"/>
      <c r="L39" s="619">
        <f>+'Reference Systems'!AC85</f>
        <v>1.83</v>
      </c>
      <c r="M39" s="29"/>
      <c r="N39" s="106" t="s">
        <v>31</v>
      </c>
      <c r="O39" s="644">
        <f>+L39*O38</f>
        <v>3.3038056332450467</v>
      </c>
      <c r="P39" s="52"/>
      <c r="Q39" s="29"/>
      <c r="R39" s="29"/>
      <c r="S39" s="402"/>
      <c r="T39" s="29"/>
      <c r="U39" s="29"/>
      <c r="V39" s="141"/>
    </row>
    <row r="40" spans="1:23" s="339" customFormat="1" x14ac:dyDescent="0.25">
      <c r="A40" s="47"/>
      <c r="B40" s="653" t="s">
        <v>780</v>
      </c>
      <c r="C40" s="620" t="s">
        <v>784</v>
      </c>
      <c r="D40" s="106"/>
      <c r="E40" s="619">
        <f>+'Reference Systems'!AC86</f>
        <v>0</v>
      </c>
      <c r="F40" s="106"/>
      <c r="G40" s="106" t="s">
        <v>31</v>
      </c>
      <c r="H40" s="644">
        <f>+E40*H37</f>
        <v>0</v>
      </c>
      <c r="I40" s="52"/>
      <c r="J40" s="620" t="s">
        <v>784</v>
      </c>
      <c r="K40" s="29"/>
      <c r="L40" s="619">
        <f>+'Reference Systems'!AC87</f>
        <v>0</v>
      </c>
      <c r="M40" s="29"/>
      <c r="N40" s="106" t="s">
        <v>31</v>
      </c>
      <c r="O40" s="644">
        <f>+L40*O37</f>
        <v>0</v>
      </c>
      <c r="P40" s="52"/>
      <c r="Q40" s="29"/>
      <c r="R40" s="29"/>
      <c r="S40" s="402"/>
      <c r="T40" s="29"/>
      <c r="U40" s="29"/>
      <c r="V40" s="141"/>
    </row>
    <row r="41" spans="1:23" x14ac:dyDescent="0.25">
      <c r="A41" s="47"/>
      <c r="B41" s="51" t="s">
        <v>83</v>
      </c>
      <c r="C41" s="29" t="s">
        <v>92</v>
      </c>
      <c r="D41" s="106">
        <v>1E-3</v>
      </c>
      <c r="E41" s="625">
        <f>+'Reference Systems'!AC54</f>
        <v>1.5E-3</v>
      </c>
      <c r="F41" s="106">
        <v>4.0000000000000001E-3</v>
      </c>
      <c r="G41" s="106" t="s">
        <v>31</v>
      </c>
      <c r="H41" s="624">
        <f>E41*F15</f>
        <v>9.0000000000000011E-3</v>
      </c>
      <c r="I41" s="52"/>
      <c r="J41" s="29" t="s">
        <v>93</v>
      </c>
      <c r="K41" s="29">
        <v>2.5000000000000001E-3</v>
      </c>
      <c r="L41" s="636">
        <f>+'Reference Systems'!AC56</f>
        <v>3.9892071051957712E-3</v>
      </c>
      <c r="M41" s="29">
        <v>0.01</v>
      </c>
      <c r="N41" s="106" t="s">
        <v>31</v>
      </c>
      <c r="O41" s="624">
        <f>L41*M15</f>
        <v>2.0999999999999998E-2</v>
      </c>
      <c r="P41" s="52"/>
      <c r="Q41" s="29" t="s">
        <v>92</v>
      </c>
      <c r="R41" s="29">
        <v>3.0000000000000001E-3</v>
      </c>
      <c r="S41" s="635">
        <f>+'Reference Systems'!AC57</f>
        <v>0.01</v>
      </c>
      <c r="T41" s="29">
        <v>0.03</v>
      </c>
      <c r="U41" s="29" t="s">
        <v>31</v>
      </c>
      <c r="V41" s="637">
        <f>S41*T15</f>
        <v>5.1324714688599997E-2</v>
      </c>
    </row>
    <row r="42" spans="1:23" x14ac:dyDescent="0.25">
      <c r="A42" s="47"/>
      <c r="B42" s="54" t="s">
        <v>76</v>
      </c>
      <c r="C42" s="29" t="s">
        <v>92</v>
      </c>
      <c r="D42" s="106"/>
      <c r="E42" s="639">
        <f>+'Reference Systems'!AC69</f>
        <v>3.2666666666666663E-5</v>
      </c>
      <c r="F42" s="124"/>
      <c r="G42" s="106" t="s">
        <v>31</v>
      </c>
      <c r="H42" s="642">
        <f>E42*F15</f>
        <v>1.9599999999999999E-4</v>
      </c>
      <c r="I42" s="52"/>
      <c r="J42" s="29" t="s">
        <v>92</v>
      </c>
      <c r="K42" s="106"/>
      <c r="L42" s="635">
        <f>+'Reference Systems'!AC70</f>
        <v>3.5000000000000004E-5</v>
      </c>
      <c r="M42" s="106"/>
      <c r="N42" s="106" t="s">
        <v>31</v>
      </c>
      <c r="O42" s="641">
        <f>+L42*M15</f>
        <v>1.8424714E-4</v>
      </c>
      <c r="P42" s="52"/>
      <c r="Q42" s="147"/>
      <c r="R42" s="29"/>
      <c r="S42" s="635">
        <f>+'Reference Systems'!AC71</f>
        <v>1E-3</v>
      </c>
      <c r="T42" s="29"/>
      <c r="U42" s="29"/>
      <c r="V42" s="643">
        <f>+S42*T15</f>
        <v>5.1324714688599999E-3</v>
      </c>
    </row>
    <row r="43" spans="1:23" x14ac:dyDescent="0.25">
      <c r="A43" s="47"/>
      <c r="B43" s="54" t="s">
        <v>77</v>
      </c>
      <c r="C43" s="29" t="s">
        <v>92</v>
      </c>
      <c r="D43" s="106"/>
      <c r="E43" s="621">
        <f>+'Reference Systems'!AC74</f>
        <v>2.0999999999999999E-3</v>
      </c>
      <c r="F43" s="106"/>
      <c r="G43" s="106" t="s">
        <v>31</v>
      </c>
      <c r="H43" s="640">
        <f>E43*F15</f>
        <v>1.26E-2</v>
      </c>
      <c r="I43" s="52"/>
      <c r="J43" s="29" t="s">
        <v>92</v>
      </c>
      <c r="K43" s="106"/>
      <c r="L43" s="636">
        <f>+'Reference Systems'!AC75</f>
        <v>2.2500000000000003E-3</v>
      </c>
      <c r="M43" s="106"/>
      <c r="N43" s="106" t="s">
        <v>31</v>
      </c>
      <c r="O43" s="644">
        <f>+L43*M15</f>
        <v>1.1844459E-2</v>
      </c>
      <c r="P43" s="52"/>
      <c r="Q43" s="29" t="s">
        <v>103</v>
      </c>
      <c r="R43" s="29"/>
      <c r="S43" s="402"/>
      <c r="T43" s="29"/>
      <c r="U43" s="29"/>
      <c r="V43" s="141"/>
    </row>
    <row r="44" spans="1:23" x14ac:dyDescent="0.25">
      <c r="A44" s="47"/>
      <c r="B44" s="51" t="s">
        <v>94</v>
      </c>
      <c r="C44" s="29" t="s">
        <v>92</v>
      </c>
      <c r="D44" s="29"/>
      <c r="E44" s="402">
        <v>0</v>
      </c>
      <c r="F44" s="29"/>
      <c r="G44" s="106"/>
      <c r="H44" s="125">
        <v>0</v>
      </c>
      <c r="I44" s="52"/>
      <c r="J44" s="29" t="s">
        <v>92</v>
      </c>
      <c r="K44" s="29"/>
      <c r="L44" s="402">
        <v>0</v>
      </c>
      <c r="M44" s="29"/>
      <c r="N44" s="106"/>
      <c r="O44" s="125">
        <v>0</v>
      </c>
      <c r="P44" s="52"/>
      <c r="Q44" s="464" t="s">
        <v>452</v>
      </c>
      <c r="R44" s="29"/>
      <c r="S44" s="649">
        <f>+'Reference Systems'!AC78</f>
        <v>0.45</v>
      </c>
      <c r="T44" s="29"/>
      <c r="U44" s="29" t="s">
        <v>31</v>
      </c>
      <c r="V44" s="637">
        <f>S44*(T15-V37-V41-V42)</f>
        <v>1.9999999656101073</v>
      </c>
      <c r="W44" s="28"/>
    </row>
    <row r="45" spans="1:23" x14ac:dyDescent="0.25">
      <c r="A45" s="47"/>
      <c r="B45" s="51" t="s">
        <v>95</v>
      </c>
      <c r="C45" s="29" t="s">
        <v>96</v>
      </c>
      <c r="D45" s="29"/>
      <c r="E45" s="402">
        <v>0</v>
      </c>
      <c r="F45" s="29"/>
      <c r="G45" s="106"/>
      <c r="H45" s="125">
        <v>0</v>
      </c>
      <c r="I45" s="52"/>
      <c r="J45" s="29" t="s">
        <v>96</v>
      </c>
      <c r="K45" s="29"/>
      <c r="L45" s="402">
        <v>0</v>
      </c>
      <c r="M45" s="29"/>
      <c r="N45" s="106"/>
      <c r="O45" s="125">
        <v>0</v>
      </c>
      <c r="P45" s="52"/>
      <c r="Q45" s="29" t="s">
        <v>96</v>
      </c>
      <c r="R45" s="29"/>
      <c r="S45" s="545">
        <v>0.1</v>
      </c>
      <c r="T45" s="29"/>
      <c r="U45" s="29" t="s">
        <v>31</v>
      </c>
      <c r="V45" s="142">
        <f>S45*T17</f>
        <v>0.12127659574468085</v>
      </c>
      <c r="W45" s="28"/>
    </row>
    <row r="46" spans="1:23" s="339" customFormat="1" x14ac:dyDescent="0.25">
      <c r="A46" s="47"/>
      <c r="B46" s="653" t="s">
        <v>785</v>
      </c>
      <c r="C46" s="29"/>
      <c r="D46" s="29"/>
      <c r="E46" s="124"/>
      <c r="F46" s="29"/>
      <c r="G46" s="106" t="s">
        <v>31</v>
      </c>
      <c r="H46" s="650">
        <f>+H38*12/16</f>
        <v>0.44822570023387848</v>
      </c>
      <c r="I46" s="52"/>
      <c r="J46" s="29"/>
      <c r="K46" s="29"/>
      <c r="L46" s="29"/>
      <c r="M46" s="29"/>
      <c r="N46" s="106" t="s">
        <v>31</v>
      </c>
      <c r="O46" s="650">
        <f>+O38*12/16</f>
        <v>1.3540187021496093</v>
      </c>
      <c r="P46" s="52"/>
      <c r="Q46" s="29"/>
      <c r="R46" s="29"/>
      <c r="S46" s="402"/>
      <c r="T46" s="29"/>
      <c r="U46" s="29"/>
      <c r="V46" s="141"/>
      <c r="W46" s="340"/>
    </row>
    <row r="47" spans="1:23" s="339" customFormat="1" x14ac:dyDescent="0.25">
      <c r="A47" s="47"/>
      <c r="B47" s="653" t="s">
        <v>786</v>
      </c>
      <c r="C47" s="29"/>
      <c r="D47" s="29"/>
      <c r="E47" s="124"/>
      <c r="F47" s="29"/>
      <c r="G47" s="106" t="s">
        <v>31</v>
      </c>
      <c r="H47" s="650">
        <f>+(H39+H40)*12/(12+16+16)</f>
        <v>0.29827382961018095</v>
      </c>
      <c r="I47" s="52"/>
      <c r="J47" s="29"/>
      <c r="K47" s="29"/>
      <c r="L47" s="29"/>
      <c r="M47" s="29"/>
      <c r="N47" s="106" t="s">
        <v>31</v>
      </c>
      <c r="O47" s="650">
        <f>+(O39+O40)*12/(12+16+16)</f>
        <v>0.90103789997592187</v>
      </c>
      <c r="P47" s="52"/>
      <c r="Q47" s="29"/>
      <c r="R47" s="29"/>
      <c r="S47" s="402"/>
      <c r="T47" s="29"/>
      <c r="U47" s="29"/>
      <c r="V47" s="141"/>
      <c r="W47" s="340"/>
    </row>
    <row r="48" spans="1:23" s="339" customFormat="1" x14ac:dyDescent="0.25">
      <c r="A48" s="47"/>
      <c r="B48" s="653" t="s">
        <v>84</v>
      </c>
      <c r="C48" s="29"/>
      <c r="D48" s="29"/>
      <c r="E48" s="124"/>
      <c r="F48" s="651"/>
      <c r="G48" s="106" t="s">
        <v>31</v>
      </c>
      <c r="H48" s="650">
        <f>+H47+H46</f>
        <v>0.74649952984405943</v>
      </c>
      <c r="I48" s="52"/>
      <c r="J48" s="29"/>
      <c r="K48" s="29"/>
      <c r="L48" s="29"/>
      <c r="M48" s="29"/>
      <c r="N48" s="106" t="s">
        <v>31</v>
      </c>
      <c r="O48" s="650">
        <f>+O47+O46</f>
        <v>2.2550566021255314</v>
      </c>
      <c r="P48" s="52"/>
      <c r="Q48" s="29"/>
      <c r="R48" s="29"/>
      <c r="S48" s="402"/>
      <c r="T48" s="29"/>
      <c r="U48" s="29"/>
      <c r="V48" s="141"/>
      <c r="W48" s="340"/>
    </row>
    <row r="49" spans="1:23" s="339" customFormat="1" x14ac:dyDescent="0.25">
      <c r="A49" s="47"/>
      <c r="B49" s="653" t="s">
        <v>787</v>
      </c>
      <c r="C49" s="29"/>
      <c r="D49" s="29"/>
      <c r="E49" s="124"/>
      <c r="F49" s="651"/>
      <c r="G49" s="106" t="s">
        <v>31</v>
      </c>
      <c r="H49" s="650">
        <f>+H48+H37+H41+H42+H43</f>
        <v>1.4822955298440592</v>
      </c>
      <c r="I49" s="52"/>
      <c r="J49" s="29"/>
      <c r="K49" s="29"/>
      <c r="L49" s="29"/>
      <c r="M49" s="29"/>
      <c r="N49" s="106" t="s">
        <v>31</v>
      </c>
      <c r="O49" s="650">
        <f>+O48+O37+O41+O42+O43</f>
        <v>2.3867891332655313</v>
      </c>
      <c r="P49" s="52"/>
      <c r="Q49" s="29"/>
      <c r="R49" s="29"/>
      <c r="S49" s="402"/>
      <c r="T49" s="29"/>
      <c r="U49" s="29"/>
      <c r="V49" s="141"/>
      <c r="W49" s="340"/>
    </row>
    <row r="50" spans="1:23" x14ac:dyDescent="0.25">
      <c r="A50" s="47"/>
      <c r="B50" s="54" t="s">
        <v>99</v>
      </c>
      <c r="C50" s="29" t="s">
        <v>101</v>
      </c>
      <c r="D50" s="29"/>
      <c r="E50" s="891">
        <f>+'Reference Systems'!AC82</f>
        <v>0.01</v>
      </c>
      <c r="F50" s="44"/>
      <c r="G50" s="44"/>
      <c r="H50" s="647">
        <f>E50*(H37+H42)</f>
        <v>7.1419599999999993E-3</v>
      </c>
      <c r="I50" s="2"/>
      <c r="J50" s="29" t="s">
        <v>101</v>
      </c>
      <c r="K50" s="44"/>
      <c r="L50" s="645">
        <f>+'Reference Systems'!AC82</f>
        <v>0.01</v>
      </c>
      <c r="M50" s="44"/>
      <c r="N50" s="106" t="s">
        <v>31</v>
      </c>
      <c r="O50" s="665">
        <f>L50*(O37+O42)</f>
        <v>9.8888072139999999E-4</v>
      </c>
      <c r="P50" s="2"/>
      <c r="Q50" s="29" t="s">
        <v>101</v>
      </c>
      <c r="R50" s="44"/>
      <c r="S50" s="635">
        <f>+'Reference Systems'!AC82</f>
        <v>0.01</v>
      </c>
      <c r="T50" s="44"/>
      <c r="U50" s="29" t="s">
        <v>31</v>
      </c>
      <c r="V50" s="648">
        <f>S50*(V37+V42)</f>
        <v>6.3670238614893905E-3</v>
      </c>
      <c r="W50" s="28"/>
    </row>
    <row r="51" spans="1:23" x14ac:dyDescent="0.25">
      <c r="A51" s="47"/>
      <c r="B51" s="54" t="s">
        <v>100</v>
      </c>
      <c r="C51" s="29" t="s">
        <v>102</v>
      </c>
      <c r="D51" s="44"/>
      <c r="E51" s="403"/>
      <c r="F51" s="44"/>
      <c r="G51" s="44"/>
      <c r="H51" s="44"/>
      <c r="I51" s="2"/>
      <c r="J51" s="29" t="s">
        <v>102</v>
      </c>
      <c r="K51" s="44"/>
      <c r="L51" s="403"/>
      <c r="M51" s="44"/>
      <c r="N51" s="138"/>
      <c r="O51" s="44"/>
      <c r="P51" s="2"/>
      <c r="Q51" s="29" t="s">
        <v>102</v>
      </c>
      <c r="R51" s="44"/>
      <c r="S51" s="635">
        <f>+'Reference Systems'!AC83</f>
        <v>7.4999999999999997E-3</v>
      </c>
      <c r="T51" s="44"/>
      <c r="U51" s="29" t="s">
        <v>31</v>
      </c>
      <c r="V51" s="648">
        <f>S51*V44</f>
        <v>1.4999999742075804E-2</v>
      </c>
      <c r="W51" s="28"/>
    </row>
    <row r="52" spans="1:23" s="26" customFormat="1" ht="15.75" thickBot="1" x14ac:dyDescent="0.3">
      <c r="A52" s="126"/>
      <c r="B52" s="127" t="s">
        <v>270</v>
      </c>
      <c r="C52" s="128"/>
      <c r="D52" s="129"/>
      <c r="E52" s="130"/>
      <c r="F52" s="129"/>
      <c r="G52" s="131" t="s">
        <v>31</v>
      </c>
      <c r="H52" s="132">
        <f>H38*23+H41*44/28*296+H50*44/28*296</f>
        <v>21.253905534791318</v>
      </c>
      <c r="I52" s="133"/>
      <c r="J52" s="139"/>
      <c r="K52" s="129"/>
      <c r="L52" s="130"/>
      <c r="M52" s="129"/>
      <c r="N52" s="131" t="s">
        <v>31</v>
      </c>
      <c r="O52" s="132">
        <f>O38*23+O41*44/28*296+O50*44/28*296</f>
        <v>51.751211003380163</v>
      </c>
      <c r="P52" s="133"/>
      <c r="Q52" s="139"/>
      <c r="R52" s="129"/>
      <c r="S52" s="130"/>
      <c r="T52" s="129"/>
      <c r="U52" s="145" t="s">
        <v>31</v>
      </c>
      <c r="V52" s="146">
        <f>V38*23+V41*44/28*296+(V50+V51)*44/28*296</f>
        <v>33.812042839898552</v>
      </c>
      <c r="W52" s="28"/>
    </row>
    <row r="53" spans="1:23" ht="15.75" thickBot="1" x14ac:dyDescent="0.3">
      <c r="A53" s="28"/>
      <c r="B53" s="28"/>
      <c r="C53" s="28"/>
      <c r="D53" s="28"/>
      <c r="E53" s="28"/>
      <c r="F53" s="28"/>
      <c r="G53" s="28"/>
      <c r="H53" s="28"/>
      <c r="I53" s="28"/>
      <c r="J53" s="28"/>
      <c r="K53" s="28"/>
      <c r="L53" s="28"/>
      <c r="M53" s="28"/>
      <c r="N53" s="28"/>
      <c r="O53" s="28"/>
      <c r="P53" s="28"/>
      <c r="Q53" s="28"/>
      <c r="R53" s="28"/>
      <c r="S53" s="28"/>
      <c r="T53" s="28"/>
      <c r="U53" s="28"/>
      <c r="V53" s="28"/>
    </row>
    <row r="54" spans="1:23" ht="15.75" x14ac:dyDescent="0.25">
      <c r="A54" s="20"/>
      <c r="B54" s="148" t="s">
        <v>304</v>
      </c>
      <c r="C54" s="48"/>
      <c r="D54" s="48"/>
      <c r="E54" s="48"/>
      <c r="F54" s="48"/>
      <c r="G54" s="48"/>
      <c r="H54" s="48"/>
      <c r="I54" s="48"/>
      <c r="J54" s="48"/>
      <c r="K54" s="48"/>
      <c r="L54" s="48"/>
      <c r="M54" s="48"/>
      <c r="N54" s="48"/>
      <c r="O54" s="48"/>
      <c r="P54" s="48"/>
      <c r="Q54" s="149" t="s">
        <v>277</v>
      </c>
      <c r="R54" s="48"/>
      <c r="S54" s="48"/>
      <c r="T54" s="150" t="s">
        <v>279</v>
      </c>
      <c r="U54" s="48"/>
      <c r="V54" s="49"/>
    </row>
    <row r="55" spans="1:23" s="26" customFormat="1" ht="15.75" x14ac:dyDescent="0.25">
      <c r="A55" s="47"/>
      <c r="B55" s="86"/>
      <c r="C55" s="28"/>
      <c r="D55" s="28"/>
      <c r="E55" s="28"/>
      <c r="F55" s="28"/>
      <c r="G55" s="28"/>
      <c r="H55" s="28"/>
      <c r="I55" s="28"/>
      <c r="J55" s="28"/>
      <c r="K55" s="28"/>
      <c r="L55" s="28"/>
      <c r="M55" s="28"/>
      <c r="N55" s="28"/>
      <c r="O55" s="28"/>
      <c r="P55" s="28"/>
      <c r="Q55" s="79"/>
      <c r="R55" s="28"/>
      <c r="S55" s="28"/>
      <c r="T55" s="80"/>
      <c r="U55" s="28"/>
      <c r="V55" s="43"/>
    </row>
    <row r="56" spans="1:23" x14ac:dyDescent="0.25">
      <c r="A56" s="47"/>
      <c r="B56" s="79" t="s">
        <v>266</v>
      </c>
      <c r="C56" s="28"/>
      <c r="D56" s="28"/>
      <c r="E56" s="28"/>
      <c r="F56" s="28"/>
      <c r="G56" s="28"/>
      <c r="H56" s="892"/>
      <c r="I56" s="28"/>
      <c r="J56" s="28"/>
      <c r="K56" s="28"/>
      <c r="L56" s="28"/>
      <c r="M56" s="28"/>
      <c r="N56" s="28"/>
      <c r="O56" s="28"/>
      <c r="P56" s="28"/>
      <c r="Q56" s="33" t="s">
        <v>276</v>
      </c>
      <c r="R56" s="428">
        <f>-T15*0.75</f>
        <v>-3.8493536016449994</v>
      </c>
      <c r="S56" s="33"/>
      <c r="T56" s="33"/>
      <c r="U56" s="33"/>
      <c r="V56" s="117"/>
    </row>
    <row r="57" spans="1:23" s="26" customFormat="1" x14ac:dyDescent="0.25">
      <c r="A57" s="47"/>
      <c r="B57" s="29" t="s">
        <v>81</v>
      </c>
      <c r="C57" s="28"/>
      <c r="D57" s="28"/>
      <c r="E57" s="28"/>
      <c r="F57" s="28"/>
      <c r="G57" s="28"/>
      <c r="H57" s="893"/>
      <c r="I57" s="28"/>
      <c r="J57" s="28"/>
      <c r="K57" s="28"/>
      <c r="L57" s="28"/>
      <c r="M57" s="28"/>
      <c r="N57" s="28"/>
      <c r="O57" s="28"/>
      <c r="P57" s="28"/>
      <c r="Q57" s="33" t="s">
        <v>310</v>
      </c>
      <c r="R57" s="151">
        <f>R56*'Background data'!P258*14/17</f>
        <v>-2.8238037773903806E-2</v>
      </c>
      <c r="S57" s="33"/>
      <c r="T57" s="33"/>
      <c r="U57" s="33"/>
      <c r="V57" s="117"/>
    </row>
    <row r="58" spans="1:23" x14ac:dyDescent="0.25">
      <c r="A58" s="47"/>
      <c r="B58" s="29" t="s">
        <v>267</v>
      </c>
      <c r="C58" s="28"/>
      <c r="D58" s="28"/>
      <c r="E58" s="28"/>
      <c r="F58" s="28"/>
      <c r="G58" s="28"/>
      <c r="H58" s="893"/>
      <c r="I58" s="28"/>
      <c r="J58" s="28"/>
      <c r="K58" s="28"/>
      <c r="L58" s="28"/>
      <c r="M58" s="28"/>
      <c r="N58" s="28"/>
      <c r="O58" s="28"/>
      <c r="P58" s="28"/>
      <c r="Q58" s="33" t="s">
        <v>273</v>
      </c>
      <c r="R58" s="151">
        <f>'Background data'!H263*R56</f>
        <v>-11.561321058221944</v>
      </c>
      <c r="S58" s="33"/>
      <c r="T58" s="151">
        <f>R58*1</f>
        <v>-11.561321058221944</v>
      </c>
      <c r="U58" s="33" t="s">
        <v>269</v>
      </c>
      <c r="V58" s="117"/>
    </row>
    <row r="59" spans="1:23" x14ac:dyDescent="0.25">
      <c r="A59" s="47"/>
      <c r="B59" s="29" t="s">
        <v>268</v>
      </c>
      <c r="C59" s="33"/>
      <c r="D59" s="28"/>
      <c r="E59" s="28"/>
      <c r="F59" s="28"/>
      <c r="G59" s="28"/>
      <c r="H59" s="28"/>
      <c r="I59" s="28"/>
      <c r="J59" s="28"/>
      <c r="K59" s="28"/>
      <c r="L59" s="28"/>
      <c r="M59" s="28"/>
      <c r="N59" s="28"/>
      <c r="O59" s="28"/>
      <c r="P59" s="28"/>
      <c r="Q59" s="33" t="s">
        <v>274</v>
      </c>
      <c r="R59" s="152">
        <f>'Background data'!H262*R56</f>
        <v>-5.3894062417343749E-2</v>
      </c>
      <c r="S59" s="33"/>
      <c r="T59" s="151">
        <f>R59*296</f>
        <v>-15.95264247553375</v>
      </c>
      <c r="U59" s="33" t="s">
        <v>269</v>
      </c>
      <c r="V59" s="117"/>
    </row>
    <row r="60" spans="1:23" x14ac:dyDescent="0.25">
      <c r="A60" s="47"/>
      <c r="B60" s="29" t="s">
        <v>82</v>
      </c>
      <c r="C60" s="33"/>
      <c r="D60" s="28"/>
      <c r="E60" s="28"/>
      <c r="F60" s="28"/>
      <c r="G60" s="28"/>
      <c r="H60" s="28"/>
      <c r="I60" s="28"/>
      <c r="J60" s="28"/>
      <c r="K60" s="28"/>
      <c r="L60" s="28"/>
      <c r="M60" s="28"/>
      <c r="N60" s="28"/>
      <c r="O60" s="28"/>
      <c r="P60" s="28"/>
      <c r="Q60" s="33" t="s">
        <v>275</v>
      </c>
      <c r="R60" s="33">
        <f>'Background data'!H264*R56</f>
        <v>-2.4680189194066941E-2</v>
      </c>
      <c r="S60" s="33"/>
      <c r="T60" s="151">
        <f>R60*23</f>
        <v>-0.56764435146353964</v>
      </c>
      <c r="U60" s="33" t="s">
        <v>269</v>
      </c>
      <c r="V60" s="117"/>
    </row>
    <row r="61" spans="1:23" ht="18.75" thickBot="1" x14ac:dyDescent="0.4">
      <c r="A61" s="126"/>
      <c r="B61" s="128" t="s">
        <v>270</v>
      </c>
      <c r="C61" s="153"/>
      <c r="D61" s="133"/>
      <c r="E61" s="133"/>
      <c r="F61" s="133"/>
      <c r="G61" s="133"/>
      <c r="H61" s="133"/>
      <c r="I61" s="133"/>
      <c r="J61" s="133"/>
      <c r="K61" s="133"/>
      <c r="L61" s="133"/>
      <c r="M61" s="133"/>
      <c r="N61" s="133"/>
      <c r="O61" s="133"/>
      <c r="P61" s="133"/>
      <c r="Q61" s="133" t="s">
        <v>278</v>
      </c>
      <c r="R61" s="133"/>
      <c r="S61" s="154"/>
      <c r="T61" s="155">
        <f>SUM(T58:T60)</f>
        <v>-28.081607885219231</v>
      </c>
      <c r="U61" s="153" t="s">
        <v>269</v>
      </c>
      <c r="V61" s="156"/>
    </row>
    <row r="62" spans="1:23" x14ac:dyDescent="0.25">
      <c r="B62" s="79"/>
      <c r="C62" s="27"/>
      <c r="V62" s="27"/>
    </row>
    <row r="63" spans="1:23" ht="19.5" thickBot="1" x14ac:dyDescent="0.4">
      <c r="B63" s="179" t="s">
        <v>316</v>
      </c>
      <c r="C63" s="180"/>
      <c r="D63" s="181"/>
      <c r="E63" s="181"/>
      <c r="F63" s="181"/>
      <c r="G63" s="181"/>
      <c r="H63" s="181"/>
      <c r="I63" s="26"/>
      <c r="J63" s="179" t="s">
        <v>317</v>
      </c>
      <c r="K63" s="180"/>
      <c r="L63" s="181"/>
      <c r="M63" s="181"/>
      <c r="N63" s="181"/>
      <c r="O63" s="181"/>
      <c r="P63" s="181"/>
      <c r="Q63" s="26"/>
      <c r="V63" s="27"/>
    </row>
    <row r="64" spans="1:23" ht="21.75" thickTop="1" thickBot="1" x14ac:dyDescent="0.4">
      <c r="A64" s="193"/>
      <c r="B64" s="208" t="s">
        <v>305</v>
      </c>
      <c r="C64" s="209"/>
      <c r="D64" s="209" t="s">
        <v>2</v>
      </c>
      <c r="E64" s="210" t="s">
        <v>24</v>
      </c>
      <c r="F64" s="211" t="s">
        <v>282</v>
      </c>
      <c r="G64" s="211" t="s">
        <v>281</v>
      </c>
      <c r="H64" s="212" t="s">
        <v>283</v>
      </c>
      <c r="I64" s="193"/>
      <c r="J64" s="208" t="s">
        <v>305</v>
      </c>
      <c r="K64" s="209"/>
      <c r="L64" s="209" t="s">
        <v>2</v>
      </c>
      <c r="M64" s="210" t="s">
        <v>24</v>
      </c>
      <c r="N64" s="211" t="s">
        <v>282</v>
      </c>
      <c r="O64" s="211" t="s">
        <v>281</v>
      </c>
      <c r="P64" s="212" t="s">
        <v>283</v>
      </c>
      <c r="Q64" s="26"/>
      <c r="V64" s="27"/>
    </row>
    <row r="65" spans="1:22" x14ac:dyDescent="0.25">
      <c r="A65" s="193"/>
      <c r="B65" s="191" t="s">
        <v>914</v>
      </c>
      <c r="C65" s="171"/>
      <c r="D65" s="171" t="s">
        <v>31</v>
      </c>
      <c r="E65" s="205">
        <f>$F$27</f>
        <v>2.9122922164393443E-4</v>
      </c>
      <c r="F65" s="206">
        <f>$L$27</f>
        <v>9.4806312769010032E-5</v>
      </c>
      <c r="G65" s="171"/>
      <c r="H65" s="207">
        <f>SUM(E65:G65)</f>
        <v>3.8603553441294447E-4</v>
      </c>
      <c r="I65" s="193"/>
      <c r="J65" s="191" t="s">
        <v>292</v>
      </c>
      <c r="K65" s="171"/>
      <c r="L65" s="171" t="s">
        <v>31</v>
      </c>
      <c r="M65" s="205">
        <f>$F$27</f>
        <v>2.9122922164393443E-4</v>
      </c>
      <c r="N65" s="206">
        <f>$L$27</f>
        <v>9.4806312769010032E-5</v>
      </c>
      <c r="O65" s="171"/>
      <c r="P65" s="207">
        <f>SUM(M65:O65)</f>
        <v>3.8603553441294447E-4</v>
      </c>
      <c r="Q65" s="26"/>
      <c r="V65" s="27"/>
    </row>
    <row r="66" spans="1:22" x14ac:dyDescent="0.25">
      <c r="A66" s="193"/>
      <c r="B66" s="188" t="s">
        <v>913</v>
      </c>
      <c r="C66" s="90"/>
      <c r="D66" s="90" t="s">
        <v>31</v>
      </c>
      <c r="E66" s="93">
        <f>$H$37</f>
        <v>0.71399999999999997</v>
      </c>
      <c r="F66" s="93">
        <f>$O$37</f>
        <v>9.8703825000000009E-2</v>
      </c>
      <c r="G66" s="93">
        <f>$V$37</f>
        <v>0.63156991468007906</v>
      </c>
      <c r="H66" s="194">
        <f>SUM(E66:G66)</f>
        <v>1.4442737396800789</v>
      </c>
      <c r="I66" s="193"/>
      <c r="J66" s="188" t="s">
        <v>306</v>
      </c>
      <c r="K66" s="90"/>
      <c r="L66" s="90" t="s">
        <v>31</v>
      </c>
      <c r="M66" s="93">
        <f>$H$37</f>
        <v>0.71399999999999997</v>
      </c>
      <c r="N66" s="93">
        <f>$O$37</f>
        <v>9.8703825000000009E-2</v>
      </c>
      <c r="O66" s="93">
        <f>$V$37</f>
        <v>0.63156991468007906</v>
      </c>
      <c r="P66" s="194">
        <f>SUM(M66:O66)</f>
        <v>1.4442737396800789</v>
      </c>
      <c r="Q66" s="26"/>
      <c r="V66" s="27"/>
    </row>
    <row r="67" spans="1:22" ht="15.75" thickBot="1" x14ac:dyDescent="0.3">
      <c r="A67" s="193"/>
      <c r="B67" s="189" t="s">
        <v>304</v>
      </c>
      <c r="C67" s="172"/>
      <c r="D67" s="172" t="s">
        <v>31</v>
      </c>
      <c r="E67" s="178"/>
      <c r="F67" s="172"/>
      <c r="G67" s="177">
        <f>$R$57</f>
        <v>-2.8238037773903806E-2</v>
      </c>
      <c r="H67" s="195">
        <f>SUM(E67:G67)</f>
        <v>-2.8238037773903806E-2</v>
      </c>
      <c r="I67" s="193"/>
      <c r="J67" s="189" t="s">
        <v>304</v>
      </c>
      <c r="K67" s="172"/>
      <c r="L67" s="172" t="s">
        <v>31</v>
      </c>
      <c r="M67" s="178"/>
      <c r="N67" s="172"/>
      <c r="O67" s="177">
        <f>$R$57</f>
        <v>-2.8238037773903806E-2</v>
      </c>
      <c r="P67" s="195">
        <f>SUM(M67:O67)</f>
        <v>-2.8238037773903806E-2</v>
      </c>
      <c r="Q67" s="26"/>
      <c r="V67" s="27"/>
    </row>
    <row r="68" spans="1:22" ht="18.75" thickBot="1" x14ac:dyDescent="0.4">
      <c r="A68" s="193"/>
      <c r="B68" s="190" t="s">
        <v>311</v>
      </c>
      <c r="C68" s="182"/>
      <c r="D68" s="182" t="s">
        <v>31</v>
      </c>
      <c r="E68" s="219">
        <f>SUM(E65:E67)</f>
        <v>0.7142912292216439</v>
      </c>
      <c r="F68" s="219">
        <f>SUM(F65:F67)</f>
        <v>9.8798631312769017E-2</v>
      </c>
      <c r="G68" s="219">
        <f>SUM(G65:G67)</f>
        <v>0.60333187690617529</v>
      </c>
      <c r="H68" s="220">
        <f>SUM(H65:H67)</f>
        <v>1.4164217374405881</v>
      </c>
      <c r="I68" s="193"/>
      <c r="J68" s="190" t="s">
        <v>311</v>
      </c>
      <c r="K68" s="182"/>
      <c r="L68" s="182" t="s">
        <v>31</v>
      </c>
      <c r="M68" s="219">
        <f>SUM(M65:M67)</f>
        <v>0.7142912292216439</v>
      </c>
      <c r="N68" s="219">
        <f>SUM(N65:N67)</f>
        <v>9.8798631312769017E-2</v>
      </c>
      <c r="O68" s="219">
        <f>SUM(O65:O67)</f>
        <v>0.60333187690617529</v>
      </c>
      <c r="P68" s="220">
        <f>SUM(P65:P67)</f>
        <v>1.4164217374405881</v>
      </c>
      <c r="Q68" s="26"/>
      <c r="V68" s="27"/>
    </row>
    <row r="69" spans="1:22" ht="21.75" thickTop="1" thickBot="1" x14ac:dyDescent="0.4">
      <c r="A69" s="193"/>
      <c r="B69" s="208" t="s">
        <v>307</v>
      </c>
      <c r="C69" s="209"/>
      <c r="D69" s="209" t="s">
        <v>2</v>
      </c>
      <c r="E69" s="213" t="s">
        <v>24</v>
      </c>
      <c r="F69" s="211" t="s">
        <v>282</v>
      </c>
      <c r="G69" s="211" t="s">
        <v>281</v>
      </c>
      <c r="H69" s="212" t="s">
        <v>283</v>
      </c>
      <c r="I69" s="193"/>
      <c r="J69" s="208" t="s">
        <v>307</v>
      </c>
      <c r="K69" s="209"/>
      <c r="L69" s="209" t="s">
        <v>2</v>
      </c>
      <c r="M69" s="213" t="s">
        <v>24</v>
      </c>
      <c r="N69" s="211" t="s">
        <v>282</v>
      </c>
      <c r="O69" s="211" t="s">
        <v>281</v>
      </c>
      <c r="P69" s="212" t="s">
        <v>283</v>
      </c>
      <c r="Q69" s="26"/>
      <c r="V69" s="27"/>
    </row>
    <row r="70" spans="1:22" x14ac:dyDescent="0.25">
      <c r="A70" s="193"/>
      <c r="B70" s="191" t="s">
        <v>292</v>
      </c>
      <c r="C70" s="171" t="s">
        <v>436</v>
      </c>
      <c r="D70" s="171" t="s">
        <v>31</v>
      </c>
      <c r="E70" s="867"/>
      <c r="F70" s="183"/>
      <c r="G70" s="183"/>
      <c r="H70" s="196">
        <f>SUM(E70:G70)</f>
        <v>0</v>
      </c>
      <c r="I70" s="193"/>
      <c r="J70" s="191" t="s">
        <v>292</v>
      </c>
      <c r="K70" s="171" t="s">
        <v>293</v>
      </c>
      <c r="L70" s="171" t="s">
        <v>31</v>
      </c>
      <c r="M70" s="183"/>
      <c r="N70" s="183"/>
      <c r="O70" s="183"/>
      <c r="P70" s="196"/>
      <c r="Q70" s="26"/>
      <c r="V70" s="27"/>
    </row>
    <row r="71" spans="1:22" s="339" customFormat="1" x14ac:dyDescent="0.25">
      <c r="A71" s="193"/>
      <c r="B71" s="191"/>
      <c r="C71" s="171" t="s">
        <v>437</v>
      </c>
      <c r="D71" s="171" t="s">
        <v>31</v>
      </c>
      <c r="E71" s="867"/>
      <c r="F71" s="183"/>
      <c r="G71" s="183"/>
      <c r="H71" s="196">
        <f>SUM(E71:G71)</f>
        <v>0</v>
      </c>
      <c r="I71" s="193"/>
      <c r="J71" s="191"/>
      <c r="K71" s="171"/>
      <c r="L71" s="171"/>
      <c r="M71" s="183"/>
      <c r="N71" s="183"/>
      <c r="O71" s="183"/>
      <c r="P71" s="196"/>
      <c r="V71" s="341"/>
    </row>
    <row r="72" spans="1:22" s="26" customFormat="1" x14ac:dyDescent="0.25">
      <c r="A72" s="193"/>
      <c r="B72" s="188"/>
      <c r="C72" s="90" t="s">
        <v>285</v>
      </c>
      <c r="D72" s="90" t="s">
        <v>31</v>
      </c>
      <c r="E72" s="92">
        <f>$F$33</f>
        <v>15.002332192391304</v>
      </c>
      <c r="F72" s="92">
        <f>$L$33</f>
        <v>4.8838361413999989</v>
      </c>
      <c r="G72" s="92"/>
      <c r="H72" s="197">
        <f t="shared" ref="H72:H80" si="0">SUM(E72:G72)</f>
        <v>19.886168333791304</v>
      </c>
      <c r="I72" s="193"/>
      <c r="J72" s="188"/>
      <c r="K72" s="90" t="s">
        <v>285</v>
      </c>
      <c r="L72" s="90" t="s">
        <v>31</v>
      </c>
      <c r="M72" s="92">
        <f>$F$33</f>
        <v>15.002332192391304</v>
      </c>
      <c r="N72" s="92">
        <f>$L$33</f>
        <v>4.8838361413999989</v>
      </c>
      <c r="O72" s="92"/>
      <c r="P72" s="197">
        <f t="shared" ref="P72:P80" si="1">SUM(M72:O72)</f>
        <v>19.886168333791304</v>
      </c>
      <c r="V72" s="27"/>
    </row>
    <row r="73" spans="1:22" s="26" customFormat="1" x14ac:dyDescent="0.25">
      <c r="A73" s="193"/>
      <c r="B73" s="188"/>
      <c r="C73" s="90" t="s">
        <v>287</v>
      </c>
      <c r="D73" s="90" t="s">
        <v>31</v>
      </c>
      <c r="E73" s="92">
        <f>$H$33</f>
        <v>9.1274706714130431</v>
      </c>
      <c r="F73" s="92"/>
      <c r="G73" s="92"/>
      <c r="H73" s="197">
        <f t="shared" si="0"/>
        <v>9.1274706714130431</v>
      </c>
      <c r="I73" s="193"/>
      <c r="J73" s="188"/>
      <c r="K73" s="90" t="s">
        <v>287</v>
      </c>
      <c r="L73" s="90" t="s">
        <v>31</v>
      </c>
      <c r="M73" s="92">
        <f>$H$33</f>
        <v>9.1274706714130431</v>
      </c>
      <c r="N73" s="92"/>
      <c r="O73" s="92"/>
      <c r="P73" s="197">
        <f t="shared" si="1"/>
        <v>9.1274706714130431</v>
      </c>
      <c r="V73" s="27"/>
    </row>
    <row r="74" spans="1:22" s="26" customFormat="1" x14ac:dyDescent="0.25">
      <c r="A74" s="193"/>
      <c r="B74" s="261"/>
      <c r="C74" s="90" t="s">
        <v>309</v>
      </c>
      <c r="D74" s="90" t="s">
        <v>31</v>
      </c>
      <c r="E74" s="91"/>
      <c r="F74" s="90"/>
      <c r="G74" s="90"/>
      <c r="H74" s="197">
        <f t="shared" si="0"/>
        <v>0</v>
      </c>
      <c r="I74" s="193"/>
      <c r="J74" s="261"/>
      <c r="K74" s="90" t="s">
        <v>309</v>
      </c>
      <c r="L74" s="90" t="s">
        <v>31</v>
      </c>
      <c r="M74" s="91"/>
      <c r="N74" s="90"/>
      <c r="O74" s="90"/>
      <c r="P74" s="197">
        <f t="shared" si="1"/>
        <v>0</v>
      </c>
      <c r="V74" s="27"/>
    </row>
    <row r="75" spans="1:22" s="26" customFormat="1" ht="15.75" thickBot="1" x14ac:dyDescent="0.3">
      <c r="A75" s="193"/>
      <c r="B75" s="452"/>
      <c r="C75" s="453" t="s">
        <v>327</v>
      </c>
      <c r="D75" s="173" t="s">
        <v>31</v>
      </c>
      <c r="E75" s="458"/>
      <c r="F75" s="453"/>
      <c r="G75" s="459">
        <f>S33</f>
        <v>0.8231292517006803</v>
      </c>
      <c r="H75" s="460">
        <f t="shared" si="0"/>
        <v>0.8231292517006803</v>
      </c>
      <c r="I75" s="193"/>
      <c r="J75" s="452"/>
      <c r="K75" s="453" t="s">
        <v>327</v>
      </c>
      <c r="L75" s="173" t="s">
        <v>31</v>
      </c>
      <c r="M75" s="458"/>
      <c r="N75" s="453"/>
      <c r="O75" s="459">
        <f>S33</f>
        <v>0.8231292517006803</v>
      </c>
      <c r="P75" s="460">
        <f t="shared" si="1"/>
        <v>0.8231292517006803</v>
      </c>
      <c r="V75" s="27"/>
    </row>
    <row r="76" spans="1:22" ht="15.75" thickBot="1" x14ac:dyDescent="0.3">
      <c r="A76" s="340"/>
      <c r="B76" s="449" t="s">
        <v>315</v>
      </c>
      <c r="C76" s="237"/>
      <c r="D76" s="237" t="s">
        <v>31</v>
      </c>
      <c r="E76" s="450">
        <f>$H$52</f>
        <v>21.253905534791318</v>
      </c>
      <c r="F76" s="450">
        <f>$O$52</f>
        <v>51.751211003380163</v>
      </c>
      <c r="G76" s="450">
        <f>$V$52</f>
        <v>33.812042839898552</v>
      </c>
      <c r="H76" s="451">
        <f>SUM(E76:G76)</f>
        <v>106.81715937807003</v>
      </c>
      <c r="I76" s="340"/>
      <c r="J76" s="449" t="s">
        <v>315</v>
      </c>
      <c r="K76" s="237"/>
      <c r="L76" s="237" t="s">
        <v>31</v>
      </c>
      <c r="M76" s="450">
        <f>$H$52</f>
        <v>21.253905534791318</v>
      </c>
      <c r="N76" s="450">
        <f>$O$52</f>
        <v>51.751211003380163</v>
      </c>
      <c r="O76" s="450">
        <f>$V$52</f>
        <v>33.812042839898552</v>
      </c>
      <c r="P76" s="451">
        <f>SUM(M76:O76)</f>
        <v>106.81715937807003</v>
      </c>
      <c r="Q76" s="26"/>
      <c r="V76" s="27"/>
    </row>
    <row r="77" spans="1:22" s="26" customFormat="1" x14ac:dyDescent="0.25">
      <c r="A77" s="193"/>
      <c r="B77" s="191" t="s">
        <v>304</v>
      </c>
      <c r="C77" s="171" t="s">
        <v>313</v>
      </c>
      <c r="D77" s="171" t="s">
        <v>31</v>
      </c>
      <c r="E77" s="183"/>
      <c r="F77" s="183"/>
      <c r="G77" s="202"/>
      <c r="H77" s="197">
        <f t="shared" si="0"/>
        <v>0</v>
      </c>
      <c r="I77" s="193"/>
      <c r="J77" s="191" t="s">
        <v>304</v>
      </c>
      <c r="K77" s="171" t="s">
        <v>313</v>
      </c>
      <c r="L77" s="171" t="s">
        <v>31</v>
      </c>
      <c r="M77" s="183"/>
      <c r="N77" s="183"/>
      <c r="O77" s="202"/>
      <c r="P77" s="197">
        <f t="shared" si="1"/>
        <v>0</v>
      </c>
      <c r="V77" s="27"/>
    </row>
    <row r="78" spans="1:22" s="26" customFormat="1" x14ac:dyDescent="0.25">
      <c r="A78" s="193"/>
      <c r="B78" s="188"/>
      <c r="C78" s="90" t="s">
        <v>285</v>
      </c>
      <c r="D78" s="90" t="s">
        <v>31</v>
      </c>
      <c r="E78" s="92"/>
      <c r="F78" s="92"/>
      <c r="G78" s="92"/>
      <c r="H78" s="197">
        <f t="shared" si="0"/>
        <v>0</v>
      </c>
      <c r="I78" s="193"/>
      <c r="J78" s="188"/>
      <c r="K78" s="90" t="s">
        <v>285</v>
      </c>
      <c r="L78" s="90" t="s">
        <v>31</v>
      </c>
      <c r="M78" s="92"/>
      <c r="N78" s="92"/>
      <c r="O78" s="92"/>
      <c r="P78" s="197">
        <f t="shared" si="1"/>
        <v>0</v>
      </c>
      <c r="V78" s="27"/>
    </row>
    <row r="79" spans="1:22" s="26" customFormat="1" x14ac:dyDescent="0.25">
      <c r="A79" s="193"/>
      <c r="B79" s="188"/>
      <c r="C79" s="90" t="s">
        <v>287</v>
      </c>
      <c r="D79" s="90" t="s">
        <v>31</v>
      </c>
      <c r="E79" s="92"/>
      <c r="F79" s="92"/>
      <c r="G79" s="92"/>
      <c r="H79" s="197">
        <f t="shared" si="0"/>
        <v>0</v>
      </c>
      <c r="I79" s="193"/>
      <c r="J79" s="188"/>
      <c r="K79" s="90" t="s">
        <v>287</v>
      </c>
      <c r="L79" s="90" t="s">
        <v>31</v>
      </c>
      <c r="M79" s="92"/>
      <c r="N79" s="92"/>
      <c r="O79" s="92"/>
      <c r="P79" s="197">
        <f t="shared" si="1"/>
        <v>0</v>
      </c>
      <c r="V79" s="27"/>
    </row>
    <row r="80" spans="1:22" ht="15.75" thickBot="1" x14ac:dyDescent="0.3">
      <c r="A80" s="193"/>
      <c r="B80" s="189"/>
      <c r="C80" s="172" t="s">
        <v>309</v>
      </c>
      <c r="D80" s="172" t="s">
        <v>31</v>
      </c>
      <c r="E80" s="184"/>
      <c r="F80" s="184"/>
      <c r="G80" s="184">
        <f>$T$61</f>
        <v>-28.081607885219231</v>
      </c>
      <c r="H80" s="197">
        <f t="shared" si="0"/>
        <v>-28.081607885219231</v>
      </c>
      <c r="I80" s="193"/>
      <c r="J80" s="189"/>
      <c r="K80" s="172" t="s">
        <v>309</v>
      </c>
      <c r="L80" s="172" t="s">
        <v>31</v>
      </c>
      <c r="M80" s="184"/>
      <c r="N80" s="184"/>
      <c r="O80" s="184">
        <f>$T$61</f>
        <v>-28.081607885219231</v>
      </c>
      <c r="P80" s="197">
        <f t="shared" si="1"/>
        <v>-28.081607885219231</v>
      </c>
      <c r="Q80" s="26"/>
      <c r="V80" s="27"/>
    </row>
    <row r="81" spans="1:22" ht="15.75" thickBot="1" x14ac:dyDescent="0.3">
      <c r="A81" s="340"/>
      <c r="B81" s="449" t="s">
        <v>308</v>
      </c>
      <c r="C81" s="236"/>
      <c r="D81" s="237" t="s">
        <v>31</v>
      </c>
      <c r="E81" s="238">
        <f>SUM(E70:E80)</f>
        <v>45.383708398595665</v>
      </c>
      <c r="F81" s="238">
        <f>SUM(F70:F80)</f>
        <v>56.63504714478016</v>
      </c>
      <c r="G81" s="238">
        <f>SUM(G70:G80)</f>
        <v>6.553564206379999</v>
      </c>
      <c r="H81" s="457">
        <f>SUM(H70:H80)</f>
        <v>108.57231974975582</v>
      </c>
      <c r="I81" s="193"/>
      <c r="J81" s="192" t="s">
        <v>308</v>
      </c>
      <c r="K81" s="204"/>
      <c r="L81" s="186" t="s">
        <v>31</v>
      </c>
      <c r="M81" s="221">
        <f>SUM(M70:M80)</f>
        <v>45.383708398595665</v>
      </c>
      <c r="N81" s="221">
        <f>SUM(N70:N80)</f>
        <v>56.63504714478016</v>
      </c>
      <c r="O81" s="221">
        <f>SUM(O70:O80)</f>
        <v>6.553564206379999</v>
      </c>
      <c r="P81" s="222">
        <f>SUM(P70:P80)</f>
        <v>108.57231974975582</v>
      </c>
      <c r="Q81" s="26"/>
      <c r="V81" s="27"/>
    </row>
    <row r="82" spans="1:22" ht="20.25" thickTop="1" thickBot="1" x14ac:dyDescent="0.35">
      <c r="A82" s="193"/>
      <c r="B82" s="240" t="s">
        <v>284</v>
      </c>
      <c r="C82" s="199"/>
      <c r="D82" s="199" t="s">
        <v>2</v>
      </c>
      <c r="E82" s="241" t="s">
        <v>24</v>
      </c>
      <c r="F82" s="242" t="s">
        <v>282</v>
      </c>
      <c r="G82" s="242" t="s">
        <v>281</v>
      </c>
      <c r="H82" s="243" t="s">
        <v>283</v>
      </c>
      <c r="I82" s="193"/>
      <c r="J82" s="208" t="s">
        <v>284</v>
      </c>
      <c r="K82" s="209"/>
      <c r="L82" s="209" t="s">
        <v>2</v>
      </c>
      <c r="M82" s="213" t="s">
        <v>24</v>
      </c>
      <c r="N82" s="211" t="s">
        <v>282</v>
      </c>
      <c r="O82" s="211" t="s">
        <v>281</v>
      </c>
      <c r="P82" s="212" t="s">
        <v>283</v>
      </c>
      <c r="Q82" s="26"/>
      <c r="V82" s="27"/>
    </row>
    <row r="83" spans="1:22" ht="15.75" thickBot="1" x14ac:dyDescent="0.3">
      <c r="A83" s="193"/>
      <c r="B83" s="214" t="s">
        <v>306</v>
      </c>
      <c r="C83" s="186"/>
      <c r="D83" s="186" t="s">
        <v>31</v>
      </c>
      <c r="E83" s="187"/>
      <c r="F83" s="214"/>
      <c r="G83" s="215">
        <f>$V$44</f>
        <v>1.9999999656101073</v>
      </c>
      <c r="H83" s="216">
        <f>SUM(D83:G83)</f>
        <v>1.9999999656101073</v>
      </c>
      <c r="I83" s="193"/>
      <c r="J83" s="214" t="s">
        <v>306</v>
      </c>
      <c r="K83" s="186"/>
      <c r="L83" s="186" t="s">
        <v>31</v>
      </c>
      <c r="M83" s="187"/>
      <c r="N83" s="214"/>
      <c r="O83" s="215">
        <f>$V$44</f>
        <v>1.9999999656101073</v>
      </c>
      <c r="P83" s="216">
        <f>SUM(L83:O83)</f>
        <v>1.9999999656101073</v>
      </c>
      <c r="Q83" s="26"/>
      <c r="V83" s="27"/>
    </row>
    <row r="84" spans="1:22" ht="20.25" thickTop="1" thickBot="1" x14ac:dyDescent="0.35">
      <c r="A84" s="193"/>
      <c r="B84" s="208" t="s">
        <v>312</v>
      </c>
      <c r="C84" s="209"/>
      <c r="D84" s="209" t="s">
        <v>2</v>
      </c>
      <c r="E84" s="213" t="s">
        <v>24</v>
      </c>
      <c r="F84" s="211" t="s">
        <v>282</v>
      </c>
      <c r="G84" s="211" t="s">
        <v>281</v>
      </c>
      <c r="H84" s="212" t="s">
        <v>283</v>
      </c>
      <c r="I84" s="193"/>
      <c r="J84" s="208" t="s">
        <v>312</v>
      </c>
      <c r="K84" s="209"/>
      <c r="L84" s="209" t="s">
        <v>2</v>
      </c>
      <c r="M84" s="213" t="s">
        <v>24</v>
      </c>
      <c r="N84" s="211" t="s">
        <v>282</v>
      </c>
      <c r="O84" s="211" t="s">
        <v>281</v>
      </c>
      <c r="P84" s="212" t="s">
        <v>283</v>
      </c>
      <c r="Q84" s="26"/>
    </row>
    <row r="85" spans="1:22" ht="15.75" thickBot="1" x14ac:dyDescent="0.3">
      <c r="A85" s="193"/>
      <c r="B85" s="217" t="s">
        <v>306</v>
      </c>
      <c r="C85" s="186"/>
      <c r="D85" s="186" t="s">
        <v>31</v>
      </c>
      <c r="E85" s="187"/>
      <c r="F85" s="186"/>
      <c r="G85" s="215">
        <f>$V$45</f>
        <v>0.12127659574468085</v>
      </c>
      <c r="H85" s="216">
        <f>SUM(D85:G85)</f>
        <v>0.12127659574468085</v>
      </c>
      <c r="I85" s="193"/>
      <c r="J85" s="217" t="s">
        <v>306</v>
      </c>
      <c r="K85" s="186"/>
      <c r="L85" s="186" t="s">
        <v>31</v>
      </c>
      <c r="M85" s="187"/>
      <c r="N85" s="186"/>
      <c r="O85" s="215">
        <f>$V$45</f>
        <v>0.12127659574468085</v>
      </c>
      <c r="P85" s="216">
        <f>SUM(L85:O85)</f>
        <v>0.12127659574468085</v>
      </c>
      <c r="Q85" s="26"/>
    </row>
    <row r="86" spans="1:22" ht="15.75" thickTop="1" x14ac:dyDescent="0.25">
      <c r="A86" s="28"/>
      <c r="B86" s="223" t="s">
        <v>314</v>
      </c>
      <c r="I86" s="28"/>
      <c r="J86" s="223" t="s">
        <v>314</v>
      </c>
      <c r="K86" s="26"/>
      <c r="L86" s="26"/>
      <c r="M86" s="26"/>
      <c r="N86" s="26"/>
      <c r="O86" s="26"/>
      <c r="P86" s="26"/>
      <c r="Q86" s="26"/>
    </row>
    <row r="87" spans="1:22" x14ac:dyDescent="0.25">
      <c r="B87" s="218"/>
    </row>
    <row r="107" spans="7:7" x14ac:dyDescent="0.25">
      <c r="G107" s="23"/>
    </row>
  </sheetData>
  <mergeCells count="6">
    <mergeCell ref="G35:H35"/>
    <mergeCell ref="R24:S24"/>
    <mergeCell ref="C24:D24"/>
    <mergeCell ref="E24:F24"/>
    <mergeCell ref="G24:H24"/>
    <mergeCell ref="K24:L2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7"/>
  <sheetViews>
    <sheetView workbookViewId="0">
      <pane xSplit="2" topLeftCell="C1" activePane="topRight" state="frozen"/>
      <selection activeCell="A36" sqref="A36"/>
      <selection pane="topRight" activeCell="B1" sqref="B1"/>
    </sheetView>
  </sheetViews>
  <sheetFormatPr defaultColWidth="9.140625" defaultRowHeight="15" x14ac:dyDescent="0.25"/>
  <cols>
    <col min="1" max="1" width="2.5703125" style="301" customWidth="1"/>
    <col min="2" max="2" width="36" style="301" customWidth="1"/>
    <col min="3" max="3" width="22.85546875" style="301" customWidth="1"/>
    <col min="4" max="4" width="14.42578125" style="301" customWidth="1"/>
    <col min="5" max="5" width="15" style="301" customWidth="1"/>
    <col min="6" max="6" width="17.28515625" style="301" customWidth="1"/>
    <col min="7" max="7" width="12.85546875" style="301" customWidth="1"/>
    <col min="8" max="8" width="14.7109375" style="301" customWidth="1"/>
    <col min="9" max="9" width="17.7109375" style="301" customWidth="1"/>
    <col min="10" max="10" width="19.5703125" style="301" customWidth="1"/>
    <col min="11" max="11" width="16.5703125" style="301" customWidth="1"/>
    <col min="12" max="12" width="13.85546875" style="301" customWidth="1"/>
    <col min="13" max="13" width="9.140625" style="301"/>
    <col min="14" max="14" width="14.5703125" style="301" customWidth="1"/>
    <col min="15" max="15" width="27.42578125" style="301" customWidth="1"/>
    <col min="16" max="16" width="14.42578125" style="301" customWidth="1"/>
    <col min="17" max="17" width="19.85546875" style="301" customWidth="1"/>
    <col min="18" max="18" width="15.140625" style="301" customWidth="1"/>
    <col min="19" max="19" width="13" style="301" customWidth="1"/>
    <col min="20" max="20" width="13.28515625" style="301" customWidth="1"/>
    <col min="21" max="21" width="14.5703125" style="301" customWidth="1"/>
    <col min="22" max="22" width="12.28515625" style="301" customWidth="1"/>
    <col min="23" max="23" width="12.7109375" style="301" customWidth="1"/>
    <col min="24" max="24" width="9.140625" style="301"/>
    <col min="25" max="25" width="12.28515625" style="301" customWidth="1"/>
    <col min="26" max="16384" width="9.140625" style="301"/>
  </cols>
  <sheetData>
    <row r="1" spans="2:21" ht="26.25" x14ac:dyDescent="0.4">
      <c r="B1" s="274"/>
      <c r="C1" s="278"/>
      <c r="D1" s="278"/>
    </row>
    <row r="2" spans="2:21" s="420" customFormat="1" ht="21" x14ac:dyDescent="0.35">
      <c r="B2" s="416"/>
      <c r="C2" s="416"/>
      <c r="D2" s="416"/>
      <c r="E2" s="416"/>
      <c r="F2" s="416"/>
      <c r="G2" s="416"/>
      <c r="H2" s="416"/>
      <c r="I2" s="417"/>
      <c r="J2" s="418"/>
      <c r="K2" s="419"/>
      <c r="R2" s="419"/>
      <c r="S2" s="421"/>
      <c r="T2" s="421"/>
      <c r="U2" s="421"/>
    </row>
    <row r="3" spans="2:21" s="420" customFormat="1" ht="21" x14ac:dyDescent="0.35">
      <c r="B3" s="416" t="s">
        <v>412</v>
      </c>
      <c r="C3" s="416" t="str">
        <f>+Start!B14</f>
        <v>Fattening pigs, slurry (DK)</v>
      </c>
      <c r="D3" s="416"/>
      <c r="E3" s="416"/>
      <c r="F3" s="416"/>
      <c r="G3" s="416"/>
      <c r="H3" s="416"/>
      <c r="I3" s="417"/>
      <c r="J3" s="422"/>
      <c r="K3" s="419"/>
      <c r="L3" s="419"/>
      <c r="M3" s="423"/>
      <c r="R3" s="419"/>
      <c r="S3" s="421"/>
      <c r="T3" s="421"/>
      <c r="U3" s="421"/>
    </row>
    <row r="4" spans="2:21" s="420" customFormat="1" ht="21" x14ac:dyDescent="0.35">
      <c r="B4" s="416"/>
      <c r="C4" s="416"/>
      <c r="D4" s="416"/>
      <c r="E4" s="416"/>
      <c r="F4" s="416"/>
      <c r="G4" s="416"/>
      <c r="H4" s="416"/>
      <c r="I4" s="417"/>
      <c r="J4" s="422"/>
      <c r="K4" s="419"/>
      <c r="L4" s="419"/>
      <c r="M4" s="423"/>
      <c r="R4" s="419"/>
      <c r="S4" s="421"/>
      <c r="T4" s="421"/>
      <c r="U4" s="421"/>
    </row>
    <row r="5" spans="2:21" x14ac:dyDescent="0.25">
      <c r="D5" s="28"/>
      <c r="E5" s="28"/>
      <c r="F5" s="28"/>
      <c r="S5" s="28"/>
      <c r="T5" s="28"/>
      <c r="U5" s="28"/>
    </row>
    <row r="6" spans="2:21" ht="15.75" x14ac:dyDescent="0.25">
      <c r="B6" s="104" t="s">
        <v>318</v>
      </c>
    </row>
    <row r="8" spans="2:21" x14ac:dyDescent="0.25">
      <c r="B8" s="301" t="s">
        <v>567</v>
      </c>
      <c r="C8" s="301" t="s">
        <v>286</v>
      </c>
      <c r="D8" s="409">
        <f>+'In-House Techniques'!B28+'In-House Techniques'!B29/3.6</f>
        <v>34.239130434782602</v>
      </c>
    </row>
    <row r="9" spans="2:21" s="339" customFormat="1" x14ac:dyDescent="0.25">
      <c r="B9" s="301" t="s">
        <v>348</v>
      </c>
      <c r="C9" s="301" t="s">
        <v>349</v>
      </c>
      <c r="D9" s="409">
        <f>+'In-House Techniques'!B30</f>
        <v>0</v>
      </c>
    </row>
    <row r="10" spans="2:21" x14ac:dyDescent="0.25">
      <c r="B10" s="301" t="s">
        <v>350</v>
      </c>
      <c r="C10" s="44" t="s">
        <v>351</v>
      </c>
      <c r="D10" s="409">
        <f>+'In-House Techniques'!B31</f>
        <v>0</v>
      </c>
    </row>
    <row r="11" spans="2:21" x14ac:dyDescent="0.25">
      <c r="B11" s="301" t="s">
        <v>352</v>
      </c>
      <c r="C11" s="44" t="s">
        <v>353</v>
      </c>
      <c r="D11" s="409">
        <f>+'In-House Techniques'!B32</f>
        <v>0</v>
      </c>
    </row>
    <row r="12" spans="2:21" x14ac:dyDescent="0.25">
      <c r="B12" s="301" t="s">
        <v>354</v>
      </c>
      <c r="C12" s="44" t="s">
        <v>355</v>
      </c>
      <c r="D12" s="409">
        <f>+'In-House Techniques'!B33</f>
        <v>0</v>
      </c>
    </row>
    <row r="13" spans="2:21" x14ac:dyDescent="0.25">
      <c r="D13" s="109"/>
    </row>
    <row r="14" spans="2:21" x14ac:dyDescent="0.25">
      <c r="B14" s="432" t="s">
        <v>428</v>
      </c>
      <c r="C14" s="433"/>
      <c r="D14" s="433"/>
    </row>
    <row r="15" spans="2:21" s="339" customFormat="1" x14ac:dyDescent="0.25">
      <c r="B15" s="430" t="s">
        <v>855</v>
      </c>
      <c r="C15" s="659">
        <f>+'In-House Techniques'!B7</f>
        <v>0</v>
      </c>
    </row>
    <row r="16" spans="2:21" s="339" customFormat="1" x14ac:dyDescent="0.25">
      <c r="B16" s="431" t="s">
        <v>856</v>
      </c>
      <c r="C16" s="659">
        <f>+'In-House Techniques'!B8</f>
        <v>0</v>
      </c>
    </row>
    <row r="17" spans="1:22" s="339" customFormat="1" x14ac:dyDescent="0.25">
      <c r="B17" s="430" t="s">
        <v>857</v>
      </c>
      <c r="C17" s="659">
        <f>+'In-House Techniques'!B9</f>
        <v>0</v>
      </c>
    </row>
    <row r="18" spans="1:22" s="339" customFormat="1" x14ac:dyDescent="0.25"/>
    <row r="19" spans="1:22" s="339" customFormat="1" x14ac:dyDescent="0.25"/>
    <row r="20" spans="1:22" s="339" customFormat="1" x14ac:dyDescent="0.25"/>
    <row r="21" spans="1:22" s="339" customFormat="1" x14ac:dyDescent="0.25"/>
    <row r="22" spans="1:22" s="339" customFormat="1" x14ac:dyDescent="0.25"/>
    <row r="23" spans="1:22" x14ac:dyDescent="0.25">
      <c r="C23" s="301" t="s">
        <v>272</v>
      </c>
      <c r="D23" s="410" t="s">
        <v>429</v>
      </c>
      <c r="E23" s="411"/>
      <c r="F23" s="411"/>
      <c r="G23" s="411"/>
      <c r="H23" s="411"/>
      <c r="I23" s="412"/>
    </row>
    <row r="24" spans="1:22" s="339" customFormat="1" x14ac:dyDescent="0.25"/>
    <row r="25" spans="1:22" ht="24" thickBot="1" x14ac:dyDescent="0.4">
      <c r="C25" s="224" t="s">
        <v>291</v>
      </c>
      <c r="G25" s="133"/>
      <c r="K25" s="224" t="s">
        <v>289</v>
      </c>
      <c r="P25" s="28"/>
      <c r="Q25" s="224" t="s">
        <v>290</v>
      </c>
    </row>
    <row r="26" spans="1:22" ht="15.75" x14ac:dyDescent="0.25">
      <c r="A26" s="20"/>
      <c r="B26" s="110" t="s">
        <v>292</v>
      </c>
      <c r="C26" s="28"/>
      <c r="D26" s="281" t="s">
        <v>298</v>
      </c>
      <c r="E26" s="281" t="s">
        <v>288</v>
      </c>
      <c r="F26" s="281" t="s">
        <v>296</v>
      </c>
      <c r="G26" s="283" t="s">
        <v>334</v>
      </c>
      <c r="H26" s="282"/>
      <c r="I26" s="114"/>
      <c r="J26" s="112"/>
      <c r="K26" s="1193" t="s">
        <v>285</v>
      </c>
      <c r="L26" s="1193"/>
      <c r="M26" s="159"/>
      <c r="N26" s="112"/>
      <c r="O26" s="112"/>
      <c r="P26" s="52"/>
      <c r="Q26" s="112"/>
      <c r="R26" s="1193" t="s">
        <v>297</v>
      </c>
      <c r="S26" s="1193"/>
      <c r="T26" s="1193" t="s">
        <v>347</v>
      </c>
      <c r="U26" s="1193"/>
      <c r="V26" s="116"/>
    </row>
    <row r="27" spans="1:22" x14ac:dyDescent="0.25">
      <c r="A27" s="47"/>
      <c r="B27" s="30"/>
      <c r="C27" s="160" t="s">
        <v>2</v>
      </c>
      <c r="D27" s="82" t="s">
        <v>75</v>
      </c>
      <c r="E27" s="160" t="s">
        <v>75</v>
      </c>
      <c r="F27" s="160" t="s">
        <v>75</v>
      </c>
      <c r="G27" s="82" t="s">
        <v>75</v>
      </c>
      <c r="I27" s="52"/>
      <c r="J27" s="33"/>
      <c r="K27" s="33" t="s">
        <v>2</v>
      </c>
      <c r="L27" s="28" t="s">
        <v>75</v>
      </c>
      <c r="M27" s="98"/>
      <c r="N27" s="33"/>
      <c r="O27" s="33"/>
      <c r="P27" s="52"/>
      <c r="Q27" s="33"/>
      <c r="R27" s="33" t="s">
        <v>2</v>
      </c>
      <c r="S27" s="28" t="s">
        <v>75</v>
      </c>
      <c r="T27" s="98" t="s">
        <v>2</v>
      </c>
      <c r="U27" s="33"/>
      <c r="V27" s="117"/>
    </row>
    <row r="28" spans="1:22" ht="52.5" customHeight="1" x14ac:dyDescent="0.25">
      <c r="A28" s="47"/>
      <c r="B28" s="51"/>
      <c r="C28" s="280" t="s">
        <v>335</v>
      </c>
      <c r="D28" s="143">
        <f>'Calculations - Ref system'!$D$26</f>
        <v>454.78723404255322</v>
      </c>
      <c r="E28" s="143">
        <f>'Calculations - Ref system'!$F$26+D8</f>
        <v>48.369565217391298</v>
      </c>
      <c r="F28" s="106">
        <f>'Calculations - Ref system'!$H$26</f>
        <v>136.95652173913044</v>
      </c>
      <c r="G28" s="33">
        <f>D9</f>
        <v>0</v>
      </c>
      <c r="H28" s="30"/>
      <c r="I28" s="51"/>
      <c r="J28" s="33"/>
      <c r="K28" s="33" t="s">
        <v>286</v>
      </c>
      <c r="L28" s="29">
        <f>'Calculations - Ref system'!$L$26</f>
        <v>4.5999999999999996</v>
      </c>
      <c r="M28" s="98"/>
      <c r="N28" s="33"/>
      <c r="O28" s="33"/>
      <c r="P28" s="52"/>
      <c r="Q28" s="33"/>
      <c r="R28" s="33" t="s">
        <v>271</v>
      </c>
      <c r="S28" s="29">
        <f>+'Calculations - Ref system'!S26</f>
        <v>11</v>
      </c>
      <c r="T28" s="98" t="s">
        <v>31</v>
      </c>
      <c r="U28" s="33">
        <f>D10</f>
        <v>0</v>
      </c>
      <c r="V28" s="117"/>
    </row>
    <row r="29" spans="1:22" x14ac:dyDescent="0.25">
      <c r="A29" s="47"/>
      <c r="B29" s="51" t="s">
        <v>81</v>
      </c>
      <c r="C29" s="33" t="s">
        <v>31</v>
      </c>
      <c r="D29" s="29"/>
      <c r="E29" s="166">
        <f>E28*'Background data'!$Q65*14/17</f>
        <v>9.969000279350063E-4</v>
      </c>
      <c r="F29" s="33"/>
      <c r="G29" s="163">
        <f>G28*'Background data'!D45</f>
        <v>0</v>
      </c>
      <c r="I29" s="52"/>
      <c r="J29" s="33"/>
      <c r="K29" s="33"/>
      <c r="L29" s="167">
        <f>L28*'Background data'!$Q65*14/17</f>
        <v>9.4806312769010032E-5</v>
      </c>
      <c r="M29" s="98"/>
      <c r="N29" s="33"/>
      <c r="O29" s="33"/>
      <c r="P29" s="52"/>
      <c r="Q29" s="33" t="s">
        <v>81</v>
      </c>
      <c r="R29" s="33"/>
      <c r="S29" s="33"/>
      <c r="T29" s="98"/>
      <c r="U29" s="163">
        <f>U28*'Background data'!D46</f>
        <v>0</v>
      </c>
      <c r="V29" s="117"/>
    </row>
    <row r="30" spans="1:22" x14ac:dyDescent="0.25">
      <c r="A30" s="47"/>
      <c r="B30" s="51" t="s">
        <v>295</v>
      </c>
      <c r="C30" s="33" t="s">
        <v>31</v>
      </c>
      <c r="D30" s="44"/>
      <c r="E30" s="157">
        <f>E28*'Background data'!$H71</f>
        <v>45.840498652173906</v>
      </c>
      <c r="F30" s="164">
        <f>F28*'Background data'!I150</f>
        <v>8.6056598934782613</v>
      </c>
      <c r="G30" s="163">
        <f>G28*'Background data'!G45</f>
        <v>0</v>
      </c>
      <c r="I30" s="52"/>
      <c r="J30" s="33"/>
      <c r="K30" s="33"/>
      <c r="L30" s="168">
        <f>L28*'Background data'!$H71</f>
        <v>4.3594829279999994</v>
      </c>
      <c r="M30" s="98"/>
      <c r="N30" s="33"/>
      <c r="O30" s="33"/>
      <c r="P30" s="52"/>
      <c r="Q30" s="33" t="s">
        <v>295</v>
      </c>
      <c r="R30" s="33"/>
      <c r="S30" s="151">
        <f>S28*'Background data'!G49</f>
        <v>0.8231292517006803</v>
      </c>
      <c r="T30" s="98"/>
      <c r="U30" s="289">
        <f>U28*'Background data'!G46</f>
        <v>0</v>
      </c>
      <c r="V30" s="117"/>
    </row>
    <row r="31" spans="1:22" x14ac:dyDescent="0.25">
      <c r="A31" s="47"/>
      <c r="B31" s="51" t="s">
        <v>82</v>
      </c>
      <c r="C31" s="33" t="s">
        <v>31</v>
      </c>
      <c r="D31" s="29"/>
      <c r="E31" s="158">
        <f>E28*'Background data'!$H72</f>
        <v>0.21517022329867672</v>
      </c>
      <c r="F31" s="152">
        <f>F28*'Background data'!I151</f>
        <v>2.1596757873345935E-2</v>
      </c>
      <c r="G31" s="163">
        <f>G28*'Background data'!E45</f>
        <v>0</v>
      </c>
      <c r="I31" s="52"/>
      <c r="J31" s="33"/>
      <c r="K31" s="33"/>
      <c r="L31" s="158">
        <f>L28*'Background data'!$H72</f>
        <v>2.0462929999999997E-2</v>
      </c>
      <c r="M31" s="98"/>
      <c r="N31" s="33"/>
      <c r="O31" s="33"/>
      <c r="P31" s="52"/>
      <c r="Q31" s="33" t="s">
        <v>82</v>
      </c>
      <c r="R31" s="33"/>
      <c r="S31" s="33"/>
      <c r="T31" s="98"/>
      <c r="U31" s="289">
        <f>U28*'Background data'!E46</f>
        <v>0</v>
      </c>
      <c r="V31" s="117"/>
    </row>
    <row r="32" spans="1:22" x14ac:dyDescent="0.25">
      <c r="A32" s="47"/>
      <c r="B32" s="51" t="s">
        <v>83</v>
      </c>
      <c r="C32" s="33" t="s">
        <v>31</v>
      </c>
      <c r="D32" s="29"/>
      <c r="E32" s="166">
        <f>E28*'Background data'!$H73</f>
        <v>1.9078490948149236E-3</v>
      </c>
      <c r="F32" s="163">
        <f>F28*'Background data'!I152</f>
        <v>8.4747793404817858E-5</v>
      </c>
      <c r="G32" s="163">
        <f>G28*'Background data'!F45</f>
        <v>0</v>
      </c>
      <c r="I32" s="52"/>
      <c r="J32" s="33"/>
      <c r="K32" s="33"/>
      <c r="L32" s="166">
        <f>L28*'Background data'!$H73</f>
        <v>1.8143859256756757E-4</v>
      </c>
      <c r="M32" s="98"/>
      <c r="N32" s="33"/>
      <c r="O32" s="33"/>
      <c r="P32" s="52"/>
      <c r="Q32" s="33" t="s">
        <v>83</v>
      </c>
      <c r="R32" s="33"/>
      <c r="S32" s="33"/>
      <c r="T32" s="98"/>
      <c r="U32" s="289">
        <f>U28*'Background data'!F46</f>
        <v>0</v>
      </c>
      <c r="V32" s="117"/>
    </row>
    <row r="33" spans="1:25" s="339" customFormat="1" x14ac:dyDescent="0.25">
      <c r="A33" s="47"/>
      <c r="B33" s="33" t="s">
        <v>433</v>
      </c>
      <c r="C33" s="33" t="s">
        <v>31</v>
      </c>
      <c r="D33" s="434">
        <f>+'Not in use'!I16</f>
        <v>328.43642553191489</v>
      </c>
      <c r="E33" s="166"/>
      <c r="F33" s="163"/>
      <c r="G33" s="163"/>
      <c r="I33" s="52"/>
      <c r="J33" s="33"/>
      <c r="K33" s="33"/>
      <c r="L33" s="166"/>
      <c r="M33" s="98"/>
      <c r="N33" s="33"/>
      <c r="O33" s="33"/>
      <c r="P33" s="52"/>
      <c r="Q33" s="33"/>
      <c r="R33" s="33"/>
      <c r="S33" s="33"/>
      <c r="T33" s="98"/>
      <c r="U33" s="33"/>
      <c r="V33" s="117"/>
    </row>
    <row r="34" spans="1:25" s="339" customFormat="1" x14ac:dyDescent="0.25">
      <c r="A34" s="47"/>
      <c r="B34" s="33" t="s">
        <v>434</v>
      </c>
      <c r="C34" s="33" t="s">
        <v>31</v>
      </c>
      <c r="D34" s="434">
        <f>+'Not in use'!Q16+('Not in use'!Q50-'Not in use'!Q33)</f>
        <v>1256.2732187739716</v>
      </c>
      <c r="E34" s="166"/>
      <c r="F34" s="163"/>
      <c r="G34" s="163"/>
      <c r="I34" s="52"/>
      <c r="J34" s="33"/>
      <c r="K34" s="33"/>
      <c r="L34" s="166"/>
      <c r="M34" s="98"/>
      <c r="N34" s="33"/>
      <c r="O34" s="33"/>
      <c r="P34" s="52"/>
      <c r="Q34" s="33"/>
      <c r="R34" s="33"/>
      <c r="S34" s="33"/>
      <c r="T34" s="98"/>
      <c r="U34" s="33"/>
      <c r="V34" s="117"/>
    </row>
    <row r="35" spans="1:25" ht="15.75" thickBot="1" x14ac:dyDescent="0.3">
      <c r="A35" s="16"/>
      <c r="B35" s="118" t="s">
        <v>435</v>
      </c>
      <c r="C35" s="33" t="s">
        <v>31</v>
      </c>
      <c r="D35" s="435">
        <f>+D33+D34</f>
        <v>1584.7096443058865</v>
      </c>
      <c r="E35" s="162">
        <f>E30+E31*23+E32*296</f>
        <v>51.354137120108689</v>
      </c>
      <c r="F35" s="162">
        <f>F30+F31*23+F32*296</f>
        <v>9.1274706714130431</v>
      </c>
      <c r="G35" s="162">
        <f>G30+G31*23+G32*296</f>
        <v>0</v>
      </c>
      <c r="H35" s="284"/>
      <c r="I35" s="120"/>
      <c r="J35" s="119"/>
      <c r="K35" s="119"/>
      <c r="L35" s="162">
        <f>L30+L31*23+L32*296</f>
        <v>4.8838361413999989</v>
      </c>
      <c r="M35" s="134"/>
      <c r="N35" s="119"/>
      <c r="O35" s="118"/>
      <c r="P35" s="52"/>
      <c r="Q35" s="119" t="s">
        <v>270</v>
      </c>
      <c r="R35" s="119"/>
      <c r="S35" s="165">
        <f>S30</f>
        <v>0.8231292517006803</v>
      </c>
      <c r="T35" s="134"/>
      <c r="U35" s="162">
        <f>U30+U31*23+U32*296</f>
        <v>0</v>
      </c>
      <c r="V35" s="121"/>
    </row>
    <row r="36" spans="1:25" ht="15.75" thickBot="1" x14ac:dyDescent="0.3">
      <c r="A36" s="16"/>
      <c r="B36" s="135"/>
      <c r="C36" s="135"/>
      <c r="D36" s="119"/>
      <c r="E36" s="119"/>
      <c r="F36" s="119"/>
      <c r="G36" s="119"/>
      <c r="H36" s="119"/>
      <c r="I36" s="285"/>
      <c r="J36" s="119"/>
      <c r="K36" s="119"/>
      <c r="L36" s="119"/>
      <c r="M36" s="119"/>
      <c r="N36" s="119"/>
      <c r="O36" s="119"/>
      <c r="P36" s="33"/>
      <c r="Q36" s="119"/>
      <c r="R36" s="119"/>
      <c r="S36" s="119"/>
      <c r="T36" s="119"/>
      <c r="U36" s="119"/>
      <c r="V36" s="119"/>
    </row>
    <row r="37" spans="1:25" ht="90" x14ac:dyDescent="0.25">
      <c r="A37" s="20"/>
      <c r="B37" s="85" t="s">
        <v>280</v>
      </c>
      <c r="C37" s="122"/>
      <c r="D37" s="303" t="s">
        <v>25</v>
      </c>
      <c r="E37" s="122"/>
      <c r="F37" s="122"/>
      <c r="G37" s="1191" t="s">
        <v>30</v>
      </c>
      <c r="H37" s="1192"/>
      <c r="I37" s="660" t="s">
        <v>790</v>
      </c>
      <c r="J37" s="94"/>
      <c r="K37" s="122" t="s">
        <v>25</v>
      </c>
      <c r="L37" s="122"/>
      <c r="M37" s="122"/>
      <c r="N37" s="94"/>
      <c r="O37" s="122" t="s">
        <v>30</v>
      </c>
      <c r="P37" s="660" t="s">
        <v>791</v>
      </c>
      <c r="Q37" s="122"/>
      <c r="R37" s="122" t="s">
        <v>25</v>
      </c>
      <c r="S37" s="122"/>
      <c r="T37" s="122"/>
      <c r="U37" s="122" t="s">
        <v>30</v>
      </c>
      <c r="V37" s="140"/>
      <c r="W37" s="660" t="s">
        <v>792</v>
      </c>
    </row>
    <row r="38" spans="1:25" x14ac:dyDescent="0.25">
      <c r="A38" s="47"/>
      <c r="B38" s="30"/>
      <c r="C38" s="29" t="s">
        <v>2</v>
      </c>
      <c r="D38" s="106" t="s">
        <v>26</v>
      </c>
      <c r="E38" s="106" t="s">
        <v>75</v>
      </c>
      <c r="F38" s="29" t="s">
        <v>27</v>
      </c>
      <c r="G38" s="106" t="s">
        <v>2</v>
      </c>
      <c r="H38" s="107" t="s">
        <v>75</v>
      </c>
      <c r="I38" s="52"/>
      <c r="J38" s="29" t="s">
        <v>2</v>
      </c>
      <c r="K38" s="106" t="s">
        <v>26</v>
      </c>
      <c r="L38" s="106" t="s">
        <v>75</v>
      </c>
      <c r="M38" s="29" t="s">
        <v>27</v>
      </c>
      <c r="N38" s="106" t="s">
        <v>2</v>
      </c>
      <c r="O38" s="107" t="s">
        <v>75</v>
      </c>
      <c r="P38" s="52"/>
      <c r="Q38" s="29" t="s">
        <v>2</v>
      </c>
      <c r="R38" s="106" t="s">
        <v>26</v>
      </c>
      <c r="S38" s="106" t="s">
        <v>75</v>
      </c>
      <c r="T38" s="29" t="s">
        <v>27</v>
      </c>
      <c r="U38" s="29" t="s">
        <v>2</v>
      </c>
      <c r="V38" s="141" t="s">
        <v>75</v>
      </c>
    </row>
    <row r="39" spans="1:25" x14ac:dyDescent="0.25">
      <c r="A39" s="47"/>
      <c r="B39" s="51" t="s">
        <v>81</v>
      </c>
      <c r="C39" s="29" t="s">
        <v>92</v>
      </c>
      <c r="D39" s="106">
        <v>0.09</v>
      </c>
      <c r="E39" s="619">
        <f>+'Calculations - Ref system'!E37</f>
        <v>0.11899999999999999</v>
      </c>
      <c r="F39" s="106">
        <v>0.18</v>
      </c>
      <c r="G39" s="106" t="s">
        <v>31</v>
      </c>
      <c r="H39" s="624">
        <f>E39*'Calculations - Techn'!F129*(100-I39)/100</f>
        <v>0.49979999999999997</v>
      </c>
      <c r="I39" s="404">
        <f>-'In-House Techniques'!$B$11</f>
        <v>30</v>
      </c>
      <c r="J39" s="29" t="s">
        <v>92</v>
      </c>
      <c r="K39" s="106">
        <v>8.0000000000000002E-3</v>
      </c>
      <c r="L39" s="621">
        <f>+'Calculations - Ref system'!L37</f>
        <v>1.8750000000000003E-2</v>
      </c>
      <c r="M39" s="106">
        <v>0.11</v>
      </c>
      <c r="N39" s="539" t="s">
        <v>31</v>
      </c>
      <c r="O39" s="540">
        <f>L39*M129*(100-P39)/100</f>
        <v>5.1360037500000011E-2</v>
      </c>
      <c r="P39" s="1096">
        <f>(1-(1+'In-House Techniques'!$B$16/100)*(1+'Outdoor Storage Techniques'!$B$16/100))*100</f>
        <v>50</v>
      </c>
      <c r="Q39" s="29" t="s">
        <v>92</v>
      </c>
      <c r="R39" s="106">
        <v>6.0000000000000001E-3</v>
      </c>
      <c r="S39" s="635">
        <f>+'Calculations - Ref system'!S37</f>
        <v>0.123053760456726</v>
      </c>
      <c r="T39" s="106">
        <v>0.20699999999999999</v>
      </c>
      <c r="U39" s="29" t="s">
        <v>31</v>
      </c>
      <c r="V39" s="664">
        <f>S39*$T$129*(100-W39)/100</f>
        <v>0.39815309098833779</v>
      </c>
      <c r="W39" s="404">
        <f>(1-(1+'In-House Techniques'!$B$21/100)*(1+'Outdoor Storage Techniques'!$B$21/100)*(1+'Field Techniques'!$B$21/100))*100</f>
        <v>40</v>
      </c>
    </row>
    <row r="40" spans="1:25" x14ac:dyDescent="0.25">
      <c r="A40" s="47"/>
      <c r="B40" s="51" t="s">
        <v>82</v>
      </c>
      <c r="C40" s="620" t="s">
        <v>783</v>
      </c>
      <c r="D40" s="106"/>
      <c r="E40" s="621">
        <f>+'Calculations - Ref system'!E38</f>
        <v>9.9006500000000004E-3</v>
      </c>
      <c r="F40" s="106"/>
      <c r="G40" s="106" t="s">
        <v>31</v>
      </c>
      <c r="H40" s="644">
        <f>E40*F125*(100-I40)/100</f>
        <v>0.59763426697850464</v>
      </c>
      <c r="I40" s="404">
        <f>-'In-House Techniques'!$B$12</f>
        <v>0</v>
      </c>
      <c r="J40" s="620" t="s">
        <v>788</v>
      </c>
      <c r="K40" s="29"/>
      <c r="L40" s="621">
        <f>+'Calculations - Ref system'!L38</f>
        <v>3.0661218538914275E-2</v>
      </c>
      <c r="M40" s="29"/>
      <c r="N40" s="106" t="s">
        <v>31</v>
      </c>
      <c r="O40" s="654">
        <f>L40*M125*(100-P40)/100</f>
        <v>1.8119259025438474</v>
      </c>
      <c r="P40" s="404">
        <f>(1-(1+'In-House Techniques'!$B$17/100)*(1+'Outdoor Storage Techniques'!$B$17/100))*100</f>
        <v>0</v>
      </c>
      <c r="Q40" s="29" t="s">
        <v>31</v>
      </c>
      <c r="R40" s="29"/>
      <c r="S40" s="635">
        <f>+'Calculations - Ref system'!S38</f>
        <v>0</v>
      </c>
      <c r="T40" s="29"/>
      <c r="U40" s="29" t="s">
        <v>31</v>
      </c>
      <c r="V40" s="141">
        <v>0</v>
      </c>
      <c r="W40" s="404">
        <f>(1-(1+'In-House Techniques'!$B$22/100)*(1+'Outdoor Storage Techniques'!$B$22/100)*(1+'Field Techniques'!$B$22/100))*100</f>
        <v>0</v>
      </c>
    </row>
    <row r="41" spans="1:25" s="339" customFormat="1" x14ac:dyDescent="0.25">
      <c r="A41" s="47"/>
      <c r="B41" s="653" t="s">
        <v>781</v>
      </c>
      <c r="C41" s="620" t="s">
        <v>782</v>
      </c>
      <c r="D41" s="106"/>
      <c r="E41" s="619">
        <f>+'Calculations - Ref system'!E39</f>
        <v>1.83</v>
      </c>
      <c r="F41" s="106"/>
      <c r="G41" s="106" t="s">
        <v>31</v>
      </c>
      <c r="H41" s="644">
        <f>+E41*H40</f>
        <v>1.0936707085706636</v>
      </c>
      <c r="I41" s="52"/>
      <c r="J41" s="620" t="s">
        <v>782</v>
      </c>
      <c r="K41" s="29"/>
      <c r="L41" s="619">
        <f>+'Calculations - Ref system'!L39</f>
        <v>1.83</v>
      </c>
      <c r="M41" s="29"/>
      <c r="N41" s="106" t="s">
        <v>31</v>
      </c>
      <c r="O41" s="644">
        <f>+L41*O40</f>
        <v>3.3158244016552412</v>
      </c>
      <c r="P41" s="52"/>
      <c r="Q41" s="29"/>
      <c r="R41" s="29"/>
      <c r="S41" s="402"/>
      <c r="T41" s="29"/>
      <c r="U41" s="29"/>
      <c r="V41" s="141"/>
    </row>
    <row r="42" spans="1:25" s="339" customFormat="1" x14ac:dyDescent="0.25">
      <c r="A42" s="47"/>
      <c r="B42" s="653" t="s">
        <v>780</v>
      </c>
      <c r="C42" s="620" t="s">
        <v>784</v>
      </c>
      <c r="D42" s="106"/>
      <c r="E42" s="619">
        <f>+'Calculations - Ref system'!E40</f>
        <v>0</v>
      </c>
      <c r="F42" s="106"/>
      <c r="G42" s="106" t="s">
        <v>31</v>
      </c>
      <c r="H42" s="644">
        <f>+E42*H39</f>
        <v>0</v>
      </c>
      <c r="I42" s="52"/>
      <c r="J42" s="620" t="s">
        <v>784</v>
      </c>
      <c r="K42" s="29"/>
      <c r="L42" s="619">
        <f>+'Calculations - Ref system'!L40</f>
        <v>0</v>
      </c>
      <c r="M42" s="29"/>
      <c r="N42" s="106" t="s">
        <v>31</v>
      </c>
      <c r="O42" s="644">
        <f>+L42*O39</f>
        <v>0</v>
      </c>
      <c r="P42" s="52"/>
      <c r="Q42" s="29"/>
      <c r="R42" s="29"/>
      <c r="S42" s="402"/>
      <c r="T42" s="29"/>
      <c r="U42" s="29"/>
      <c r="V42" s="141"/>
    </row>
    <row r="43" spans="1:25" x14ac:dyDescent="0.25">
      <c r="A43" s="47"/>
      <c r="B43" s="51" t="s">
        <v>83</v>
      </c>
      <c r="C43" s="29" t="s">
        <v>92</v>
      </c>
      <c r="D43" s="106">
        <v>1E-3</v>
      </c>
      <c r="E43" s="625">
        <f>+'Calculations - Ref system'!E41</f>
        <v>1.5E-3</v>
      </c>
      <c r="F43" s="106">
        <v>4.0000000000000001E-3</v>
      </c>
      <c r="G43" s="106" t="s">
        <v>31</v>
      </c>
      <c r="H43" s="624">
        <f>E43*F129*(100-I43)/100</f>
        <v>9.0000000000000011E-3</v>
      </c>
      <c r="I43" s="661">
        <f>-'In-House Techniques'!$B$13</f>
        <v>0</v>
      </c>
      <c r="J43" s="29" t="s">
        <v>93</v>
      </c>
      <c r="K43" s="29">
        <v>2.5000000000000001E-3</v>
      </c>
      <c r="L43" s="636">
        <f>+'Calculations - Ref system'!L41</f>
        <v>3.9892071051957712E-3</v>
      </c>
      <c r="M43" s="29">
        <v>0.01</v>
      </c>
      <c r="N43" s="106" t="s">
        <v>31</v>
      </c>
      <c r="O43" s="107">
        <f>L43*M129*(100-P43)/100</f>
        <v>2.1854488161932934E-2</v>
      </c>
      <c r="P43" s="404">
        <f>(1-(1+'In-House Techniques'!$B$18/100)*(1+'Outdoor Storage Techniques'!$B$18/100))*100</f>
        <v>0</v>
      </c>
      <c r="Q43" s="29" t="s">
        <v>92</v>
      </c>
      <c r="R43" s="29">
        <v>3.0000000000000001E-3</v>
      </c>
      <c r="S43" s="635">
        <f>+'Calculations - Ref system'!S41</f>
        <v>0.01</v>
      </c>
      <c r="T43" s="106">
        <v>0.03</v>
      </c>
      <c r="U43" s="29" t="s">
        <v>31</v>
      </c>
      <c r="V43" s="652">
        <f>S43*$T$129*(100-W43)/100</f>
        <v>5.3926713211980663E-2</v>
      </c>
      <c r="W43" s="404">
        <f>(1-(1+'In-House Techniques'!$B$23/100)*(1+'Outdoor Storage Techniques'!$B$23/100)*(1+'Field Techniques'!$B$23/100))*100</f>
        <v>0</v>
      </c>
    </row>
    <row r="44" spans="1:25" x14ac:dyDescent="0.25">
      <c r="A44" s="47"/>
      <c r="B44" s="54" t="s">
        <v>76</v>
      </c>
      <c r="C44" s="29" t="s">
        <v>92</v>
      </c>
      <c r="D44" s="106"/>
      <c r="E44" s="639">
        <f>+'Calculations - Ref system'!E42</f>
        <v>3.2666666666666663E-5</v>
      </c>
      <c r="F44" s="124"/>
      <c r="G44" s="106" t="s">
        <v>31</v>
      </c>
      <c r="H44" s="640">
        <f>E44*F129</f>
        <v>1.9599999999999999E-4</v>
      </c>
      <c r="I44" s="52"/>
      <c r="J44" s="29" t="s">
        <v>92</v>
      </c>
      <c r="K44" s="106"/>
      <c r="L44" s="635">
        <f>+'Calculations - Ref system'!L42</f>
        <v>3.5000000000000004E-5</v>
      </c>
      <c r="M44" s="106"/>
      <c r="N44" s="106" t="s">
        <v>31</v>
      </c>
      <c r="O44" s="137">
        <f>L44*(F129-H39-H43-H44-H45)</f>
        <v>1.9174414000000002E-4</v>
      </c>
      <c r="P44" s="52"/>
      <c r="Q44" s="29"/>
      <c r="R44" s="29"/>
      <c r="S44" s="635">
        <f>+'Calculations - Ref system'!S42</f>
        <v>1E-3</v>
      </c>
      <c r="T44" s="29"/>
      <c r="U44" s="29"/>
      <c r="V44" s="643">
        <f>+S44*T129</f>
        <v>5.3926713211980663E-3</v>
      </c>
    </row>
    <row r="45" spans="1:25" x14ac:dyDescent="0.25">
      <c r="A45" s="47"/>
      <c r="B45" s="54" t="s">
        <v>77</v>
      </c>
      <c r="C45" s="29" t="s">
        <v>92</v>
      </c>
      <c r="D45" s="106"/>
      <c r="E45" s="621">
        <f>+'Calculations - Ref system'!E43</f>
        <v>2.0999999999999999E-3</v>
      </c>
      <c r="F45" s="106"/>
      <c r="G45" s="106" t="s">
        <v>31</v>
      </c>
      <c r="H45" s="640">
        <f>E45*F129</f>
        <v>1.26E-2</v>
      </c>
      <c r="I45" s="52"/>
      <c r="J45" s="29" t="s">
        <v>92</v>
      </c>
      <c r="K45" s="106"/>
      <c r="L45" s="636">
        <f>+'Calculations - Ref system'!L43</f>
        <v>2.2500000000000003E-3</v>
      </c>
      <c r="M45" s="106"/>
      <c r="N45" s="106" t="s">
        <v>31</v>
      </c>
      <c r="O45" s="108">
        <f>L45*(F129-H39-H43-H44-H45)</f>
        <v>1.2326409000000002E-2</v>
      </c>
      <c r="P45" s="52"/>
      <c r="Q45" s="29" t="s">
        <v>103</v>
      </c>
      <c r="R45" s="29"/>
      <c r="S45" s="402"/>
      <c r="T45" s="29"/>
      <c r="U45" s="29"/>
      <c r="V45" s="29"/>
    </row>
    <row r="46" spans="1:25" x14ac:dyDescent="0.25">
      <c r="A46" s="47"/>
      <c r="B46" s="51" t="s">
        <v>94</v>
      </c>
      <c r="C46" s="29" t="s">
        <v>92</v>
      </c>
      <c r="D46" s="29"/>
      <c r="E46" s="400">
        <f>+'Calculations - Ref system'!E44</f>
        <v>0</v>
      </c>
      <c r="F46" s="29"/>
      <c r="G46" s="106"/>
      <c r="H46" s="125">
        <v>0</v>
      </c>
      <c r="I46" s="52"/>
      <c r="J46" s="29" t="s">
        <v>92</v>
      </c>
      <c r="K46" s="29"/>
      <c r="L46" s="401">
        <f>+'Calculations - Ref system'!L44</f>
        <v>0</v>
      </c>
      <c r="M46" s="29"/>
      <c r="N46" s="106"/>
      <c r="O46" s="125">
        <v>0</v>
      </c>
      <c r="P46" s="52"/>
      <c r="Q46" s="464" t="s">
        <v>452</v>
      </c>
      <c r="R46" s="29"/>
      <c r="S46" s="649">
        <f>+'Calculations - Ref system'!S44</f>
        <v>0.45</v>
      </c>
      <c r="T46" s="29"/>
      <c r="U46" s="29" t="s">
        <v>31</v>
      </c>
      <c r="V46" s="637">
        <f>S46*(T129-V39-V43-V44)</f>
        <v>2.2208394805544476</v>
      </c>
      <c r="W46" s="29" t="s">
        <v>451</v>
      </c>
    </row>
    <row r="47" spans="1:25" x14ac:dyDescent="0.25">
      <c r="A47" s="47"/>
      <c r="B47" s="51" t="s">
        <v>95</v>
      </c>
      <c r="C47" s="29" t="s">
        <v>96</v>
      </c>
      <c r="D47" s="29"/>
      <c r="E47" s="400">
        <f>+'Calculations - Ref system'!E45</f>
        <v>0</v>
      </c>
      <c r="F47" s="29"/>
      <c r="G47" s="106"/>
      <c r="H47" s="125">
        <v>0</v>
      </c>
      <c r="I47" s="52"/>
      <c r="J47" s="29" t="s">
        <v>96</v>
      </c>
      <c r="K47" s="29"/>
      <c r="L47" s="401">
        <f>+'Calculations - Ref system'!L45</f>
        <v>0</v>
      </c>
      <c r="M47" s="29"/>
      <c r="N47" s="106"/>
      <c r="O47" s="125">
        <v>0</v>
      </c>
      <c r="P47" s="52"/>
      <c r="Q47" s="29" t="s">
        <v>96</v>
      </c>
      <c r="R47" s="29"/>
      <c r="S47" s="402">
        <f>+'Calculations - Ref system'!S45</f>
        <v>0.1</v>
      </c>
      <c r="T47" s="29"/>
      <c r="U47" s="29" t="s">
        <v>31</v>
      </c>
      <c r="V47" s="142">
        <f>S47*T131</f>
        <v>0.12127659574468085</v>
      </c>
      <c r="W47" s="28"/>
      <c r="Y47" s="286"/>
    </row>
    <row r="48" spans="1:25" s="339" customFormat="1" x14ac:dyDescent="0.25">
      <c r="A48" s="47"/>
      <c r="B48" s="653" t="s">
        <v>785</v>
      </c>
      <c r="C48" s="29"/>
      <c r="D48" s="29"/>
      <c r="E48" s="124"/>
      <c r="F48" s="29"/>
      <c r="G48" s="106" t="s">
        <v>31</v>
      </c>
      <c r="H48" s="650">
        <f>+H40*12/16</f>
        <v>0.44822570023387848</v>
      </c>
      <c r="I48" s="52"/>
      <c r="J48" s="29"/>
      <c r="K48" s="29"/>
      <c r="L48" s="29"/>
      <c r="M48" s="29"/>
      <c r="N48" s="106" t="s">
        <v>31</v>
      </c>
      <c r="O48" s="650">
        <f>+O40*12/16</f>
        <v>1.3589444269078856</v>
      </c>
      <c r="P48" s="52"/>
      <c r="Q48" s="29"/>
      <c r="R48" s="29"/>
      <c r="S48" s="402"/>
      <c r="T48" s="29"/>
      <c r="U48" s="29"/>
      <c r="V48" s="141"/>
      <c r="W48" s="340"/>
    </row>
    <row r="49" spans="1:23" s="339" customFormat="1" x14ac:dyDescent="0.25">
      <c r="A49" s="47"/>
      <c r="B49" s="653" t="s">
        <v>786</v>
      </c>
      <c r="C49" s="29"/>
      <c r="D49" s="29"/>
      <c r="E49" s="124"/>
      <c r="F49" s="29"/>
      <c r="G49" s="106" t="s">
        <v>31</v>
      </c>
      <c r="H49" s="650">
        <f>+(H41+H42)*12/(12+16+16)</f>
        <v>0.29827382961018095</v>
      </c>
      <c r="I49" s="52"/>
      <c r="J49" s="29"/>
      <c r="K49" s="29"/>
      <c r="L49" s="29"/>
      <c r="M49" s="29"/>
      <c r="N49" s="106" t="s">
        <v>31</v>
      </c>
      <c r="O49" s="650">
        <f>+(O41+O42)*12/(12+16+16)</f>
        <v>0.90431574590597485</v>
      </c>
      <c r="P49" s="52"/>
      <c r="Q49" s="29"/>
      <c r="R49" s="29"/>
      <c r="S49" s="402"/>
      <c r="T49" s="29"/>
      <c r="U49" s="29"/>
      <c r="V49" s="141"/>
      <c r="W49" s="340"/>
    </row>
    <row r="50" spans="1:23" s="339" customFormat="1" x14ac:dyDescent="0.25">
      <c r="A50" s="47"/>
      <c r="B50" s="653" t="s">
        <v>84</v>
      </c>
      <c r="C50" s="29"/>
      <c r="D50" s="29"/>
      <c r="E50" s="124"/>
      <c r="F50" s="651"/>
      <c r="G50" s="106" t="s">
        <v>31</v>
      </c>
      <c r="H50" s="650">
        <f>+H49+H48</f>
        <v>0.74649952984405943</v>
      </c>
      <c r="I50" s="52"/>
      <c r="J50" s="29"/>
      <c r="K50" s="29"/>
      <c r="L50" s="29"/>
      <c r="M50" s="29"/>
      <c r="N50" s="106" t="s">
        <v>31</v>
      </c>
      <c r="O50" s="650">
        <f>+O49+O48</f>
        <v>2.2632601728138604</v>
      </c>
      <c r="P50" s="52"/>
      <c r="Q50" s="29"/>
      <c r="R50" s="29"/>
      <c r="S50" s="402"/>
      <c r="T50" s="29"/>
      <c r="U50" s="29"/>
      <c r="V50" s="141"/>
      <c r="W50" s="340"/>
    </row>
    <row r="51" spans="1:23" s="339" customFormat="1" x14ac:dyDescent="0.25">
      <c r="A51" s="47"/>
      <c r="B51" s="653" t="s">
        <v>787</v>
      </c>
      <c r="C51" s="29"/>
      <c r="D51" s="29"/>
      <c r="E51" s="124"/>
      <c r="F51" s="651"/>
      <c r="G51" s="106" t="s">
        <v>31</v>
      </c>
      <c r="H51" s="650">
        <f>+H50+H39+H43+H44+H45</f>
        <v>1.2680955298440593</v>
      </c>
      <c r="I51" s="52"/>
      <c r="J51" s="29"/>
      <c r="K51" s="29"/>
      <c r="L51" s="29"/>
      <c r="M51" s="29"/>
      <c r="N51" s="106" t="s">
        <v>31</v>
      </c>
      <c r="O51" s="650">
        <f>+O50+O39+O43+O44+O45</f>
        <v>2.348992851615793</v>
      </c>
      <c r="P51" s="52"/>
      <c r="Q51" s="29"/>
      <c r="R51" s="29"/>
      <c r="S51" s="402"/>
      <c r="T51" s="29"/>
      <c r="U51" s="29"/>
      <c r="V51" s="141"/>
      <c r="W51" s="340"/>
    </row>
    <row r="52" spans="1:23" x14ac:dyDescent="0.25">
      <c r="A52" s="47"/>
      <c r="B52" s="54" t="s">
        <v>99</v>
      </c>
      <c r="C52" s="29" t="s">
        <v>101</v>
      </c>
      <c r="D52" s="44"/>
      <c r="E52" s="619">
        <f>+'Calculations - Ref system'!E50</f>
        <v>0.01</v>
      </c>
      <c r="F52" s="44"/>
      <c r="G52" s="44"/>
      <c r="H52" s="1044">
        <f>E52*(H39+H44)</f>
        <v>4.9999599999999995E-3</v>
      </c>
      <c r="I52" s="2"/>
      <c r="J52" s="29" t="s">
        <v>101</v>
      </c>
      <c r="K52" s="44"/>
      <c r="L52" s="645">
        <f>+'Calculations - Ref system'!L50</f>
        <v>0.01</v>
      </c>
      <c r="M52" s="44"/>
      <c r="N52" s="106" t="s">
        <v>31</v>
      </c>
      <c r="O52" s="1045">
        <f>L52*O39</f>
        <v>5.1360037500000014E-4</v>
      </c>
      <c r="P52" s="2"/>
      <c r="Q52" s="29" t="s">
        <v>101</v>
      </c>
      <c r="R52" s="44"/>
      <c r="S52" s="402">
        <f>+'Calculations - Ref system'!S50</f>
        <v>0.01</v>
      </c>
      <c r="T52" s="44"/>
      <c r="U52" s="29" t="s">
        <v>31</v>
      </c>
      <c r="V52" s="144">
        <f>S52*(V39+V44)</f>
        <v>4.0354576230953584E-3</v>
      </c>
      <c r="W52" s="339"/>
    </row>
    <row r="53" spans="1:23" x14ac:dyDescent="0.25">
      <c r="A53" s="47"/>
      <c r="B53" s="54" t="s">
        <v>100</v>
      </c>
      <c r="C53" s="29" t="s">
        <v>102</v>
      </c>
      <c r="D53" s="44"/>
      <c r="E53" s="400">
        <f>+'Calculations - Ref system'!E51</f>
        <v>0</v>
      </c>
      <c r="F53" s="44"/>
      <c r="G53" s="44"/>
      <c r="H53" s="44"/>
      <c r="I53" s="2"/>
      <c r="J53" s="29" t="s">
        <v>102</v>
      </c>
      <c r="K53" s="44"/>
      <c r="L53" s="401">
        <f>+'Calculations - Ref system'!L51</f>
        <v>0</v>
      </c>
      <c r="M53" s="44"/>
      <c r="N53" s="138"/>
      <c r="O53" s="44"/>
      <c r="P53" s="2"/>
      <c r="Q53" s="29" t="s">
        <v>102</v>
      </c>
      <c r="R53" s="44"/>
      <c r="S53" s="402">
        <f>+'Calculations - Ref system'!S51</f>
        <v>7.4999999999999997E-3</v>
      </c>
      <c r="T53" s="44"/>
      <c r="U53" s="29" t="s">
        <v>31</v>
      </c>
      <c r="V53" s="144">
        <f>S53*V46</f>
        <v>1.6656296104158357E-2</v>
      </c>
      <c r="W53" s="339"/>
    </row>
    <row r="54" spans="1:23" ht="15.75" thickBot="1" x14ac:dyDescent="0.3">
      <c r="A54" s="126"/>
      <c r="B54" s="127" t="s">
        <v>270</v>
      </c>
      <c r="C54" s="128"/>
      <c r="D54" s="129"/>
      <c r="E54" s="130"/>
      <c r="F54" s="129"/>
      <c r="G54" s="131" t="s">
        <v>31</v>
      </c>
      <c r="H54" s="655">
        <f>H40*23+H43*44/28*296+H52*44/28*296</f>
        <v>20.257569534791319</v>
      </c>
      <c r="I54" s="133"/>
      <c r="J54" s="139"/>
      <c r="K54" s="129"/>
      <c r="L54" s="130"/>
      <c r="M54" s="129"/>
      <c r="N54" s="131" t="s">
        <v>31</v>
      </c>
      <c r="O54" s="655">
        <f>O40*23+O43*44/28*296+O52*44/28*296</f>
        <v>52.078652369401865</v>
      </c>
      <c r="P54" s="133"/>
      <c r="Q54" s="139"/>
      <c r="R54" s="129"/>
      <c r="S54" s="130"/>
      <c r="T54" s="129"/>
      <c r="U54" s="145" t="s">
        <v>31</v>
      </c>
      <c r="V54" s="146">
        <f>V40*23+(V43+V52+V53)*44/28*296</f>
        <v>34.708246907735308</v>
      </c>
      <c r="W54" s="28"/>
    </row>
    <row r="55" spans="1:23" ht="15.75" thickBot="1" x14ac:dyDescent="0.3">
      <c r="A55" s="28"/>
      <c r="B55" s="28"/>
      <c r="C55" s="28"/>
      <c r="D55" s="28"/>
      <c r="E55" s="28"/>
      <c r="F55" s="28"/>
      <c r="G55" s="28"/>
      <c r="H55" s="28"/>
      <c r="I55" s="28"/>
      <c r="J55" s="28"/>
      <c r="K55" s="28"/>
      <c r="L55" s="28"/>
      <c r="M55" s="28"/>
      <c r="N55" s="28"/>
      <c r="O55" s="28"/>
      <c r="P55" s="28"/>
      <c r="Q55" s="288"/>
      <c r="R55" s="28"/>
      <c r="S55" s="28"/>
      <c r="T55" s="28"/>
      <c r="U55" s="28"/>
      <c r="V55" s="28"/>
    </row>
    <row r="56" spans="1:23" ht="15.75" x14ac:dyDescent="0.25">
      <c r="A56" s="20"/>
      <c r="B56" s="268" t="s">
        <v>304</v>
      </c>
      <c r="C56" s="1193" t="s">
        <v>298</v>
      </c>
      <c r="D56" s="1193"/>
      <c r="E56" s="1193" t="s">
        <v>288</v>
      </c>
      <c r="F56" s="1193"/>
      <c r="G56" s="1193" t="s">
        <v>296</v>
      </c>
      <c r="H56" s="1194"/>
      <c r="I56" s="48"/>
      <c r="J56" s="48"/>
      <c r="K56" s="48"/>
      <c r="L56" s="48"/>
      <c r="M56" s="48"/>
      <c r="N56" s="48"/>
      <c r="O56" s="48"/>
      <c r="P56" s="48"/>
      <c r="R56" s="122" t="s">
        <v>333</v>
      </c>
      <c r="S56" s="48" t="s">
        <v>356</v>
      </c>
      <c r="T56" s="287" t="s">
        <v>357</v>
      </c>
      <c r="U56" s="48"/>
      <c r="V56" s="49"/>
    </row>
    <row r="57" spans="1:23" ht="15.75" x14ac:dyDescent="0.25">
      <c r="A57" s="47"/>
      <c r="B57" s="269"/>
      <c r="C57" s="160" t="s">
        <v>2</v>
      </c>
      <c r="D57" s="82" t="s">
        <v>75</v>
      </c>
      <c r="E57" s="106" t="s">
        <v>2</v>
      </c>
      <c r="F57" s="160" t="s">
        <v>75</v>
      </c>
      <c r="G57" s="82" t="s">
        <v>2</v>
      </c>
      <c r="H57" s="267"/>
      <c r="I57" s="28"/>
      <c r="J57" s="28"/>
      <c r="K57" s="28"/>
      <c r="L57" s="44"/>
      <c r="M57" s="44"/>
      <c r="N57" s="44"/>
      <c r="O57" s="569"/>
      <c r="P57" s="44"/>
      <c r="Q57" s="79"/>
      <c r="R57" s="28"/>
      <c r="S57" s="28"/>
      <c r="T57" s="80"/>
      <c r="U57" s="28"/>
      <c r="V57" s="43"/>
    </row>
    <row r="58" spans="1:23" ht="39" x14ac:dyDescent="0.25">
      <c r="A58" s="47"/>
      <c r="B58" s="270"/>
      <c r="C58" s="33" t="s">
        <v>31</v>
      </c>
      <c r="D58" s="143"/>
      <c r="E58" s="33" t="s">
        <v>286</v>
      </c>
      <c r="F58" s="143"/>
      <c r="G58" s="33" t="s">
        <v>294</v>
      </c>
      <c r="H58" s="226"/>
      <c r="I58" s="28"/>
      <c r="J58" s="28"/>
      <c r="K58" s="28"/>
      <c r="L58" s="28"/>
      <c r="M58" s="28"/>
      <c r="N58" s="28"/>
      <c r="O58" s="28"/>
      <c r="P58" s="28"/>
      <c r="Q58" s="280" t="s">
        <v>358</v>
      </c>
      <c r="R58" s="151">
        <f>-T129*0.75</f>
        <v>-4.04450349089855</v>
      </c>
      <c r="S58" s="33">
        <f>-D12</f>
        <v>0</v>
      </c>
      <c r="T58" s="33">
        <f>-D11</f>
        <v>0</v>
      </c>
      <c r="U58" s="33"/>
      <c r="V58" s="117"/>
    </row>
    <row r="59" spans="1:23" x14ac:dyDescent="0.25">
      <c r="A59" s="47"/>
      <c r="B59" s="54" t="s">
        <v>81</v>
      </c>
      <c r="C59" s="33" t="s">
        <v>31</v>
      </c>
      <c r="D59" s="28"/>
      <c r="E59" s="28"/>
      <c r="F59" s="28"/>
      <c r="G59" s="28"/>
      <c r="H59" s="272"/>
      <c r="I59" s="28"/>
      <c r="J59" s="28"/>
      <c r="K59" s="28"/>
      <c r="L59" s="28"/>
      <c r="M59" s="28"/>
      <c r="N59" s="28"/>
      <c r="O59" s="28"/>
      <c r="P59" s="28"/>
      <c r="Q59" s="33" t="s">
        <v>310</v>
      </c>
      <c r="R59" s="151">
        <f>R58*'Background data'!P258*14/17</f>
        <v>-2.9669615777535373E-2</v>
      </c>
      <c r="S59" s="163">
        <f>'Calculations - Techn'!S58*'Background data'!D47</f>
        <v>0</v>
      </c>
      <c r="T59" s="152">
        <f>T58*'Background data'!D48</f>
        <v>0</v>
      </c>
      <c r="U59" s="33"/>
      <c r="V59" s="117"/>
    </row>
    <row r="60" spans="1:23" x14ac:dyDescent="0.25">
      <c r="A60" s="47"/>
      <c r="B60" s="54" t="s">
        <v>267</v>
      </c>
      <c r="C60" s="33" t="s">
        <v>31</v>
      </c>
      <c r="D60" s="28"/>
      <c r="E60" s="28"/>
      <c r="F60" s="28"/>
      <c r="G60" s="28"/>
      <c r="H60" s="88"/>
      <c r="I60" s="28"/>
      <c r="J60" s="28"/>
      <c r="K60" s="28"/>
      <c r="L60" s="28"/>
      <c r="M60" s="28"/>
      <c r="N60" s="28"/>
      <c r="O60" s="28"/>
      <c r="P60" s="28"/>
      <c r="Q60" s="33" t="s">
        <v>273</v>
      </c>
      <c r="R60" s="151">
        <f>'Background data'!H263*R58</f>
        <v>-12.147442978321097</v>
      </c>
      <c r="S60" s="151">
        <f>S58*'Background data'!G47</f>
        <v>0</v>
      </c>
      <c r="T60" s="151">
        <f>T58*'Background data'!G48</f>
        <v>0</v>
      </c>
      <c r="U60" s="33"/>
      <c r="V60" s="117"/>
    </row>
    <row r="61" spans="1:23" x14ac:dyDescent="0.25">
      <c r="A61" s="47"/>
      <c r="B61" s="54" t="s">
        <v>268</v>
      </c>
      <c r="C61" s="33" t="s">
        <v>31</v>
      </c>
      <c r="D61" s="28"/>
      <c r="E61" s="28"/>
      <c r="F61" s="28"/>
      <c r="G61" s="28"/>
      <c r="H61" s="271"/>
      <c r="I61" s="28"/>
      <c r="J61" s="28"/>
      <c r="K61" s="28"/>
      <c r="L61" s="28"/>
      <c r="M61" s="28"/>
      <c r="N61" s="28"/>
      <c r="O61" s="28"/>
      <c r="P61" s="28"/>
      <c r="Q61" s="33" t="s">
        <v>274</v>
      </c>
      <c r="R61" s="152">
        <f>'Background data'!H262*R58</f>
        <v>-5.662631863503028E-2</v>
      </c>
      <c r="S61" s="290">
        <f>S58*'Background data'!F47</f>
        <v>0</v>
      </c>
      <c r="T61" s="151">
        <f>T58*'Background data'!F48</f>
        <v>0</v>
      </c>
      <c r="U61" s="33"/>
      <c r="V61" s="117"/>
    </row>
    <row r="62" spans="1:23" x14ac:dyDescent="0.25">
      <c r="A62" s="47"/>
      <c r="B62" s="54" t="s">
        <v>82</v>
      </c>
      <c r="C62" s="294" t="s">
        <v>31</v>
      </c>
      <c r="D62" s="28"/>
      <c r="E62" s="28"/>
      <c r="F62" s="28"/>
      <c r="G62" s="28"/>
      <c r="H62" s="89"/>
      <c r="I62" s="28"/>
      <c r="J62" s="28"/>
      <c r="K62" s="28"/>
      <c r="L62" s="28"/>
      <c r="M62" s="28"/>
      <c r="N62" s="28"/>
      <c r="O62" s="28"/>
      <c r="P62" s="28"/>
      <c r="Q62" s="33" t="s">
        <v>275</v>
      </c>
      <c r="R62" s="33">
        <f>'Background data'!H264*R58</f>
        <v>-2.593139567868831E-2</v>
      </c>
      <c r="S62" s="289">
        <f>S58*'Background data'!E47</f>
        <v>0</v>
      </c>
      <c r="T62" s="151">
        <f>T58*'Background data'!E48</f>
        <v>0</v>
      </c>
      <c r="U62" s="33"/>
      <c r="V62" s="117"/>
    </row>
    <row r="63" spans="1:23" ht="18.75" thickBot="1" x14ac:dyDescent="0.4">
      <c r="A63" s="126"/>
      <c r="B63" s="128" t="s">
        <v>270</v>
      </c>
      <c r="C63" s="119" t="s">
        <v>31</v>
      </c>
      <c r="D63" s="133"/>
      <c r="E63" s="133"/>
      <c r="F63" s="133"/>
      <c r="G63" s="133"/>
      <c r="H63" s="273"/>
      <c r="I63" s="133"/>
      <c r="J63" s="133"/>
      <c r="K63" s="133"/>
      <c r="L63" s="133"/>
      <c r="M63" s="133"/>
      <c r="N63" s="133"/>
      <c r="O63" s="133"/>
      <c r="P63" s="133"/>
      <c r="Q63" s="133" t="s">
        <v>278</v>
      </c>
      <c r="R63" s="279">
        <f>R60*1+R61*296+R62*23</f>
        <v>-29.505255394899894</v>
      </c>
      <c r="S63" s="279">
        <f>S60*1+S61*296+S62*23</f>
        <v>0</v>
      </c>
      <c r="T63" s="279">
        <f>T60*1+T61*296+T62*23</f>
        <v>0</v>
      </c>
      <c r="U63" s="153"/>
      <c r="V63" s="156"/>
    </row>
    <row r="64" spans="1:23" x14ac:dyDescent="0.25">
      <c r="A64" s="28"/>
      <c r="B64" s="29" t="s">
        <v>339</v>
      </c>
      <c r="C64" s="33" t="s">
        <v>31</v>
      </c>
      <c r="D64" s="28"/>
      <c r="E64" s="28"/>
      <c r="F64" s="28"/>
      <c r="G64" s="28"/>
      <c r="H64" s="292"/>
      <c r="I64" s="28"/>
      <c r="J64" s="28"/>
      <c r="K64" s="28"/>
      <c r="L64" s="28"/>
      <c r="M64" s="28"/>
      <c r="N64" s="28"/>
      <c r="O64" s="28"/>
      <c r="P64" s="29"/>
      <c r="Q64" s="33" t="s">
        <v>359</v>
      </c>
      <c r="R64" s="293"/>
      <c r="S64" s="299">
        <f>'Background data'!H47*S58</f>
        <v>0</v>
      </c>
      <c r="T64" s="298">
        <f>T58*'Background data'!H48</f>
        <v>0</v>
      </c>
      <c r="U64" s="33"/>
      <c r="V64" s="33"/>
    </row>
    <row r="65" spans="1:25" ht="15.75" thickBot="1" x14ac:dyDescent="0.3">
      <c r="A65" s="45"/>
      <c r="B65" s="295" t="s">
        <v>340</v>
      </c>
      <c r="C65" s="119" t="s">
        <v>31</v>
      </c>
      <c r="D65" s="45"/>
      <c r="E65" s="45"/>
      <c r="F65" s="45"/>
      <c r="G65" s="45"/>
      <c r="H65" s="296"/>
      <c r="I65" s="45"/>
      <c r="J65" s="45"/>
      <c r="K65" s="45"/>
      <c r="L65" s="45"/>
      <c r="M65" s="45"/>
      <c r="N65" s="45"/>
      <c r="O65" s="45"/>
      <c r="P65" s="295"/>
      <c r="Q65" s="119" t="s">
        <v>360</v>
      </c>
      <c r="R65" s="297"/>
      <c r="S65" s="300">
        <f>S58*'Background data'!I47</f>
        <v>0</v>
      </c>
      <c r="T65" s="300">
        <f>T58*'Background data'!I48</f>
        <v>0</v>
      </c>
      <c r="U65" s="119"/>
      <c r="V65" s="119"/>
      <c r="Y65" s="544"/>
    </row>
    <row r="66" spans="1:25" x14ac:dyDescent="0.25">
      <c r="B66" s="79"/>
      <c r="C66" s="27"/>
      <c r="V66" s="27"/>
    </row>
    <row r="67" spans="1:25" ht="19.5" thickBot="1" x14ac:dyDescent="0.4">
      <c r="B67" s="179" t="s">
        <v>316</v>
      </c>
      <c r="C67" s="180"/>
      <c r="D67" s="181"/>
      <c r="E67" s="181"/>
      <c r="F67" s="181"/>
      <c r="G67" s="181"/>
      <c r="H67" s="181"/>
      <c r="J67" s="179" t="s">
        <v>317</v>
      </c>
      <c r="K67" s="180"/>
      <c r="L67" s="181"/>
      <c r="M67" s="181"/>
      <c r="N67" s="181"/>
      <c r="O67" s="181"/>
      <c r="P67" s="181"/>
      <c r="V67" s="27"/>
    </row>
    <row r="68" spans="1:25" ht="21.75" thickTop="1" thickBot="1" x14ac:dyDescent="0.4">
      <c r="A68" s="193"/>
      <c r="B68" s="208" t="s">
        <v>305</v>
      </c>
      <c r="C68" s="209"/>
      <c r="D68" s="209" t="s">
        <v>2</v>
      </c>
      <c r="E68" s="210" t="s">
        <v>24</v>
      </c>
      <c r="F68" s="211" t="s">
        <v>282</v>
      </c>
      <c r="G68" s="211" t="s">
        <v>281</v>
      </c>
      <c r="H68" s="212" t="s">
        <v>283</v>
      </c>
      <c r="I68" s="193"/>
      <c r="J68" s="208" t="s">
        <v>305</v>
      </c>
      <c r="K68" s="209"/>
      <c r="L68" s="209" t="s">
        <v>2</v>
      </c>
      <c r="M68" s="210" t="s">
        <v>24</v>
      </c>
      <c r="N68" s="211" t="s">
        <v>282</v>
      </c>
      <c r="O68" s="211" t="s">
        <v>281</v>
      </c>
      <c r="P68" s="212" t="s">
        <v>283</v>
      </c>
      <c r="Q68" s="339"/>
      <c r="R68" s="339"/>
      <c r="S68" s="339"/>
      <c r="T68" s="339"/>
      <c r="U68" s="339"/>
      <c r="V68" s="341"/>
    </row>
    <row r="69" spans="1:25" x14ac:dyDescent="0.25">
      <c r="A69" s="193"/>
      <c r="B69" s="191" t="s">
        <v>914</v>
      </c>
      <c r="C69" s="171"/>
      <c r="D69" s="171" t="s">
        <v>31</v>
      </c>
      <c r="E69" s="205">
        <f>$E$29+G29</f>
        <v>9.969000279350063E-4</v>
      </c>
      <c r="F69" s="206">
        <f>$L$29</f>
        <v>9.4806312769010032E-5</v>
      </c>
      <c r="G69" s="171"/>
      <c r="H69" s="207">
        <f>SUM(E69:G69)</f>
        <v>1.0917063407040162E-3</v>
      </c>
      <c r="I69" s="193"/>
      <c r="J69" s="191" t="s">
        <v>292</v>
      </c>
      <c r="K69" s="171"/>
      <c r="L69" s="171" t="s">
        <v>31</v>
      </c>
      <c r="M69" s="205">
        <f>$E$29+G29</f>
        <v>9.969000279350063E-4</v>
      </c>
      <c r="N69" s="206">
        <f>$L$29</f>
        <v>9.4806312769010032E-5</v>
      </c>
      <c r="O69" s="171"/>
      <c r="P69" s="207">
        <f>SUM(M69:O69)</f>
        <v>1.0917063407040162E-3</v>
      </c>
      <c r="Q69" s="339"/>
      <c r="R69" s="339"/>
      <c r="S69" s="339"/>
      <c r="T69" s="339"/>
      <c r="U69" s="339"/>
      <c r="V69" s="341"/>
    </row>
    <row r="70" spans="1:25" x14ac:dyDescent="0.25">
      <c r="A70" s="193"/>
      <c r="B70" s="188" t="s">
        <v>913</v>
      </c>
      <c r="C70" s="90"/>
      <c r="D70" s="90" t="s">
        <v>31</v>
      </c>
      <c r="E70" s="93">
        <f>$H$39</f>
        <v>0.49979999999999997</v>
      </c>
      <c r="F70" s="93">
        <f>$O$39</f>
        <v>5.1360037500000011E-2</v>
      </c>
      <c r="G70" s="93">
        <f>$V$39</f>
        <v>0.39815309098833779</v>
      </c>
      <c r="H70" s="194">
        <f>SUM(E70:G70)</f>
        <v>0.94931312848833782</v>
      </c>
      <c r="I70" s="193"/>
      <c r="J70" s="188" t="s">
        <v>306</v>
      </c>
      <c r="K70" s="90"/>
      <c r="L70" s="90" t="s">
        <v>31</v>
      </c>
      <c r="M70" s="93">
        <f>$H$39</f>
        <v>0.49979999999999997</v>
      </c>
      <c r="N70" s="93">
        <f>$O$39</f>
        <v>5.1360037500000011E-2</v>
      </c>
      <c r="O70" s="93">
        <f>$V$39</f>
        <v>0.39815309098833779</v>
      </c>
      <c r="P70" s="194">
        <f>SUM(M70:O70)</f>
        <v>0.94931312848833782</v>
      </c>
      <c r="Q70" s="339"/>
      <c r="R70" s="339"/>
      <c r="S70" s="339"/>
      <c r="T70" s="339"/>
      <c r="U70" s="339"/>
      <c r="V70" s="341"/>
    </row>
    <row r="71" spans="1:25" ht="15.75" thickBot="1" x14ac:dyDescent="0.3">
      <c r="A71" s="193"/>
      <c r="B71" s="189" t="s">
        <v>304</v>
      </c>
      <c r="C71" s="172"/>
      <c r="D71" s="172" t="s">
        <v>31</v>
      </c>
      <c r="E71" s="176">
        <f>H59</f>
        <v>0</v>
      </c>
      <c r="F71" s="172"/>
      <c r="G71" s="177">
        <f>$R$59+S59+T59</f>
        <v>-2.9669615777535373E-2</v>
      </c>
      <c r="H71" s="195">
        <f>SUM(E71:G71)</f>
        <v>-2.9669615777535373E-2</v>
      </c>
      <c r="I71" s="543"/>
      <c r="J71" s="189" t="s">
        <v>304</v>
      </c>
      <c r="K71" s="172"/>
      <c r="L71" s="172" t="s">
        <v>31</v>
      </c>
      <c r="M71" s="178"/>
      <c r="N71" s="172"/>
      <c r="O71" s="177">
        <f>$R$59+S59+T59</f>
        <v>-2.9669615777535373E-2</v>
      </c>
      <c r="P71" s="195">
        <f>SUM(M71:O71)</f>
        <v>-2.9669615777535373E-2</v>
      </c>
      <c r="Q71" s="339"/>
      <c r="R71" s="339"/>
      <c r="S71" s="339"/>
      <c r="T71" s="339"/>
      <c r="U71" s="339"/>
      <c r="V71" s="341"/>
    </row>
    <row r="72" spans="1:25" ht="18.75" thickBot="1" x14ac:dyDescent="0.4">
      <c r="A72" s="193"/>
      <c r="B72" s="227" t="s">
        <v>311</v>
      </c>
      <c r="C72" s="228"/>
      <c r="D72" s="228" t="s">
        <v>31</v>
      </c>
      <c r="E72" s="229">
        <f>SUM(E69:E71)</f>
        <v>0.50079690002793498</v>
      </c>
      <c r="F72" s="229">
        <f>SUM(F69:F71)</f>
        <v>5.1454843812769019E-2</v>
      </c>
      <c r="G72" s="229">
        <f>SUM(G69:G71)</f>
        <v>0.36848347521080244</v>
      </c>
      <c r="H72" s="230">
        <f>SUM(H69:H71)</f>
        <v>0.92073521905150646</v>
      </c>
      <c r="I72" s="542"/>
      <c r="J72" s="227" t="s">
        <v>311</v>
      </c>
      <c r="K72" s="228"/>
      <c r="L72" s="228" t="s">
        <v>31</v>
      </c>
      <c r="M72" s="229">
        <f>SUM(M69:M71)</f>
        <v>0.50079690002793498</v>
      </c>
      <c r="N72" s="229">
        <f>SUM(N69:N71)</f>
        <v>5.1454843812769019E-2</v>
      </c>
      <c r="O72" s="229">
        <f>SUM(O69:O71)</f>
        <v>0.36848347521080244</v>
      </c>
      <c r="P72" s="230">
        <f>SUM(P69:P71)</f>
        <v>0.92073521905150646</v>
      </c>
      <c r="Q72" s="339"/>
      <c r="R72" s="339"/>
      <c r="S72" s="339"/>
      <c r="T72" s="339"/>
      <c r="U72" s="339"/>
      <c r="V72" s="341"/>
    </row>
    <row r="73" spans="1:25" ht="15.75" thickBot="1" x14ac:dyDescent="0.3">
      <c r="A73" s="193"/>
      <c r="B73" s="231" t="s">
        <v>319</v>
      </c>
      <c r="C73" s="232"/>
      <c r="D73" s="239" t="s">
        <v>272</v>
      </c>
      <c r="E73" s="275">
        <f>(E72-'Calculations - Ref system'!E68)/'Calculations - Ref system'!$E$68*100</f>
        <v>-29.888975317021828</v>
      </c>
      <c r="F73" s="275">
        <f>(F72-'Calculations - Ref system'!F68)/'Calculations - Ref system'!$F$68*100</f>
        <v>-47.919477092878665</v>
      </c>
      <c r="G73" s="275">
        <f>(G72-'Calculations - Ref system'!G68)/'Calculations - Ref system'!$G$68*100</f>
        <v>-38.925243416550714</v>
      </c>
      <c r="H73" s="276">
        <f>(H72-'Calculations - Ref system'!H68)/'Calculations - Ref system'!$H$68*100</f>
        <v>-34.995687039141707</v>
      </c>
      <c r="I73" s="193"/>
      <c r="J73" s="231" t="s">
        <v>319</v>
      </c>
      <c r="K73" s="203"/>
      <c r="L73" s="239" t="s">
        <v>272</v>
      </c>
      <c r="M73" s="275">
        <f>(M72-'Calculations - Ref system'!M68)/'Calculations - Ref system'!$M$68*100</f>
        <v>-29.888975317021828</v>
      </c>
      <c r="N73" s="275">
        <f>(N72-'Calculations - Ref system'!N68)/'Calculations - Ref system'!$N$68*100</f>
        <v>-47.919477092878665</v>
      </c>
      <c r="O73" s="275">
        <f>(O72-'Calculations - Ref system'!O68)/'Calculations - Ref system'!$O$68*100</f>
        <v>-38.925243416550714</v>
      </c>
      <c r="P73" s="277">
        <f>(P72-'Calculations - Ref system'!P68)/'Calculations - Ref system'!$P$68*100</f>
        <v>-34.995687039141707</v>
      </c>
      <c r="Q73" s="339"/>
      <c r="R73" s="339"/>
      <c r="S73" s="339"/>
      <c r="T73" s="339"/>
      <c r="U73" s="339"/>
      <c r="V73" s="341"/>
    </row>
    <row r="74" spans="1:25" ht="21.75" thickTop="1" thickBot="1" x14ac:dyDescent="0.4">
      <c r="A74" s="193"/>
      <c r="B74" s="208" t="s">
        <v>307</v>
      </c>
      <c r="C74" s="209"/>
      <c r="D74" s="209" t="s">
        <v>2</v>
      </c>
      <c r="E74" s="213" t="s">
        <v>24</v>
      </c>
      <c r="F74" s="211" t="s">
        <v>282</v>
      </c>
      <c r="G74" s="211" t="s">
        <v>281</v>
      </c>
      <c r="H74" s="212" t="s">
        <v>283</v>
      </c>
      <c r="I74" s="193"/>
      <c r="J74" s="208" t="s">
        <v>307</v>
      </c>
      <c r="K74" s="209"/>
      <c r="L74" s="209" t="s">
        <v>2</v>
      </c>
      <c r="M74" s="213" t="s">
        <v>24</v>
      </c>
      <c r="N74" s="211" t="s">
        <v>282</v>
      </c>
      <c r="O74" s="211" t="s">
        <v>281</v>
      </c>
      <c r="P74" s="212" t="s">
        <v>283</v>
      </c>
      <c r="Q74" s="339"/>
      <c r="R74" s="339"/>
      <c r="S74" s="339"/>
      <c r="T74" s="339"/>
      <c r="U74" s="339"/>
      <c r="V74" s="341"/>
    </row>
    <row r="75" spans="1:25" x14ac:dyDescent="0.25">
      <c r="A75" s="193"/>
      <c r="B75" s="191" t="s">
        <v>292</v>
      </c>
      <c r="C75" s="171" t="s">
        <v>436</v>
      </c>
      <c r="D75" s="171" t="s">
        <v>31</v>
      </c>
      <c r="E75" s="867"/>
      <c r="F75" s="183"/>
      <c r="G75" s="183"/>
      <c r="H75" s="196">
        <f t="shared" ref="H75:H82" si="0">SUM(E75:G75)</f>
        <v>0</v>
      </c>
      <c r="I75" s="470"/>
      <c r="J75" s="191" t="s">
        <v>292</v>
      </c>
      <c r="K75" s="171" t="s">
        <v>293</v>
      </c>
      <c r="L75" s="171" t="s">
        <v>31</v>
      </c>
      <c r="M75" s="183"/>
      <c r="N75" s="183"/>
      <c r="O75" s="183"/>
      <c r="P75" s="197"/>
      <c r="Q75" s="339"/>
      <c r="R75" s="339"/>
      <c r="S75" s="339"/>
      <c r="T75" s="339"/>
      <c r="U75" s="339"/>
      <c r="V75" s="341"/>
    </row>
    <row r="76" spans="1:25" s="339" customFormat="1" x14ac:dyDescent="0.25">
      <c r="A76" s="193"/>
      <c r="B76" s="191"/>
      <c r="C76" s="171" t="s">
        <v>437</v>
      </c>
      <c r="D76" s="171" t="s">
        <v>31</v>
      </c>
      <c r="E76" s="867"/>
      <c r="F76" s="183"/>
      <c r="G76" s="183"/>
      <c r="H76" s="196">
        <f t="shared" si="0"/>
        <v>0</v>
      </c>
      <c r="I76" s="470"/>
      <c r="J76" s="191"/>
      <c r="K76" s="171"/>
      <c r="L76" s="171"/>
      <c r="M76" s="183"/>
      <c r="N76" s="183"/>
      <c r="O76" s="183"/>
      <c r="P76" s="197"/>
      <c r="V76" s="341"/>
    </row>
    <row r="77" spans="1:25" x14ac:dyDescent="0.25">
      <c r="A77" s="193"/>
      <c r="B77" s="188"/>
      <c r="C77" s="90" t="s">
        <v>285</v>
      </c>
      <c r="D77" s="90" t="s">
        <v>31</v>
      </c>
      <c r="E77" s="92">
        <f>$E$35</f>
        <v>51.354137120108689</v>
      </c>
      <c r="F77" s="92">
        <f>$L$35</f>
        <v>4.8838361413999989</v>
      </c>
      <c r="G77" s="92"/>
      <c r="H77" s="197">
        <f t="shared" si="0"/>
        <v>56.237973261508685</v>
      </c>
      <c r="I77" s="470"/>
      <c r="J77" s="188"/>
      <c r="K77" s="90" t="s">
        <v>285</v>
      </c>
      <c r="L77" s="90" t="s">
        <v>31</v>
      </c>
      <c r="M77" s="92">
        <f>$E$35</f>
        <v>51.354137120108689</v>
      </c>
      <c r="N77" s="92">
        <f>$L$35</f>
        <v>4.8838361413999989</v>
      </c>
      <c r="O77" s="92"/>
      <c r="P77" s="197">
        <f t="shared" ref="P77:P82" si="1">SUM(M77:O77)</f>
        <v>56.237973261508685</v>
      </c>
      <c r="Q77" s="339"/>
      <c r="R77" s="339"/>
      <c r="S77" s="339"/>
      <c r="T77" s="339"/>
      <c r="U77" s="339"/>
      <c r="V77" s="341"/>
    </row>
    <row r="78" spans="1:25" x14ac:dyDescent="0.25">
      <c r="A78" s="193"/>
      <c r="B78" s="188"/>
      <c r="C78" s="90" t="s">
        <v>287</v>
      </c>
      <c r="D78" s="90" t="s">
        <v>31</v>
      </c>
      <c r="E78" s="92">
        <f>$F$35</f>
        <v>9.1274706714130431</v>
      </c>
      <c r="F78" s="92"/>
      <c r="G78" s="92"/>
      <c r="H78" s="197">
        <f t="shared" si="0"/>
        <v>9.1274706714130431</v>
      </c>
      <c r="I78" s="470"/>
      <c r="J78" s="188"/>
      <c r="K78" s="90" t="s">
        <v>287</v>
      </c>
      <c r="L78" s="90" t="s">
        <v>31</v>
      </c>
      <c r="M78" s="92">
        <f>$F$35</f>
        <v>9.1274706714130431</v>
      </c>
      <c r="N78" s="92"/>
      <c r="O78" s="92"/>
      <c r="P78" s="197">
        <f t="shared" si="1"/>
        <v>9.1274706714130431</v>
      </c>
      <c r="Q78" s="339"/>
      <c r="R78" s="339"/>
      <c r="S78" s="339"/>
      <c r="T78" s="339"/>
      <c r="U78" s="339"/>
      <c r="V78" s="341"/>
    </row>
    <row r="79" spans="1:25" x14ac:dyDescent="0.25">
      <c r="A79" s="193"/>
      <c r="B79" s="261"/>
      <c r="C79" s="90" t="s">
        <v>334</v>
      </c>
      <c r="D79" s="90" t="s">
        <v>31</v>
      </c>
      <c r="E79" s="91">
        <f>G35</f>
        <v>0</v>
      </c>
      <c r="F79" s="90"/>
      <c r="G79" s="90"/>
      <c r="H79" s="201">
        <f t="shared" si="0"/>
        <v>0</v>
      </c>
      <c r="I79" s="470"/>
      <c r="J79" s="261"/>
      <c r="K79" s="90" t="s">
        <v>334</v>
      </c>
      <c r="L79" s="90" t="s">
        <v>31</v>
      </c>
      <c r="M79" s="91">
        <f>G35</f>
        <v>0</v>
      </c>
      <c r="N79" s="90"/>
      <c r="O79" s="90"/>
      <c r="P79" s="201">
        <f t="shared" si="1"/>
        <v>0</v>
      </c>
      <c r="Q79" s="339"/>
      <c r="R79" s="339"/>
      <c r="S79" s="339"/>
      <c r="T79" s="339"/>
      <c r="U79" s="339"/>
      <c r="V79" s="341"/>
    </row>
    <row r="80" spans="1:25" x14ac:dyDescent="0.25">
      <c r="A80" s="193"/>
      <c r="B80" s="261"/>
      <c r="C80" s="90" t="s">
        <v>346</v>
      </c>
      <c r="D80" s="90" t="s">
        <v>31</v>
      </c>
      <c r="E80" s="91"/>
      <c r="F80" s="90"/>
      <c r="G80" s="93">
        <f>U35</f>
        <v>0</v>
      </c>
      <c r="H80" s="201">
        <f t="shared" si="0"/>
        <v>0</v>
      </c>
      <c r="I80" s="470"/>
      <c r="J80" s="261"/>
      <c r="K80" s="90" t="s">
        <v>346</v>
      </c>
      <c r="L80" s="90" t="s">
        <v>31</v>
      </c>
      <c r="M80" s="91"/>
      <c r="N80" s="90"/>
      <c r="O80" s="93">
        <f>U35</f>
        <v>0</v>
      </c>
      <c r="P80" s="201">
        <f t="shared" si="1"/>
        <v>0</v>
      </c>
      <c r="Q80" s="339"/>
      <c r="R80" s="339"/>
      <c r="S80" s="339"/>
      <c r="T80" s="339"/>
      <c r="U80" s="339"/>
      <c r="V80" s="341"/>
    </row>
    <row r="81" spans="1:22" ht="15.75" thickBot="1" x14ac:dyDescent="0.3">
      <c r="A81" s="193"/>
      <c r="B81" s="198"/>
      <c r="C81" s="199" t="s">
        <v>327</v>
      </c>
      <c r="D81" s="172" t="s">
        <v>31</v>
      </c>
      <c r="E81" s="200"/>
      <c r="F81" s="199"/>
      <c r="G81" s="262">
        <f>S35</f>
        <v>0.8231292517006803</v>
      </c>
      <c r="H81" s="291">
        <f t="shared" si="0"/>
        <v>0.8231292517006803</v>
      </c>
      <c r="I81" s="470">
        <f>+G81-'Calculations - Ref system'!O75</f>
        <v>0</v>
      </c>
      <c r="J81" s="198"/>
      <c r="K81" s="199" t="s">
        <v>327</v>
      </c>
      <c r="L81" s="199" t="s">
        <v>31</v>
      </c>
      <c r="M81" s="200"/>
      <c r="N81" s="199"/>
      <c r="O81" s="262">
        <f>S35</f>
        <v>0.8231292517006803</v>
      </c>
      <c r="P81" s="291">
        <f t="shared" si="1"/>
        <v>0.8231292517006803</v>
      </c>
      <c r="Q81" s="339"/>
      <c r="R81" s="339"/>
      <c r="S81" s="339"/>
      <c r="T81" s="339"/>
      <c r="U81" s="339"/>
      <c r="V81" s="341"/>
    </row>
    <row r="82" spans="1:22" ht="15.75" thickBot="1" x14ac:dyDescent="0.3">
      <c r="A82" s="340"/>
      <c r="B82" s="449" t="s">
        <v>315</v>
      </c>
      <c r="C82" s="237"/>
      <c r="D82" s="237" t="s">
        <v>31</v>
      </c>
      <c r="E82" s="450">
        <f>$H$54</f>
        <v>20.257569534791319</v>
      </c>
      <c r="F82" s="450">
        <f>$O$54</f>
        <v>52.078652369401865</v>
      </c>
      <c r="G82" s="450">
        <f>$V$54</f>
        <v>34.708246907735308</v>
      </c>
      <c r="H82" s="451">
        <f t="shared" si="0"/>
        <v>107.04446881192848</v>
      </c>
      <c r="I82" s="471"/>
      <c r="J82" s="449" t="s">
        <v>315</v>
      </c>
      <c r="K82" s="237"/>
      <c r="L82" s="237" t="s">
        <v>31</v>
      </c>
      <c r="M82" s="450">
        <f>$H$54</f>
        <v>20.257569534791319</v>
      </c>
      <c r="N82" s="450">
        <f>$O$54</f>
        <v>52.078652369401865</v>
      </c>
      <c r="O82" s="450">
        <f>$V$54</f>
        <v>34.708246907735308</v>
      </c>
      <c r="P82" s="451">
        <f t="shared" si="1"/>
        <v>107.04446881192848</v>
      </c>
      <c r="Q82" s="339"/>
      <c r="R82" s="339"/>
      <c r="S82" s="339"/>
      <c r="T82" s="339"/>
      <c r="U82" s="339"/>
      <c r="V82" s="341"/>
    </row>
    <row r="83" spans="1:22" x14ac:dyDescent="0.25">
      <c r="A83" s="193"/>
      <c r="B83" s="191" t="s">
        <v>304</v>
      </c>
      <c r="C83" s="171" t="s">
        <v>313</v>
      </c>
      <c r="D83" s="171" t="s">
        <v>31</v>
      </c>
      <c r="E83" s="183"/>
      <c r="F83" s="183"/>
      <c r="G83" s="202"/>
      <c r="H83" s="183">
        <f t="shared" ref="H83:H88" si="2">SUM(E83:G83)</f>
        <v>0</v>
      </c>
      <c r="I83" s="193"/>
      <c r="J83" s="191" t="s">
        <v>304</v>
      </c>
      <c r="K83" s="171" t="s">
        <v>313</v>
      </c>
      <c r="L83" s="171" t="s">
        <v>31</v>
      </c>
      <c r="M83" s="183"/>
      <c r="N83" s="183"/>
      <c r="O83" s="202"/>
      <c r="P83" s="183">
        <f t="shared" ref="P83:P88" si="3">SUM(M83:O83)</f>
        <v>0</v>
      </c>
      <c r="Q83" s="339"/>
      <c r="R83" s="339"/>
      <c r="S83" s="339"/>
      <c r="T83" s="339"/>
      <c r="U83" s="339"/>
      <c r="V83" s="341"/>
    </row>
    <row r="84" spans="1:22" x14ac:dyDescent="0.25">
      <c r="A84" s="193"/>
      <c r="B84" s="188"/>
      <c r="C84" s="90" t="s">
        <v>285</v>
      </c>
      <c r="D84" s="90" t="s">
        <v>31</v>
      </c>
      <c r="E84" s="92"/>
      <c r="F84" s="92"/>
      <c r="G84" s="447"/>
      <c r="H84" s="92">
        <f t="shared" si="2"/>
        <v>0</v>
      </c>
      <c r="I84" s="193"/>
      <c r="J84" s="188"/>
      <c r="K84" s="90" t="s">
        <v>285</v>
      </c>
      <c r="L84" s="90" t="s">
        <v>31</v>
      </c>
      <c r="M84" s="92"/>
      <c r="N84" s="92"/>
      <c r="O84" s="92"/>
      <c r="P84" s="92">
        <f t="shared" si="3"/>
        <v>0</v>
      </c>
      <c r="Q84" s="339"/>
      <c r="R84" s="339"/>
      <c r="S84" s="339"/>
      <c r="T84" s="339"/>
      <c r="U84" s="339"/>
      <c r="V84" s="341"/>
    </row>
    <row r="85" spans="1:22" x14ac:dyDescent="0.25">
      <c r="A85" s="193"/>
      <c r="B85" s="188"/>
      <c r="C85" s="90" t="s">
        <v>287</v>
      </c>
      <c r="D85" s="90" t="s">
        <v>31</v>
      </c>
      <c r="E85" s="92">
        <f>H63</f>
        <v>0</v>
      </c>
      <c r="F85" s="92"/>
      <c r="G85" s="447"/>
      <c r="H85" s="92">
        <f t="shared" si="2"/>
        <v>0</v>
      </c>
      <c r="I85" s="193"/>
      <c r="J85" s="188"/>
      <c r="K85" s="90" t="s">
        <v>287</v>
      </c>
      <c r="L85" s="90" t="s">
        <v>31</v>
      </c>
      <c r="M85" s="92"/>
      <c r="N85" s="92"/>
      <c r="O85" s="92"/>
      <c r="P85" s="92">
        <f t="shared" si="3"/>
        <v>0</v>
      </c>
      <c r="Q85" s="339"/>
      <c r="R85" s="339"/>
      <c r="S85" s="339"/>
      <c r="T85" s="339"/>
      <c r="U85" s="339"/>
      <c r="V85" s="341"/>
    </row>
    <row r="86" spans="1:22" x14ac:dyDescent="0.25">
      <c r="A86" s="193"/>
      <c r="B86" s="261"/>
      <c r="C86" s="90" t="s">
        <v>266</v>
      </c>
      <c r="D86" s="90" t="s">
        <v>31</v>
      </c>
      <c r="E86" s="92"/>
      <c r="F86" s="92"/>
      <c r="G86" s="447">
        <f>$R$63</f>
        <v>-29.505255394899894</v>
      </c>
      <c r="H86" s="92">
        <f t="shared" si="2"/>
        <v>-29.505255394899894</v>
      </c>
      <c r="I86" s="470">
        <f>+G86-'Calculations - Ref system'!O80</f>
        <v>-1.4236475096806629</v>
      </c>
      <c r="J86" s="261"/>
      <c r="K86" s="90" t="s">
        <v>266</v>
      </c>
      <c r="L86" s="90" t="s">
        <v>31</v>
      </c>
      <c r="M86" s="92"/>
      <c r="N86" s="92"/>
      <c r="O86" s="92">
        <f>$R$63</f>
        <v>-29.505255394899894</v>
      </c>
      <c r="P86" s="92">
        <f t="shared" si="3"/>
        <v>-29.505255394899894</v>
      </c>
      <c r="Q86" s="339"/>
      <c r="R86" s="339"/>
      <c r="S86" s="339"/>
      <c r="T86" s="339"/>
      <c r="U86" s="339"/>
      <c r="V86" s="341"/>
    </row>
    <row r="87" spans="1:22" x14ac:dyDescent="0.25">
      <c r="A87" s="193"/>
      <c r="B87" s="261"/>
      <c r="C87" s="90" t="s">
        <v>356</v>
      </c>
      <c r="D87" s="90" t="s">
        <v>31</v>
      </c>
      <c r="E87" s="92"/>
      <c r="F87" s="92"/>
      <c r="G87" s="448">
        <f>S63</f>
        <v>0</v>
      </c>
      <c r="H87" s="92">
        <f t="shared" si="2"/>
        <v>0</v>
      </c>
      <c r="I87" s="193"/>
      <c r="J87" s="261"/>
      <c r="K87" s="90" t="s">
        <v>356</v>
      </c>
      <c r="L87" s="90" t="s">
        <v>31</v>
      </c>
      <c r="M87" s="92"/>
      <c r="N87" s="92"/>
      <c r="O87" s="91">
        <f>S63</f>
        <v>0</v>
      </c>
      <c r="P87" s="92">
        <f t="shared" si="3"/>
        <v>0</v>
      </c>
      <c r="Q87" s="339"/>
      <c r="R87" s="339"/>
      <c r="S87" s="339"/>
      <c r="T87" s="339"/>
      <c r="U87" s="339"/>
      <c r="V87" s="341"/>
    </row>
    <row r="88" spans="1:22" ht="15.75" thickBot="1" x14ac:dyDescent="0.3">
      <c r="A88" s="193"/>
      <c r="B88" s="452"/>
      <c r="C88" s="453" t="s">
        <v>357</v>
      </c>
      <c r="D88" s="173" t="s">
        <v>31</v>
      </c>
      <c r="E88" s="454"/>
      <c r="F88" s="454"/>
      <c r="G88" s="455">
        <f>T63</f>
        <v>0</v>
      </c>
      <c r="H88" s="456">
        <f t="shared" si="2"/>
        <v>0</v>
      </c>
      <c r="I88" s="193"/>
      <c r="J88" s="452"/>
      <c r="K88" s="453" t="s">
        <v>357</v>
      </c>
      <c r="L88" s="173" t="s">
        <v>31</v>
      </c>
      <c r="M88" s="454"/>
      <c r="N88" s="454"/>
      <c r="O88" s="454">
        <f>T63</f>
        <v>0</v>
      </c>
      <c r="P88" s="456">
        <f t="shared" si="3"/>
        <v>0</v>
      </c>
      <c r="Q88" s="339"/>
      <c r="R88" s="339"/>
      <c r="S88" s="339"/>
      <c r="T88" s="339"/>
      <c r="U88" s="339"/>
      <c r="V88" s="341"/>
    </row>
    <row r="89" spans="1:22" ht="15.75" thickBot="1" x14ac:dyDescent="0.3">
      <c r="A89" s="340"/>
      <c r="B89" s="449" t="s">
        <v>308</v>
      </c>
      <c r="C89" s="236"/>
      <c r="D89" s="237" t="s">
        <v>31</v>
      </c>
      <c r="E89" s="238">
        <f>SUM(E75:E88)</f>
        <v>80.739177326313055</v>
      </c>
      <c r="F89" s="238">
        <f>SUM(F75:F88)</f>
        <v>56.962488510801862</v>
      </c>
      <c r="G89" s="238">
        <f>SUM(G75:G88)</f>
        <v>6.0261207645360919</v>
      </c>
      <c r="H89" s="457">
        <f>SUM(H75:H86)</f>
        <v>143.72778660165096</v>
      </c>
      <c r="I89" s="340"/>
      <c r="J89" s="449" t="s">
        <v>308</v>
      </c>
      <c r="K89" s="236"/>
      <c r="L89" s="237" t="s">
        <v>31</v>
      </c>
      <c r="M89" s="238">
        <f>SUM(M75:M88)</f>
        <v>80.739177326313055</v>
      </c>
      <c r="N89" s="238">
        <f>SUM(N75:N88)</f>
        <v>56.962488510801862</v>
      </c>
      <c r="O89" s="238">
        <f>SUM(O75:O88)</f>
        <v>6.0261207645360919</v>
      </c>
      <c r="P89" s="457">
        <f>SUM(P75:P86)</f>
        <v>143.72778660165096</v>
      </c>
      <c r="Q89" s="339"/>
      <c r="R89" s="339"/>
      <c r="S89" s="339"/>
      <c r="T89" s="339"/>
      <c r="U89" s="339"/>
      <c r="V89" s="341"/>
    </row>
    <row r="90" spans="1:22" ht="15.75" thickBot="1" x14ac:dyDescent="0.3">
      <c r="A90" s="193"/>
      <c r="B90" s="231" t="s">
        <v>319</v>
      </c>
      <c r="C90" s="203"/>
      <c r="D90" s="239" t="s">
        <v>272</v>
      </c>
      <c r="E90" s="233">
        <f>(E89-'Calculations - Ref system'!$E$81)/'Calculations - Ref system'!$E$81*100</f>
        <v>77.903437544586851</v>
      </c>
      <c r="F90" s="233">
        <f>(F89-'Calculations - Ref system'!$F$81)/'Calculations - Ref system'!$F$81*100</f>
        <v>0.57816031332090312</v>
      </c>
      <c r="G90" s="233">
        <f>(G89-'Calculations - Ref system'!$G$81)/'Calculations - Ref system'!$G$81*100</f>
        <v>-8.0481921780888719</v>
      </c>
      <c r="H90" s="234">
        <f>(H89-'Calculations - Ref system'!$H$81)/'Calculations - Ref system'!$H$81*100</f>
        <v>32.379769478006573</v>
      </c>
      <c r="I90" s="193"/>
      <c r="J90" s="231" t="s">
        <v>319</v>
      </c>
      <c r="K90" s="203"/>
      <c r="L90" s="239" t="s">
        <v>272</v>
      </c>
      <c r="M90" s="233">
        <f>(M89-'Calculations - Ref system'!$M$81)/'Calculations - Ref system'!$M$81*100</f>
        <v>77.903437544586851</v>
      </c>
      <c r="N90" s="233">
        <f>(N89-'Calculations - Ref system'!$N$81)/'Calculations - Ref system'!$N$81*100</f>
        <v>0.57816031332090312</v>
      </c>
      <c r="O90" s="233">
        <f>(O89-'Calculations - Ref system'!$O$81)/'Calculations - Ref system'!$O$81*100</f>
        <v>-8.0481921780888719</v>
      </c>
      <c r="P90" s="253">
        <f>(P89-'Calculations - Ref system'!$P$81)/'Calculations - Ref system'!$P$81*100</f>
        <v>32.379769478006573</v>
      </c>
      <c r="Q90" s="339"/>
      <c r="R90" s="339"/>
      <c r="S90" s="339"/>
      <c r="T90" s="339"/>
      <c r="U90" s="339"/>
      <c r="V90" s="341"/>
    </row>
    <row r="91" spans="1:22" ht="20.25" thickTop="1" thickBot="1" x14ac:dyDescent="0.35">
      <c r="A91" s="193"/>
      <c r="B91" s="208" t="s">
        <v>284</v>
      </c>
      <c r="C91" s="209"/>
      <c r="D91" s="209" t="s">
        <v>2</v>
      </c>
      <c r="E91" s="213" t="s">
        <v>24</v>
      </c>
      <c r="F91" s="211" t="s">
        <v>282</v>
      </c>
      <c r="G91" s="211" t="s">
        <v>281</v>
      </c>
      <c r="H91" s="212" t="s">
        <v>283</v>
      </c>
      <c r="I91" s="193"/>
      <c r="J91" s="208" t="s">
        <v>284</v>
      </c>
      <c r="K91" s="209"/>
      <c r="L91" s="209" t="s">
        <v>2</v>
      </c>
      <c r="M91" s="213" t="s">
        <v>24</v>
      </c>
      <c r="N91" s="211" t="s">
        <v>282</v>
      </c>
      <c r="O91" s="211" t="s">
        <v>281</v>
      </c>
      <c r="P91" s="212" t="s">
        <v>283</v>
      </c>
      <c r="Q91" s="339"/>
      <c r="R91" s="339"/>
      <c r="S91" s="339"/>
      <c r="T91" s="339"/>
      <c r="U91" s="339"/>
      <c r="V91" s="341"/>
    </row>
    <row r="92" spans="1:22" ht="15.75" thickBot="1" x14ac:dyDescent="0.3">
      <c r="A92" s="193"/>
      <c r="B92" s="254" t="s">
        <v>306</v>
      </c>
      <c r="C92" s="237"/>
      <c r="D92" s="237" t="s">
        <v>31</v>
      </c>
      <c r="E92" s="246"/>
      <c r="F92" s="255"/>
      <c r="G92" s="247">
        <f>$V$46+S64+T64</f>
        <v>2.2208394805544476</v>
      </c>
      <c r="H92" s="248">
        <f>SUM(D92:G92)</f>
        <v>2.2208394805544476</v>
      </c>
      <c r="I92" s="193"/>
      <c r="J92" s="254" t="s">
        <v>306</v>
      </c>
      <c r="K92" s="237"/>
      <c r="L92" s="237" t="s">
        <v>31</v>
      </c>
      <c r="M92" s="246"/>
      <c r="N92" s="255"/>
      <c r="O92" s="247">
        <f>$V$46+S64+T64</f>
        <v>2.2208394805544476</v>
      </c>
      <c r="P92" s="248">
        <f>SUM(L92:O92)</f>
        <v>2.2208394805544476</v>
      </c>
      <c r="Q92" s="339"/>
      <c r="R92" s="339"/>
      <c r="S92" s="339"/>
      <c r="T92" s="339"/>
      <c r="U92" s="339"/>
      <c r="V92" s="341"/>
    </row>
    <row r="93" spans="1:22" ht="15.75" thickBot="1" x14ac:dyDescent="0.3">
      <c r="A93" s="193"/>
      <c r="B93" s="256" t="s">
        <v>319</v>
      </c>
      <c r="C93" s="185"/>
      <c r="D93" s="257" t="s">
        <v>272</v>
      </c>
      <c r="E93" s="258"/>
      <c r="F93" s="259"/>
      <c r="G93" s="258">
        <f>(G92-'Calculations - Ref system'!G83)/'Calculations - Ref system'!G83*100</f>
        <v>11.041975937083198</v>
      </c>
      <c r="H93" s="253">
        <f>(H92-'Calculations - Ref system'!H83)/'Calculations - Ref system'!H83*100</f>
        <v>11.041975937083198</v>
      </c>
      <c r="I93" s="193"/>
      <c r="J93" s="251" t="s">
        <v>319</v>
      </c>
      <c r="K93" s="204"/>
      <c r="L93" s="252" t="s">
        <v>272</v>
      </c>
      <c r="M93" s="244"/>
      <c r="N93" s="245"/>
      <c r="O93" s="249">
        <f>(O92-'Calculations - Ref system'!O83)/'Calculations - Ref system'!O83*100</f>
        <v>11.041975937083198</v>
      </c>
      <c r="P93" s="249">
        <f>(P92-'Calculations - Ref system'!P83)/'Calculations - Ref system'!P83*100</f>
        <v>11.041975937083198</v>
      </c>
      <c r="Q93" s="339"/>
      <c r="R93" s="339"/>
      <c r="S93" s="339"/>
      <c r="T93" s="339"/>
      <c r="U93" s="339"/>
      <c r="V93" s="341"/>
    </row>
    <row r="94" spans="1:22" ht="20.25" thickTop="1" thickBot="1" x14ac:dyDescent="0.35">
      <c r="A94" s="193"/>
      <c r="B94" s="240" t="s">
        <v>312</v>
      </c>
      <c r="C94" s="199"/>
      <c r="D94" s="199" t="s">
        <v>2</v>
      </c>
      <c r="E94" s="241" t="s">
        <v>24</v>
      </c>
      <c r="F94" s="242" t="s">
        <v>282</v>
      </c>
      <c r="G94" s="242" t="s">
        <v>281</v>
      </c>
      <c r="H94" s="243" t="s">
        <v>283</v>
      </c>
      <c r="I94" s="193"/>
      <c r="J94" s="240" t="s">
        <v>312</v>
      </c>
      <c r="K94" s="199"/>
      <c r="L94" s="199" t="s">
        <v>2</v>
      </c>
      <c r="M94" s="241" t="s">
        <v>24</v>
      </c>
      <c r="N94" s="242" t="s">
        <v>282</v>
      </c>
      <c r="O94" s="242" t="s">
        <v>281</v>
      </c>
      <c r="P94" s="243" t="s">
        <v>283</v>
      </c>
      <c r="Q94" s="339"/>
      <c r="R94" s="339"/>
      <c r="S94" s="339"/>
      <c r="T94" s="339"/>
      <c r="U94" s="339"/>
      <c r="V94" s="341"/>
    </row>
    <row r="95" spans="1:22" ht="15.75" thickBot="1" x14ac:dyDescent="0.3">
      <c r="A95" s="193"/>
      <c r="B95" s="235" t="s">
        <v>306</v>
      </c>
      <c r="C95" s="237"/>
      <c r="D95" s="237" t="s">
        <v>31</v>
      </c>
      <c r="E95" s="246"/>
      <c r="F95" s="237"/>
      <c r="G95" s="247">
        <f>$V$47+S65+T65</f>
        <v>0.12127659574468085</v>
      </c>
      <c r="H95" s="248">
        <f>SUM(D95:G95)</f>
        <v>0.12127659574468085</v>
      </c>
      <c r="I95" s="193"/>
      <c r="J95" s="235" t="s">
        <v>306</v>
      </c>
      <c r="K95" s="237"/>
      <c r="L95" s="237" t="s">
        <v>31</v>
      </c>
      <c r="M95" s="246"/>
      <c r="N95" s="237"/>
      <c r="O95" s="247">
        <f>$V$47+S65+T65</f>
        <v>0.12127659574468085</v>
      </c>
      <c r="P95" s="248">
        <f>SUM(L95:O95)</f>
        <v>0.12127659574468085</v>
      </c>
      <c r="Q95" s="339"/>
      <c r="R95" s="339"/>
      <c r="S95" s="339"/>
      <c r="T95" s="339"/>
      <c r="U95" s="339"/>
      <c r="V95" s="341"/>
    </row>
    <row r="96" spans="1:22" ht="15.75" thickBot="1" x14ac:dyDescent="0.3">
      <c r="A96" s="193"/>
      <c r="B96" s="251" t="s">
        <v>319</v>
      </c>
      <c r="C96" s="204"/>
      <c r="D96" s="252" t="s">
        <v>272</v>
      </c>
      <c r="E96" s="249"/>
      <c r="F96" s="250"/>
      <c r="G96" s="249">
        <f>(G95-'Calculations - Ref system'!G85)/'Calculations - Ref system'!G85*100</f>
        <v>0</v>
      </c>
      <c r="H96" s="234">
        <f>(H95-'Calculations - Ref system'!H85)/'Calculations - Ref system'!H85*100</f>
        <v>0</v>
      </c>
      <c r="I96" s="28"/>
      <c r="J96" s="251" t="s">
        <v>319</v>
      </c>
      <c r="K96" s="204"/>
      <c r="L96" s="252" t="s">
        <v>272</v>
      </c>
      <c r="M96" s="249"/>
      <c r="N96" s="250"/>
      <c r="O96" s="249">
        <f>(O95-'Calculations - Ref system'!O85)/'Calculations - Ref system'!O85*100</f>
        <v>0</v>
      </c>
      <c r="P96" s="234">
        <f>(P95-'Calculations - Ref system'!P85)/'Calculations - Ref system'!P85*100</f>
        <v>0</v>
      </c>
      <c r="Q96" s="339"/>
      <c r="R96" s="339"/>
      <c r="S96" s="339"/>
      <c r="T96" s="339"/>
      <c r="U96" s="339"/>
      <c r="V96" s="341"/>
    </row>
    <row r="97" spans="1:10" ht="15.75" thickTop="1" x14ac:dyDescent="0.25">
      <c r="A97" s="193"/>
      <c r="B97" s="223" t="s">
        <v>314</v>
      </c>
      <c r="I97" s="28"/>
      <c r="J97" s="223" t="s">
        <v>314</v>
      </c>
    </row>
    <row r="98" spans="1:10" x14ac:dyDescent="0.25">
      <c r="A98" s="28"/>
      <c r="B98" s="218"/>
    </row>
    <row r="119" spans="1:22" ht="24" thickBot="1" x14ac:dyDescent="0.4">
      <c r="D119" s="224" t="s">
        <v>291</v>
      </c>
      <c r="E119" s="224"/>
      <c r="F119" s="224"/>
      <c r="H119" s="45"/>
      <c r="K119" s="224" t="s">
        <v>289</v>
      </c>
      <c r="L119" s="224"/>
      <c r="M119" s="224"/>
      <c r="O119" s="95"/>
      <c r="P119" s="28"/>
      <c r="Q119" s="224" t="s">
        <v>290</v>
      </c>
      <c r="R119" s="45"/>
      <c r="S119" s="28"/>
      <c r="T119" s="28"/>
    </row>
    <row r="120" spans="1:22" ht="16.5" thickBot="1" x14ac:dyDescent="0.3">
      <c r="B120" s="110" t="s">
        <v>265</v>
      </c>
      <c r="C120" s="111"/>
      <c r="G120" s="112"/>
      <c r="H120" s="225"/>
      <c r="I120" s="113"/>
      <c r="J120" s="112"/>
      <c r="N120" s="112"/>
      <c r="O120" s="225"/>
      <c r="P120" s="113"/>
      <c r="Q120" s="112"/>
      <c r="S120" s="115"/>
      <c r="T120" s="115"/>
      <c r="U120" s="112"/>
      <c r="V120" s="116"/>
    </row>
    <row r="121" spans="1:22" x14ac:dyDescent="0.25">
      <c r="A121" s="20"/>
      <c r="B121" s="51"/>
      <c r="C121" s="97"/>
      <c r="D121" s="33"/>
      <c r="E121" s="33" t="s">
        <v>2</v>
      </c>
      <c r="F121" s="33"/>
      <c r="G121" s="33"/>
      <c r="H121" s="51" t="s">
        <v>79</v>
      </c>
      <c r="I121" s="52"/>
      <c r="J121" s="33"/>
      <c r="K121" s="33"/>
      <c r="L121" s="33" t="s">
        <v>2</v>
      </c>
      <c r="M121" s="33"/>
      <c r="N121" s="33"/>
      <c r="O121" s="51" t="s">
        <v>79</v>
      </c>
      <c r="P121" s="52"/>
      <c r="Q121" s="33"/>
      <c r="R121" s="33"/>
      <c r="S121" s="33" t="s">
        <v>2</v>
      </c>
      <c r="T121" s="33"/>
      <c r="U121" s="33"/>
      <c r="V121" s="117"/>
    </row>
    <row r="122" spans="1:22" x14ac:dyDescent="0.25">
      <c r="A122" s="47"/>
      <c r="B122" s="51" t="s">
        <v>0</v>
      </c>
      <c r="C122" s="33"/>
      <c r="D122" s="33"/>
      <c r="E122" s="82" t="s">
        <v>3</v>
      </c>
      <c r="F122" s="98">
        <v>1000</v>
      </c>
      <c r="G122" s="33"/>
      <c r="H122" s="51"/>
      <c r="I122" s="52"/>
      <c r="J122" s="33"/>
      <c r="K122" s="33"/>
      <c r="L122" s="82" t="s">
        <v>3</v>
      </c>
      <c r="M122" s="98">
        <v>1000</v>
      </c>
      <c r="N122" s="33"/>
      <c r="O122" s="51"/>
      <c r="P122" s="52"/>
      <c r="Q122" s="33"/>
      <c r="R122" s="33"/>
      <c r="S122" s="82" t="s">
        <v>3</v>
      </c>
      <c r="T122" s="98">
        <v>1000</v>
      </c>
      <c r="U122" s="33"/>
      <c r="V122" s="117"/>
    </row>
    <row r="123" spans="1:22" x14ac:dyDescent="0.25">
      <c r="A123" s="47"/>
      <c r="B123" s="51" t="s">
        <v>1</v>
      </c>
      <c r="C123" s="33"/>
      <c r="D123" s="82" t="s">
        <v>5</v>
      </c>
      <c r="E123" s="82" t="s">
        <v>3</v>
      </c>
      <c r="F123" s="33"/>
      <c r="G123" s="33"/>
      <c r="H123" s="51"/>
      <c r="I123" s="52"/>
      <c r="J123" s="33"/>
      <c r="K123" s="82"/>
      <c r="L123" s="82"/>
      <c r="M123" s="33"/>
      <c r="N123" s="33"/>
      <c r="O123" s="51"/>
      <c r="P123" s="52"/>
      <c r="Q123" s="33"/>
      <c r="R123" s="82"/>
      <c r="S123" s="82"/>
      <c r="T123" s="33"/>
      <c r="U123" s="33"/>
      <c r="V123" s="117"/>
    </row>
    <row r="124" spans="1:22" x14ac:dyDescent="0.25">
      <c r="A124" s="47"/>
      <c r="B124" s="51" t="s">
        <v>4</v>
      </c>
      <c r="C124" s="33"/>
      <c r="D124" s="33"/>
      <c r="E124" s="82" t="s">
        <v>3</v>
      </c>
      <c r="F124" s="33"/>
      <c r="G124" s="33"/>
      <c r="H124" s="51" t="s">
        <v>78</v>
      </c>
      <c r="I124" s="52"/>
      <c r="J124" s="33"/>
      <c r="K124" s="33"/>
      <c r="L124" s="82"/>
      <c r="M124" s="33"/>
      <c r="N124" s="33"/>
      <c r="O124" s="51"/>
      <c r="P124" s="52"/>
      <c r="Q124" s="33"/>
      <c r="R124" s="33"/>
      <c r="S124" s="82"/>
      <c r="T124" s="33"/>
      <c r="U124" s="33"/>
      <c r="V124" s="117"/>
    </row>
    <row r="125" spans="1:22" x14ac:dyDescent="0.25">
      <c r="A125" s="47"/>
      <c r="B125" s="51" t="s">
        <v>7</v>
      </c>
      <c r="C125" s="33"/>
      <c r="D125" s="82" t="s">
        <v>6</v>
      </c>
      <c r="E125" s="82" t="s">
        <v>3</v>
      </c>
      <c r="F125" s="658">
        <f>+'Calculations - Ref system'!F11*(100+C15)/100</f>
        <v>60.363134438496928</v>
      </c>
      <c r="G125" s="33"/>
      <c r="H125" s="51" t="s">
        <v>85</v>
      </c>
      <c r="I125" s="52"/>
      <c r="J125" s="33"/>
      <c r="K125" s="82" t="s">
        <v>6</v>
      </c>
      <c r="L125" s="82" t="s">
        <v>3</v>
      </c>
      <c r="M125" s="657">
        <f>+F125-H51</f>
        <v>59.095038908652867</v>
      </c>
      <c r="N125" s="33"/>
      <c r="O125" s="51" t="s">
        <v>85</v>
      </c>
      <c r="P125" s="52"/>
      <c r="Q125" s="33"/>
      <c r="R125" s="82" t="s">
        <v>6</v>
      </c>
      <c r="S125" s="82" t="s">
        <v>3</v>
      </c>
      <c r="T125" s="657">
        <f>+M125-O51</f>
        <v>56.746046057037077</v>
      </c>
      <c r="U125" s="33"/>
      <c r="V125" s="117"/>
    </row>
    <row r="126" spans="1:22" x14ac:dyDescent="0.25">
      <c r="A126" s="47"/>
      <c r="B126" s="53" t="s">
        <v>8</v>
      </c>
      <c r="C126" s="100"/>
      <c r="D126" s="101"/>
      <c r="E126" s="101" t="s">
        <v>3</v>
      </c>
      <c r="F126" s="33"/>
      <c r="G126" s="33"/>
      <c r="H126" s="51"/>
      <c r="I126" s="52"/>
      <c r="J126" s="33"/>
      <c r="K126" s="101"/>
      <c r="L126" s="101" t="s">
        <v>3</v>
      </c>
      <c r="M126" s="102"/>
      <c r="N126" s="33"/>
      <c r="O126" s="51"/>
      <c r="P126" s="52"/>
      <c r="Q126" s="33"/>
      <c r="R126" s="101"/>
      <c r="S126" s="101" t="s">
        <v>3</v>
      </c>
      <c r="T126" s="102"/>
      <c r="U126" s="33"/>
      <c r="V126" s="117"/>
    </row>
    <row r="127" spans="1:22" x14ac:dyDescent="0.25">
      <c r="A127" s="47"/>
      <c r="B127" s="53" t="s">
        <v>9</v>
      </c>
      <c r="C127" s="100"/>
      <c r="D127" s="101"/>
      <c r="E127" s="101" t="s">
        <v>3</v>
      </c>
      <c r="F127" s="33"/>
      <c r="G127" s="33"/>
      <c r="H127" s="51"/>
      <c r="I127" s="52"/>
      <c r="J127" s="33"/>
      <c r="K127" s="101"/>
      <c r="L127" s="101" t="s">
        <v>3</v>
      </c>
      <c r="M127" s="102"/>
      <c r="N127" s="33"/>
      <c r="O127" s="51"/>
      <c r="P127" s="52"/>
      <c r="Q127" s="33"/>
      <c r="R127" s="101"/>
      <c r="S127" s="101" t="s">
        <v>3</v>
      </c>
      <c r="T127" s="102"/>
      <c r="U127" s="33"/>
      <c r="V127" s="117"/>
    </row>
    <row r="128" spans="1:22" x14ac:dyDescent="0.25">
      <c r="A128" s="47"/>
      <c r="B128" s="51" t="s">
        <v>28</v>
      </c>
      <c r="C128" s="33"/>
      <c r="D128" s="82" t="s">
        <v>29</v>
      </c>
      <c r="E128" s="82" t="s">
        <v>3</v>
      </c>
      <c r="F128" s="408"/>
      <c r="G128" s="33"/>
      <c r="H128" s="51"/>
      <c r="I128" s="52"/>
      <c r="J128" s="33"/>
      <c r="K128" s="82" t="s">
        <v>29</v>
      </c>
      <c r="L128" s="82" t="s">
        <v>3</v>
      </c>
      <c r="M128" s="413"/>
      <c r="N128" s="33"/>
      <c r="O128" s="51" t="s">
        <v>430</v>
      </c>
      <c r="P128" s="52"/>
      <c r="Q128" s="33"/>
      <c r="R128" s="82"/>
      <c r="S128" s="82" t="s">
        <v>3</v>
      </c>
      <c r="T128" s="413"/>
      <c r="U128" s="33"/>
      <c r="V128" s="117"/>
    </row>
    <row r="129" spans="1:22" x14ac:dyDescent="0.25">
      <c r="A129" s="47"/>
      <c r="B129" s="51" t="s">
        <v>10</v>
      </c>
      <c r="C129" s="33"/>
      <c r="D129" s="82" t="s">
        <v>11</v>
      </c>
      <c r="E129" s="82" t="s">
        <v>3</v>
      </c>
      <c r="F129" s="658">
        <f>+'Calculations - Ref system'!F15*(100+C16)/100</f>
        <v>6</v>
      </c>
      <c r="G129" s="33"/>
      <c r="H129" s="51"/>
      <c r="I129" s="52"/>
      <c r="J129" s="33"/>
      <c r="K129" s="82" t="s">
        <v>11</v>
      </c>
      <c r="L129" s="82" t="s">
        <v>3</v>
      </c>
      <c r="M129" s="646">
        <f>(F129-H39-H43-H44-H45+'Background data'!C26)/'Background data'!D32</f>
        <v>5.4784040000000003</v>
      </c>
      <c r="N129" s="33"/>
      <c r="O129" s="51" t="s">
        <v>98</v>
      </c>
      <c r="P129" s="52"/>
      <c r="Q129" s="33"/>
      <c r="R129" s="82" t="s">
        <v>11</v>
      </c>
      <c r="S129" s="82" t="s">
        <v>3</v>
      </c>
      <c r="T129" s="415">
        <f>(F129-H39-H43-H44-H45-O39-O43-O44-O45+'Background data'!C26)/'Background data'!D34</f>
        <v>5.3926713211980664</v>
      </c>
      <c r="U129" s="33"/>
      <c r="V129" s="117"/>
    </row>
    <row r="130" spans="1:22" x14ac:dyDescent="0.25">
      <c r="A130" s="47"/>
      <c r="B130" s="51" t="s">
        <v>12</v>
      </c>
      <c r="C130" s="33"/>
      <c r="D130" s="82" t="s">
        <v>13</v>
      </c>
      <c r="E130" s="82" t="s">
        <v>3</v>
      </c>
      <c r="F130" s="408">
        <f>+'Calculations - Ref system'!F16</f>
        <v>0</v>
      </c>
      <c r="G130" s="33"/>
      <c r="H130" s="51"/>
      <c r="I130" s="52"/>
      <c r="J130" s="33"/>
      <c r="K130" s="82" t="s">
        <v>13</v>
      </c>
      <c r="L130" s="82" t="s">
        <v>3</v>
      </c>
      <c r="M130" s="33"/>
      <c r="N130" s="33"/>
      <c r="O130" s="51"/>
      <c r="P130" s="52"/>
      <c r="Q130" s="33"/>
      <c r="R130" s="82" t="s">
        <v>13</v>
      </c>
      <c r="S130" s="82" t="s">
        <v>3</v>
      </c>
      <c r="T130" s="407">
        <v>3.07</v>
      </c>
      <c r="U130" s="33"/>
      <c r="V130" s="117"/>
    </row>
    <row r="131" spans="1:22" x14ac:dyDescent="0.25">
      <c r="A131" s="47"/>
      <c r="B131" s="51" t="s">
        <v>15</v>
      </c>
      <c r="C131" s="33"/>
      <c r="D131" s="82" t="s">
        <v>14</v>
      </c>
      <c r="E131" s="82" t="s">
        <v>3</v>
      </c>
      <c r="F131" s="406">
        <f>+'Calculations - Ref system'!F17*(100+C17)/100</f>
        <v>1.2127659574468084</v>
      </c>
      <c r="G131" s="33"/>
      <c r="H131" s="51"/>
      <c r="I131" s="52"/>
      <c r="J131" s="33"/>
      <c r="K131" s="82" t="s">
        <v>14</v>
      </c>
      <c r="L131" s="82" t="s">
        <v>3</v>
      </c>
      <c r="M131" s="406">
        <f t="shared" ref="M131:M136" si="4">+F131</f>
        <v>1.2127659574468084</v>
      </c>
      <c r="N131" s="33"/>
      <c r="O131" s="51" t="s">
        <v>97</v>
      </c>
      <c r="P131" s="52"/>
      <c r="Q131" s="33"/>
      <c r="R131" s="82" t="s">
        <v>14</v>
      </c>
      <c r="S131" s="82" t="s">
        <v>3</v>
      </c>
      <c r="T131" s="406">
        <f t="shared" ref="T131:T136" si="5">+M131</f>
        <v>1.2127659574468084</v>
      </c>
      <c r="U131" s="33"/>
      <c r="V131" s="117"/>
    </row>
    <row r="132" spans="1:22" x14ac:dyDescent="0.25">
      <c r="A132" s="47"/>
      <c r="B132" s="51" t="s">
        <v>16</v>
      </c>
      <c r="C132" s="33"/>
      <c r="D132" s="82" t="s">
        <v>17</v>
      </c>
      <c r="E132" s="82" t="s">
        <v>3</v>
      </c>
      <c r="F132" s="408">
        <f>+'Calculations - Ref system'!F18</f>
        <v>2.8297872340425534</v>
      </c>
      <c r="G132" s="33"/>
      <c r="H132" s="51"/>
      <c r="I132" s="52"/>
      <c r="J132" s="33"/>
      <c r="K132" s="82" t="s">
        <v>17</v>
      </c>
      <c r="L132" s="82" t="s">
        <v>3</v>
      </c>
      <c r="M132" s="408">
        <f t="shared" si="4"/>
        <v>2.8297872340425534</v>
      </c>
      <c r="N132" s="33"/>
      <c r="O132" s="51" t="s">
        <v>97</v>
      </c>
      <c r="P132" s="52"/>
      <c r="Q132" s="33"/>
      <c r="R132" s="82" t="s">
        <v>17</v>
      </c>
      <c r="S132" s="82" t="s">
        <v>3</v>
      </c>
      <c r="T132" s="408">
        <f t="shared" si="5"/>
        <v>2.8297872340425534</v>
      </c>
      <c r="U132" s="33"/>
      <c r="V132" s="117"/>
    </row>
    <row r="133" spans="1:22" x14ac:dyDescent="0.25">
      <c r="A133" s="47"/>
      <c r="B133" s="51" t="s">
        <v>18</v>
      </c>
      <c r="C133" s="33"/>
      <c r="D133" s="82" t="s">
        <v>19</v>
      </c>
      <c r="E133" s="82" t="s">
        <v>3</v>
      </c>
      <c r="F133" s="406">
        <f>+'Calculations - Ref system'!F19</f>
        <v>3.1030112731578616E-2</v>
      </c>
      <c r="G133" s="33"/>
      <c r="H133" s="51" t="s">
        <v>86</v>
      </c>
      <c r="I133" s="52"/>
      <c r="J133" s="33"/>
      <c r="K133" s="82" t="s">
        <v>19</v>
      </c>
      <c r="L133" s="82" t="s">
        <v>3</v>
      </c>
      <c r="M133" s="406">
        <f t="shared" si="4"/>
        <v>3.1030112731578616E-2</v>
      </c>
      <c r="N133" s="33"/>
      <c r="O133" s="51" t="s">
        <v>86</v>
      </c>
      <c r="P133" s="52"/>
      <c r="Q133" s="33"/>
      <c r="R133" s="106" t="s">
        <v>19</v>
      </c>
      <c r="S133" s="82" t="s">
        <v>3</v>
      </c>
      <c r="T133" s="406">
        <f t="shared" si="5"/>
        <v>3.1030112731578616E-2</v>
      </c>
      <c r="U133" s="33"/>
      <c r="V133" s="117"/>
    </row>
    <row r="134" spans="1:22" x14ac:dyDescent="0.25">
      <c r="A134" s="47"/>
      <c r="B134" s="51" t="s">
        <v>20</v>
      </c>
      <c r="C134" s="33"/>
      <c r="D134" s="82" t="s">
        <v>21</v>
      </c>
      <c r="E134" s="82" t="s">
        <v>3</v>
      </c>
      <c r="F134" s="406">
        <f>+'Calculations - Ref system'!F20</f>
        <v>9.0822161548259103E-2</v>
      </c>
      <c r="G134" s="33"/>
      <c r="H134" s="51" t="s">
        <v>86</v>
      </c>
      <c r="I134" s="52"/>
      <c r="J134" s="33"/>
      <c r="K134" s="82" t="s">
        <v>21</v>
      </c>
      <c r="L134" s="82" t="s">
        <v>3</v>
      </c>
      <c r="M134" s="406">
        <f t="shared" si="4"/>
        <v>9.0822161548259103E-2</v>
      </c>
      <c r="N134" s="33"/>
      <c r="O134" s="51" t="s">
        <v>86</v>
      </c>
      <c r="P134" s="52"/>
      <c r="Q134" s="33"/>
      <c r="R134" s="106" t="s">
        <v>21</v>
      </c>
      <c r="S134" s="82" t="s">
        <v>3</v>
      </c>
      <c r="T134" s="406">
        <f t="shared" si="5"/>
        <v>9.0822161548259103E-2</v>
      </c>
      <c r="U134" s="33"/>
      <c r="V134" s="117"/>
    </row>
    <row r="135" spans="1:22" ht="15.75" x14ac:dyDescent="0.25">
      <c r="A135" s="47"/>
      <c r="B135" s="51" t="s">
        <v>22</v>
      </c>
      <c r="C135" s="33"/>
      <c r="D135" s="33"/>
      <c r="E135" s="82" t="s">
        <v>80</v>
      </c>
      <c r="F135" s="414">
        <f>+'Calculations - Ref system'!F21</f>
        <v>1053</v>
      </c>
      <c r="G135" s="33"/>
      <c r="H135" s="51"/>
      <c r="I135" s="52"/>
      <c r="J135" s="33"/>
      <c r="K135" s="33"/>
      <c r="L135" s="82" t="s">
        <v>80</v>
      </c>
      <c r="M135" s="414">
        <f t="shared" si="4"/>
        <v>1053</v>
      </c>
      <c r="N135" s="33"/>
      <c r="O135" s="51"/>
      <c r="P135" s="52"/>
      <c r="Q135" s="33"/>
      <c r="R135" s="33"/>
      <c r="S135" s="82" t="s">
        <v>80</v>
      </c>
      <c r="T135" s="414">
        <f t="shared" si="5"/>
        <v>1053</v>
      </c>
      <c r="U135" s="33"/>
      <c r="V135" s="117"/>
    </row>
    <row r="136" spans="1:22" ht="15.75" thickBot="1" x14ac:dyDescent="0.3">
      <c r="A136" s="47"/>
      <c r="B136" s="118" t="s">
        <v>23</v>
      </c>
      <c r="C136" s="119"/>
      <c r="D136" s="119"/>
      <c r="E136" s="119"/>
      <c r="F136" s="408">
        <f>+'Calculations - Ref system'!F22</f>
        <v>7.3</v>
      </c>
      <c r="G136" s="119"/>
      <c r="H136" s="118"/>
      <c r="I136" s="120"/>
      <c r="J136" s="119"/>
      <c r="K136" s="119"/>
      <c r="L136" s="119"/>
      <c r="M136" s="408">
        <f t="shared" si="4"/>
        <v>7.3</v>
      </c>
      <c r="N136" s="119"/>
      <c r="O136" s="118"/>
      <c r="P136" s="120"/>
      <c r="Q136" s="119"/>
      <c r="R136" s="119"/>
      <c r="S136" s="119"/>
      <c r="T136" s="408">
        <f t="shared" si="5"/>
        <v>7.3</v>
      </c>
      <c r="U136" s="119"/>
      <c r="V136" s="121"/>
    </row>
    <row r="137" spans="1:22" ht="15.75" thickBot="1" x14ac:dyDescent="0.3">
      <c r="A137" s="16"/>
      <c r="B137" s="33"/>
      <c r="C137" s="33"/>
      <c r="D137" s="33"/>
      <c r="E137" s="33"/>
      <c r="F137" s="98"/>
      <c r="G137" s="33"/>
      <c r="H137" s="33"/>
      <c r="I137" s="33"/>
      <c r="J137" s="33"/>
      <c r="K137" s="33"/>
      <c r="L137" s="33"/>
      <c r="M137" s="98"/>
      <c r="N137" s="33"/>
      <c r="O137" s="33"/>
      <c r="P137" s="33"/>
      <c r="Q137" s="33"/>
      <c r="R137" s="33"/>
      <c r="S137" s="33"/>
      <c r="T137" s="98"/>
      <c r="U137" s="33"/>
      <c r="V137" s="33"/>
    </row>
    <row r="138" spans="1:22" x14ac:dyDescent="0.25">
      <c r="A138" s="47"/>
    </row>
    <row r="139" spans="1:22" x14ac:dyDescent="0.25">
      <c r="B139" s="29" t="s">
        <v>326</v>
      </c>
    </row>
    <row r="140" spans="1:22" ht="20.25" x14ac:dyDescent="0.35">
      <c r="B140" s="169" t="s">
        <v>305</v>
      </c>
      <c r="C140" s="90"/>
      <c r="D140" s="90" t="s">
        <v>2</v>
      </c>
      <c r="E140" s="90" t="s">
        <v>320</v>
      </c>
      <c r="F140" s="90" t="s">
        <v>321</v>
      </c>
      <c r="G140" s="90" t="s">
        <v>322</v>
      </c>
      <c r="H140" s="90" t="s">
        <v>323</v>
      </c>
      <c r="I140" s="90" t="s">
        <v>324</v>
      </c>
      <c r="J140" s="90" t="s">
        <v>325</v>
      </c>
    </row>
    <row r="141" spans="1:22" x14ac:dyDescent="0.25">
      <c r="B141" s="90" t="s">
        <v>914</v>
      </c>
      <c r="C141" s="90"/>
      <c r="D141" s="90" t="s">
        <v>31</v>
      </c>
      <c r="E141" s="260">
        <f>'Calculations - Ref system'!E65</f>
        <v>2.9122922164393443E-4</v>
      </c>
      <c r="F141" s="175">
        <f>E69</f>
        <v>9.969000279350063E-4</v>
      </c>
      <c r="G141" s="206">
        <f>'Calculations - Ref system'!F65</f>
        <v>9.4806312769010032E-5</v>
      </c>
      <c r="H141" s="174">
        <f>F69</f>
        <v>9.4806312769010032E-5</v>
      </c>
      <c r="I141" s="90"/>
      <c r="J141" s="90"/>
    </row>
    <row r="142" spans="1:22" x14ac:dyDescent="0.25">
      <c r="B142" s="90" t="s">
        <v>913</v>
      </c>
      <c r="C142" s="90"/>
      <c r="D142" s="90" t="s">
        <v>31</v>
      </c>
      <c r="E142" s="93">
        <f>'Calculations - Ref system'!E66</f>
        <v>0.71399999999999997</v>
      </c>
      <c r="F142" s="93">
        <f>E70</f>
        <v>0.49979999999999997</v>
      </c>
      <c r="G142" s="93">
        <f>'Calculations - Ref system'!F66</f>
        <v>9.8703825000000009E-2</v>
      </c>
      <c r="H142" s="93">
        <f>F70</f>
        <v>5.1360037500000011E-2</v>
      </c>
      <c r="I142" s="93">
        <f>'Calculations - Ref system'!G66</f>
        <v>0.63156991468007906</v>
      </c>
      <c r="J142" s="93">
        <f>G70</f>
        <v>0.39815309098833779</v>
      </c>
    </row>
    <row r="143" spans="1:22" x14ac:dyDescent="0.25">
      <c r="B143" s="90" t="s">
        <v>304</v>
      </c>
      <c r="C143" s="90"/>
      <c r="D143" s="90" t="s">
        <v>31</v>
      </c>
      <c r="E143" s="91"/>
      <c r="F143" s="90"/>
      <c r="G143" s="90"/>
      <c r="H143" s="90"/>
      <c r="I143" s="93">
        <f>'Calculations - Ref system'!G67</f>
        <v>-2.8238037773903806E-2</v>
      </c>
      <c r="J143" s="93">
        <f>G71</f>
        <v>-2.9669615777535373E-2</v>
      </c>
    </row>
    <row r="144" spans="1:22" ht="20.25" x14ac:dyDescent="0.35">
      <c r="B144" s="169" t="s">
        <v>307</v>
      </c>
      <c r="C144" s="90"/>
      <c r="D144" s="90" t="s">
        <v>2</v>
      </c>
      <c r="E144" s="90"/>
      <c r="F144" s="90"/>
      <c r="G144" s="90"/>
      <c r="H144" s="90"/>
      <c r="I144" s="90"/>
      <c r="J144" s="90"/>
    </row>
    <row r="145" spans="1:11" x14ac:dyDescent="0.25">
      <c r="B145" s="90" t="s">
        <v>292</v>
      </c>
      <c r="C145" s="171" t="s">
        <v>436</v>
      </c>
      <c r="D145" s="90" t="s">
        <v>31</v>
      </c>
      <c r="E145" s="92">
        <f>'Calculations - Ref system'!E70</f>
        <v>0</v>
      </c>
      <c r="F145" s="92">
        <f>+E75</f>
        <v>0</v>
      </c>
      <c r="G145" s="90"/>
      <c r="H145" s="90"/>
      <c r="I145" s="90"/>
      <c r="J145" s="90"/>
    </row>
    <row r="146" spans="1:11" s="339" customFormat="1" x14ac:dyDescent="0.25">
      <c r="B146" s="90"/>
      <c r="C146" s="171" t="s">
        <v>437</v>
      </c>
      <c r="D146" s="90" t="s">
        <v>31</v>
      </c>
      <c r="E146" s="92">
        <f>'Calculations - Ref system'!E71</f>
        <v>0</v>
      </c>
      <c r="F146" s="92">
        <f>+E76</f>
        <v>0</v>
      </c>
      <c r="G146" s="90"/>
      <c r="H146" s="90"/>
      <c r="I146" s="90"/>
      <c r="J146" s="90"/>
    </row>
    <row r="147" spans="1:11" x14ac:dyDescent="0.25">
      <c r="B147" s="90"/>
      <c r="C147" s="90" t="s">
        <v>285</v>
      </c>
      <c r="D147" s="90" t="s">
        <v>31</v>
      </c>
      <c r="E147" s="92">
        <f>'Calculations - Ref system'!E72</f>
        <v>15.002332192391304</v>
      </c>
      <c r="F147" s="92">
        <f>E77</f>
        <v>51.354137120108689</v>
      </c>
      <c r="G147" s="92">
        <f>'Calculations - Ref system'!F72</f>
        <v>4.8838361413999989</v>
      </c>
      <c r="H147" s="92">
        <f>F77</f>
        <v>4.8838361413999989</v>
      </c>
      <c r="I147" s="90"/>
      <c r="J147" s="90"/>
    </row>
    <row r="148" spans="1:11" x14ac:dyDescent="0.25">
      <c r="B148" s="90"/>
      <c r="C148" s="90" t="s">
        <v>287</v>
      </c>
      <c r="D148" s="90" t="s">
        <v>31</v>
      </c>
      <c r="E148" s="92">
        <f>'Calculations - Ref system'!E73</f>
        <v>9.1274706714130431</v>
      </c>
      <c r="F148" s="92">
        <f>E78</f>
        <v>9.1274706714130431</v>
      </c>
      <c r="G148" s="90"/>
      <c r="H148" s="90"/>
      <c r="I148" s="90"/>
      <c r="J148" s="90"/>
    </row>
    <row r="149" spans="1:11" x14ac:dyDescent="0.25">
      <c r="B149" s="90"/>
      <c r="C149" s="90" t="s">
        <v>334</v>
      </c>
      <c r="D149" s="90" t="s">
        <v>31</v>
      </c>
      <c r="E149" s="96"/>
      <c r="F149" s="91">
        <f>E79</f>
        <v>0</v>
      </c>
      <c r="G149" s="90"/>
      <c r="H149" s="90"/>
      <c r="I149" s="90"/>
      <c r="J149" s="90"/>
    </row>
    <row r="150" spans="1:11" x14ac:dyDescent="0.25">
      <c r="B150" s="90"/>
      <c r="C150" s="90" t="s">
        <v>346</v>
      </c>
      <c r="D150" s="90" t="s">
        <v>31</v>
      </c>
      <c r="E150" s="91"/>
      <c r="F150" s="90"/>
      <c r="G150" s="90"/>
      <c r="H150" s="90"/>
      <c r="I150" s="90"/>
      <c r="J150" s="93">
        <f>G80</f>
        <v>0</v>
      </c>
    </row>
    <row r="151" spans="1:11" x14ac:dyDescent="0.25">
      <c r="B151" s="90"/>
      <c r="C151" s="90" t="s">
        <v>327</v>
      </c>
      <c r="D151" s="90" t="s">
        <v>31</v>
      </c>
      <c r="E151" s="90"/>
      <c r="F151" s="90"/>
      <c r="G151" s="90"/>
      <c r="H151" s="90"/>
      <c r="I151" s="93">
        <f>'Calculations - Ref system'!G75</f>
        <v>0.8231292517006803</v>
      </c>
      <c r="J151" s="93">
        <f>G81</f>
        <v>0.8231292517006803</v>
      </c>
    </row>
    <row r="152" spans="1:11" x14ac:dyDescent="0.25">
      <c r="B152" s="90" t="s">
        <v>315</v>
      </c>
      <c r="C152" s="90"/>
      <c r="D152" s="90" t="s">
        <v>31</v>
      </c>
      <c r="E152" s="92">
        <f>'Calculations - Ref system'!E76</f>
        <v>21.253905534791318</v>
      </c>
      <c r="F152" s="92">
        <f>E82</f>
        <v>20.257569534791319</v>
      </c>
      <c r="G152" s="92">
        <f>'Calculations - Ref system'!F76</f>
        <v>51.751211003380163</v>
      </c>
      <c r="H152" s="92">
        <f>F82</f>
        <v>52.078652369401865</v>
      </c>
      <c r="I152" s="92">
        <f>'Calculations - Ref system'!G76</f>
        <v>33.812042839898552</v>
      </c>
      <c r="J152" s="92">
        <f>G82</f>
        <v>34.708246907735308</v>
      </c>
    </row>
    <row r="153" spans="1:11" x14ac:dyDescent="0.25">
      <c r="B153" s="90" t="s">
        <v>304</v>
      </c>
      <c r="C153" s="90" t="s">
        <v>313</v>
      </c>
      <c r="D153" s="90" t="s">
        <v>31</v>
      </c>
      <c r="E153" s="90"/>
      <c r="F153" s="90"/>
      <c r="G153" s="90"/>
      <c r="H153" s="90"/>
      <c r="I153" s="90"/>
      <c r="J153" s="90"/>
    </row>
    <row r="154" spans="1:11" x14ac:dyDescent="0.25">
      <c r="B154" s="90"/>
      <c r="C154" s="90" t="s">
        <v>285</v>
      </c>
      <c r="D154" s="90" t="s">
        <v>31</v>
      </c>
      <c r="E154" s="90"/>
      <c r="F154" s="90"/>
      <c r="G154" s="90"/>
      <c r="H154" s="90"/>
      <c r="I154" s="90"/>
      <c r="J154" s="90"/>
    </row>
    <row r="155" spans="1:11" x14ac:dyDescent="0.25">
      <c r="B155" s="90"/>
      <c r="C155" s="90" t="s">
        <v>287</v>
      </c>
      <c r="D155" s="90" t="s">
        <v>31</v>
      </c>
      <c r="E155" s="92"/>
      <c r="F155" s="92">
        <f>E85</f>
        <v>0</v>
      </c>
      <c r="G155" s="90"/>
      <c r="H155" s="90"/>
      <c r="I155" s="90"/>
      <c r="J155" s="90"/>
    </row>
    <row r="156" spans="1:11" x14ac:dyDescent="0.25">
      <c r="B156" s="90"/>
      <c r="C156" s="90" t="s">
        <v>333</v>
      </c>
      <c r="D156" s="90" t="s">
        <v>31</v>
      </c>
      <c r="E156" s="90"/>
      <c r="F156" s="90"/>
      <c r="G156" s="90"/>
      <c r="H156" s="90"/>
      <c r="I156" s="92">
        <f>'Calculations - Ref system'!G80</f>
        <v>-28.081607885219231</v>
      </c>
      <c r="J156" s="92">
        <f>G86</f>
        <v>-29.505255394899894</v>
      </c>
    </row>
    <row r="157" spans="1:11" x14ac:dyDescent="0.25">
      <c r="B157" s="90"/>
      <c r="C157" s="90" t="s">
        <v>356</v>
      </c>
      <c r="D157" s="90" t="s">
        <v>31</v>
      </c>
      <c r="E157" s="90"/>
      <c r="F157" s="90"/>
      <c r="G157" s="90"/>
      <c r="H157" s="90"/>
      <c r="I157" s="92"/>
      <c r="J157" s="91">
        <f>G87</f>
        <v>0</v>
      </c>
    </row>
    <row r="158" spans="1:11" x14ac:dyDescent="0.25">
      <c r="B158" s="90"/>
      <c r="C158" s="90" t="s">
        <v>357</v>
      </c>
      <c r="D158" s="90" t="s">
        <v>31</v>
      </c>
      <c r="E158" s="90"/>
      <c r="F158" s="90"/>
      <c r="G158" s="90"/>
      <c r="H158" s="90"/>
      <c r="I158" s="92"/>
      <c r="J158" s="92">
        <f>G88</f>
        <v>0</v>
      </c>
    </row>
    <row r="159" spans="1:11" x14ac:dyDescent="0.25">
      <c r="B159" s="76"/>
      <c r="C159" s="76"/>
      <c r="D159" s="76"/>
      <c r="E159" s="76"/>
      <c r="F159" s="76"/>
      <c r="G159" s="76"/>
      <c r="H159" s="76"/>
      <c r="I159" s="263"/>
      <c r="J159" s="263"/>
      <c r="K159" s="44"/>
    </row>
    <row r="160" spans="1:11" ht="18.75" x14ac:dyDescent="0.3">
      <c r="A160" s="44"/>
      <c r="B160" s="170" t="s">
        <v>332</v>
      </c>
      <c r="C160" s="171"/>
      <c r="D160" s="171" t="s">
        <v>2</v>
      </c>
      <c r="E160" s="171"/>
      <c r="F160" s="171" t="s">
        <v>328</v>
      </c>
      <c r="G160" s="171" t="s">
        <v>329</v>
      </c>
      <c r="H160" s="171" t="s">
        <v>330</v>
      </c>
      <c r="I160" s="171" t="s">
        <v>331</v>
      </c>
      <c r="J160" s="171"/>
    </row>
    <row r="161" spans="1:11" x14ac:dyDescent="0.25">
      <c r="B161" s="173" t="s">
        <v>306</v>
      </c>
      <c r="C161" s="173"/>
      <c r="D161" s="173" t="s">
        <v>31</v>
      </c>
      <c r="E161" s="173"/>
      <c r="F161" s="264">
        <f>'Calculations - Ref system'!G83</f>
        <v>1.9999999656101073</v>
      </c>
      <c r="G161" s="264">
        <f>G92</f>
        <v>2.2208394805544476</v>
      </c>
      <c r="H161" s="264">
        <f>'Calculations - Ref system'!G85</f>
        <v>0.12127659574468085</v>
      </c>
      <c r="I161" s="264">
        <f>G95</f>
        <v>0.12127659574468085</v>
      </c>
      <c r="J161" s="90"/>
    </row>
    <row r="162" spans="1:11" ht="18.75" x14ac:dyDescent="0.3">
      <c r="B162" s="265"/>
      <c r="C162" s="109"/>
      <c r="D162" s="109"/>
      <c r="E162" s="109"/>
      <c r="F162" s="109"/>
      <c r="G162" s="109"/>
      <c r="H162" s="109"/>
      <c r="I162" s="109"/>
      <c r="J162" s="109"/>
      <c r="K162" s="44"/>
    </row>
    <row r="163" spans="1:11" x14ac:dyDescent="0.25">
      <c r="A163" s="109"/>
      <c r="B163" s="44"/>
      <c r="C163" s="44"/>
      <c r="D163" s="44"/>
      <c r="E163" s="44"/>
      <c r="F163" s="44"/>
      <c r="G163" s="44"/>
      <c r="H163" s="44"/>
      <c r="I163" s="44"/>
      <c r="J163" s="44"/>
      <c r="K163" s="44"/>
    </row>
    <row r="164" spans="1:11" x14ac:dyDescent="0.25">
      <c r="A164" s="44"/>
      <c r="B164" s="44"/>
      <c r="C164" s="44"/>
      <c r="D164" s="44"/>
      <c r="E164" s="44"/>
      <c r="F164" s="44"/>
      <c r="G164" s="44"/>
      <c r="H164" s="44"/>
      <c r="I164" s="44"/>
      <c r="J164" s="44"/>
      <c r="K164" s="44"/>
    </row>
    <row r="165" spans="1:11" x14ac:dyDescent="0.25">
      <c r="A165" s="44"/>
      <c r="B165" s="44"/>
      <c r="C165" s="44"/>
      <c r="D165" s="44"/>
      <c r="E165" s="44"/>
      <c r="F165" s="44"/>
      <c r="G165" s="44"/>
      <c r="H165" s="44"/>
      <c r="I165" s="44"/>
      <c r="J165" s="44"/>
      <c r="K165" s="44"/>
    </row>
    <row r="166" spans="1:11" x14ac:dyDescent="0.25">
      <c r="A166" s="44"/>
      <c r="B166" s="44"/>
      <c r="C166" s="44"/>
      <c r="D166" s="44"/>
      <c r="E166" s="44"/>
      <c r="F166" s="44"/>
      <c r="G166" s="44"/>
      <c r="H166" s="44"/>
      <c r="I166" s="44"/>
      <c r="J166" s="44"/>
      <c r="K166" s="44"/>
    </row>
    <row r="167" spans="1:11" x14ac:dyDescent="0.25">
      <c r="A167" s="44"/>
    </row>
  </sheetData>
  <mergeCells count="7">
    <mergeCell ref="T26:U26"/>
    <mergeCell ref="G37:H37"/>
    <mergeCell ref="C56:D56"/>
    <mergeCell ref="E56:F56"/>
    <mergeCell ref="G56:H56"/>
    <mergeCell ref="K26:L26"/>
    <mergeCell ref="R26:S2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97"/>
  <sheetViews>
    <sheetView workbookViewId="0"/>
  </sheetViews>
  <sheetFormatPr defaultRowHeight="15" x14ac:dyDescent="0.25"/>
  <cols>
    <col min="1" max="1" width="3.85546875" customWidth="1"/>
    <col min="2" max="2" width="56" customWidth="1"/>
    <col min="3" max="3" width="23.28515625" customWidth="1"/>
    <col min="4" max="4" width="11.42578125" customWidth="1"/>
    <col min="5" max="5" width="40.5703125" customWidth="1"/>
    <col min="7" max="7" width="17.140625" customWidth="1"/>
    <col min="8" max="8" width="17.7109375" customWidth="1"/>
  </cols>
  <sheetData>
    <row r="1" spans="1:16" s="339" customFormat="1" x14ac:dyDescent="0.25"/>
    <row r="2" spans="1:16" s="339" customFormat="1" ht="21" x14ac:dyDescent="0.35">
      <c r="B2" s="670" t="s">
        <v>804</v>
      </c>
    </row>
    <row r="3" spans="1:16" s="339" customFormat="1" ht="15.75" thickBot="1" x14ac:dyDescent="0.3"/>
    <row r="4" spans="1:16" x14ac:dyDescent="0.25">
      <c r="B4" s="671" t="s">
        <v>34</v>
      </c>
      <c r="C4" s="672" t="s">
        <v>35</v>
      </c>
      <c r="D4" s="672" t="s">
        <v>36</v>
      </c>
      <c r="E4" s="673" t="s">
        <v>41</v>
      </c>
    </row>
    <row r="5" spans="1:16" x14ac:dyDescent="0.25">
      <c r="B5" s="47" t="s">
        <v>33</v>
      </c>
      <c r="C5" s="340" t="s">
        <v>6</v>
      </c>
      <c r="D5" s="674">
        <v>0.79</v>
      </c>
      <c r="E5" s="43" t="s">
        <v>38</v>
      </c>
    </row>
    <row r="6" spans="1:16" x14ac:dyDescent="0.25">
      <c r="B6" s="47" t="s">
        <v>37</v>
      </c>
      <c r="C6" s="340" t="s">
        <v>40</v>
      </c>
      <c r="D6" s="675">
        <f>18.2/38</f>
        <v>0.47894736842105262</v>
      </c>
      <c r="E6" s="43" t="s">
        <v>39</v>
      </c>
    </row>
    <row r="7" spans="1:16" x14ac:dyDescent="0.25">
      <c r="B7" s="47" t="s">
        <v>42</v>
      </c>
      <c r="C7" s="340" t="s">
        <v>44</v>
      </c>
      <c r="D7" s="340">
        <f>(51.3/1000)/38</f>
        <v>1.3499999999999999E-3</v>
      </c>
      <c r="E7" s="43" t="s">
        <v>39</v>
      </c>
    </row>
    <row r="8" spans="1:16" ht="15.75" thickBot="1" x14ac:dyDescent="0.3">
      <c r="B8" s="16" t="s">
        <v>43</v>
      </c>
      <c r="C8" s="45" t="s">
        <v>45</v>
      </c>
      <c r="D8" s="45">
        <f>(17.5/1000)/38</f>
        <v>4.6052631578947373E-4</v>
      </c>
      <c r="E8" s="46" t="s">
        <v>39</v>
      </c>
    </row>
    <row r="9" spans="1:16" x14ac:dyDescent="0.25">
      <c r="B9" s="26"/>
      <c r="E9" s="26"/>
    </row>
    <row r="10" spans="1:16" x14ac:dyDescent="0.25">
      <c r="B10" s="26"/>
      <c r="E10" s="26"/>
    </row>
    <row r="11" spans="1:16" ht="21" x14ac:dyDescent="0.35">
      <c r="A11" s="44"/>
      <c r="B11" s="670" t="s">
        <v>805</v>
      </c>
      <c r="C11" s="44"/>
      <c r="D11" s="44"/>
      <c r="E11" s="44"/>
      <c r="F11" s="44"/>
      <c r="G11" s="44"/>
      <c r="H11" s="343"/>
      <c r="I11" s="44"/>
      <c r="J11" s="44"/>
    </row>
    <row r="12" spans="1:16" ht="15.75" thickBot="1" x14ac:dyDescent="0.3">
      <c r="H12" s="26" t="s">
        <v>104</v>
      </c>
    </row>
    <row r="13" spans="1:16" x14ac:dyDescent="0.25">
      <c r="B13" s="676" t="s">
        <v>54</v>
      </c>
      <c r="C13" s="677"/>
      <c r="D13" s="677"/>
      <c r="E13" s="678"/>
      <c r="H13" s="20"/>
      <c r="I13" s="21"/>
      <c r="J13" s="21"/>
      <c r="K13" s="21"/>
      <c r="L13" s="21" t="s">
        <v>63</v>
      </c>
      <c r="M13" s="21" t="s">
        <v>64</v>
      </c>
      <c r="N13" s="22" t="s">
        <v>65</v>
      </c>
    </row>
    <row r="14" spans="1:16" x14ac:dyDescent="0.25">
      <c r="B14" s="5" t="s">
        <v>46</v>
      </c>
      <c r="C14" s="4">
        <v>5.28E-3</v>
      </c>
      <c r="D14" s="4" t="s">
        <v>47</v>
      </c>
      <c r="E14" s="6"/>
      <c r="H14" s="19" t="s">
        <v>66</v>
      </c>
      <c r="I14" s="14"/>
      <c r="J14" s="14"/>
      <c r="K14" s="14"/>
      <c r="L14" s="14">
        <v>0.47</v>
      </c>
      <c r="M14" s="14"/>
      <c r="N14" s="15"/>
      <c r="O14" s="13"/>
      <c r="P14" s="13" t="s">
        <v>60</v>
      </c>
    </row>
    <row r="15" spans="1:16" x14ac:dyDescent="0.25">
      <c r="B15" s="5" t="s">
        <v>48</v>
      </c>
      <c r="C15" s="4">
        <v>8.9999999999999998E-4</v>
      </c>
      <c r="D15" s="4" t="s">
        <v>49</v>
      </c>
      <c r="E15" s="6"/>
      <c r="H15" s="24" t="s">
        <v>67</v>
      </c>
      <c r="I15" s="25"/>
      <c r="J15" s="14"/>
      <c r="K15" s="14"/>
      <c r="L15" s="14"/>
      <c r="M15" s="14">
        <v>1.0741818181819528E-3</v>
      </c>
      <c r="N15" s="15">
        <v>7.1999999999999989E-3</v>
      </c>
      <c r="O15" s="13"/>
      <c r="P15" s="13" t="s">
        <v>68</v>
      </c>
    </row>
    <row r="16" spans="1:16" x14ac:dyDescent="0.25">
      <c r="B16" s="5" t="s">
        <v>50</v>
      </c>
      <c r="C16" s="4">
        <v>1.4999999999999999E-2</v>
      </c>
      <c r="D16" s="4" t="s">
        <v>51</v>
      </c>
      <c r="E16" s="6"/>
      <c r="H16" s="24" t="s">
        <v>69</v>
      </c>
      <c r="I16" s="25"/>
      <c r="J16" s="14"/>
      <c r="K16" s="14"/>
      <c r="L16" s="14"/>
      <c r="M16" s="14">
        <v>9.0909090909090909E-4</v>
      </c>
      <c r="N16" s="15"/>
      <c r="O16" s="13"/>
      <c r="P16" s="13" t="s">
        <v>60</v>
      </c>
    </row>
    <row r="17" spans="2:16" x14ac:dyDescent="0.25">
      <c r="B17" s="5" t="s">
        <v>52</v>
      </c>
      <c r="C17" s="4">
        <v>0.85</v>
      </c>
      <c r="D17" s="7" t="s">
        <v>53</v>
      </c>
      <c r="E17" s="6"/>
      <c r="H17" s="19" t="s">
        <v>70</v>
      </c>
      <c r="I17" s="14"/>
      <c r="J17" s="14"/>
      <c r="K17" s="14"/>
      <c r="L17" s="14"/>
      <c r="M17" s="14"/>
      <c r="N17" s="15">
        <v>0.48</v>
      </c>
      <c r="O17" s="13"/>
      <c r="P17" s="23" t="s">
        <v>60</v>
      </c>
    </row>
    <row r="18" spans="2:16" ht="15.75" thickBot="1" x14ac:dyDescent="0.3">
      <c r="B18" s="8"/>
      <c r="C18" s="9"/>
      <c r="D18" s="9"/>
      <c r="E18" s="10"/>
      <c r="H18" s="19"/>
      <c r="I18" s="14"/>
      <c r="J18" s="14"/>
      <c r="K18" s="14"/>
      <c r="L18" s="14"/>
      <c r="M18" s="14"/>
      <c r="N18" s="15"/>
      <c r="O18" s="13"/>
      <c r="P18" s="13"/>
    </row>
    <row r="19" spans="2:16" ht="15.75" thickBot="1" x14ac:dyDescent="0.3">
      <c r="H19" s="16" t="s">
        <v>71</v>
      </c>
      <c r="I19" s="17"/>
      <c r="J19" s="17"/>
      <c r="K19" s="17"/>
      <c r="L19" s="17">
        <f>L14</f>
        <v>0.47</v>
      </c>
      <c r="M19" s="17">
        <f>L19+M15+M16</f>
        <v>0.47198327272727286</v>
      </c>
      <c r="N19" s="18">
        <f>M19+N15</f>
        <v>0.47918327272727285</v>
      </c>
      <c r="O19" s="13"/>
      <c r="P19" s="13"/>
    </row>
    <row r="20" spans="2:16" x14ac:dyDescent="0.25">
      <c r="H20" s="13"/>
      <c r="I20" s="13"/>
      <c r="J20" s="13"/>
      <c r="K20" s="13"/>
      <c r="L20" s="13"/>
      <c r="M20" s="13"/>
      <c r="N20" s="13"/>
      <c r="O20" s="13"/>
      <c r="P20" s="13"/>
    </row>
    <row r="21" spans="2:16" x14ac:dyDescent="0.25">
      <c r="B21" s="3" t="s">
        <v>55</v>
      </c>
      <c r="C21" s="11">
        <f>M15/L19</f>
        <v>2.2854932301743678E-3</v>
      </c>
      <c r="D21" s="3" t="s">
        <v>56</v>
      </c>
      <c r="H21" s="3" t="s">
        <v>59</v>
      </c>
    </row>
    <row r="22" spans="2:16" x14ac:dyDescent="0.25">
      <c r="B22" s="3" t="s">
        <v>57</v>
      </c>
      <c r="C22" s="12">
        <v>1.9342359767891686</v>
      </c>
      <c r="D22" s="3" t="s">
        <v>58</v>
      </c>
      <c r="H22" s="3" t="s">
        <v>60</v>
      </c>
    </row>
    <row r="23" spans="2:16" x14ac:dyDescent="0.25">
      <c r="B23" s="3" t="s">
        <v>61</v>
      </c>
      <c r="C23" s="12">
        <f>N15/L19</f>
        <v>1.5319148936170212E-2</v>
      </c>
      <c r="D23" s="3" t="s">
        <v>56</v>
      </c>
      <c r="H23" s="3" t="s">
        <v>62</v>
      </c>
    </row>
    <row r="25" spans="2:16" x14ac:dyDescent="0.25">
      <c r="B25" s="679" t="s">
        <v>87</v>
      </c>
      <c r="C25" s="680"/>
      <c r="D25" s="680"/>
      <c r="E25" s="680"/>
      <c r="F25" s="681"/>
      <c r="H25" s="340"/>
      <c r="I25" s="340"/>
      <c r="J25" s="340"/>
      <c r="K25" s="340"/>
    </row>
    <row r="26" spans="2:16" x14ac:dyDescent="0.25">
      <c r="B26" s="56" t="s">
        <v>88</v>
      </c>
      <c r="C26" s="546">
        <v>0</v>
      </c>
      <c r="D26" s="28" t="s">
        <v>91</v>
      </c>
      <c r="E26" s="28"/>
      <c r="F26" s="30"/>
      <c r="H26" s="546"/>
      <c r="I26" s="340"/>
      <c r="J26" s="340"/>
      <c r="K26" s="340"/>
    </row>
    <row r="27" spans="2:16" x14ac:dyDescent="0.25">
      <c r="B27" s="56" t="s">
        <v>89</v>
      </c>
      <c r="C27" s="546">
        <v>0</v>
      </c>
      <c r="D27" s="28" t="s">
        <v>91</v>
      </c>
      <c r="E27" s="28"/>
      <c r="F27" s="30"/>
      <c r="H27" s="546"/>
      <c r="I27" s="340"/>
      <c r="J27" s="340"/>
      <c r="K27" s="340"/>
    </row>
    <row r="28" spans="2:16" x14ac:dyDescent="0.25">
      <c r="B28" s="57" t="s">
        <v>90</v>
      </c>
      <c r="C28" s="547">
        <v>0</v>
      </c>
      <c r="D28" s="31" t="s">
        <v>91</v>
      </c>
      <c r="E28" s="31"/>
      <c r="F28" s="32"/>
      <c r="H28" s="546"/>
      <c r="I28" s="340"/>
      <c r="J28" s="340"/>
      <c r="K28" s="340"/>
    </row>
    <row r="29" spans="2:16" x14ac:dyDescent="0.25">
      <c r="H29" s="340"/>
      <c r="I29" s="340"/>
      <c r="J29" s="340"/>
      <c r="K29" s="340"/>
    </row>
    <row r="30" spans="2:16" ht="21" x14ac:dyDescent="0.35">
      <c r="B30" s="670" t="s">
        <v>806</v>
      </c>
      <c r="H30" s="340"/>
      <c r="I30" s="340"/>
      <c r="J30" s="340"/>
      <c r="K30" s="340"/>
    </row>
    <row r="31" spans="2:16" x14ac:dyDescent="0.25">
      <c r="H31" s="340"/>
      <c r="I31" s="340"/>
      <c r="J31" s="340"/>
      <c r="K31" s="340"/>
    </row>
    <row r="32" spans="2:16" x14ac:dyDescent="0.25">
      <c r="B32" s="34" t="s">
        <v>72</v>
      </c>
      <c r="C32" s="35"/>
      <c r="D32" s="333">
        <v>1</v>
      </c>
      <c r="E32" s="336"/>
      <c r="F32" s="336"/>
      <c r="G32" s="682" t="s">
        <v>407</v>
      </c>
      <c r="H32" s="683"/>
      <c r="I32" s="683"/>
      <c r="J32" s="683"/>
      <c r="K32" s="333">
        <f>'Background data'!M19/'Background data'!L19</f>
        <v>1.0042197292069637</v>
      </c>
    </row>
    <row r="33" spans="2:42" x14ac:dyDescent="0.25">
      <c r="B33" s="36" t="s">
        <v>73</v>
      </c>
      <c r="C33" s="37"/>
      <c r="D33" s="334">
        <v>1</v>
      </c>
      <c r="E33" s="336"/>
      <c r="F33" s="336"/>
      <c r="G33" s="684"/>
      <c r="H33" s="685"/>
      <c r="I33" s="685"/>
      <c r="J33" s="685"/>
      <c r="K33" s="334">
        <f>'Background data'!N19/'Background data'!M19</f>
        <v>1.0152547779043017</v>
      </c>
    </row>
    <row r="34" spans="2:42" x14ac:dyDescent="0.25">
      <c r="B34" s="38" t="s">
        <v>74</v>
      </c>
      <c r="C34" s="39"/>
      <c r="D34" s="335">
        <v>1</v>
      </c>
      <c r="E34" s="336"/>
      <c r="F34" s="336"/>
      <c r="G34" s="686"/>
      <c r="H34" s="687"/>
      <c r="I34" s="687"/>
      <c r="J34" s="687"/>
      <c r="K34" s="335">
        <f>'Background data'!N19/'Background data'!L19</f>
        <v>1.0195388781431338</v>
      </c>
    </row>
    <row r="35" spans="2:42" x14ac:dyDescent="0.25">
      <c r="B35" s="26" t="s">
        <v>264</v>
      </c>
      <c r="D35" s="337">
        <v>1</v>
      </c>
      <c r="E35" s="336"/>
      <c r="F35" s="336"/>
      <c r="G35" s="336"/>
      <c r="H35" s="336"/>
      <c r="I35" s="336"/>
      <c r="J35" s="336"/>
      <c r="K35" s="338">
        <f>'Background data'!L19/'Background data'!M19</f>
        <v>0.99579800208636016</v>
      </c>
    </row>
    <row r="39" spans="2:42" ht="21" x14ac:dyDescent="0.35">
      <c r="B39" s="670" t="s">
        <v>811</v>
      </c>
    </row>
    <row r="41" spans="2:42" x14ac:dyDescent="0.25">
      <c r="B41" s="667"/>
      <c r="C41" s="667"/>
      <c r="D41" s="667"/>
      <c r="E41" s="667"/>
      <c r="F41" s="667"/>
      <c r="G41" s="667"/>
      <c r="H41" s="667"/>
      <c r="I41" s="667"/>
      <c r="J41" s="667"/>
      <c r="K41" s="667"/>
      <c r="L41" s="667"/>
      <c r="M41" s="667"/>
      <c r="N41" s="667"/>
      <c r="O41" s="667"/>
      <c r="P41" s="667"/>
      <c r="Q41" s="667"/>
      <c r="R41" s="667"/>
      <c r="S41" s="667"/>
      <c r="T41" s="667"/>
      <c r="U41" s="667"/>
      <c r="V41" s="667"/>
      <c r="W41" s="667"/>
      <c r="X41" s="667"/>
      <c r="Y41" s="667"/>
      <c r="Z41" s="667"/>
      <c r="AA41" s="667"/>
      <c r="AB41" s="667"/>
      <c r="AC41" s="667"/>
      <c r="AD41" s="667"/>
      <c r="AE41" s="667"/>
      <c r="AF41" s="667"/>
      <c r="AG41" s="667"/>
      <c r="AH41" s="667"/>
      <c r="AI41" s="667"/>
      <c r="AJ41" s="667"/>
      <c r="AK41" s="667"/>
      <c r="AL41" s="667"/>
      <c r="AM41" s="667"/>
      <c r="AN41" s="667"/>
      <c r="AO41" s="667"/>
      <c r="AP41" s="667"/>
    </row>
    <row r="42" spans="2:42" x14ac:dyDescent="0.25">
      <c r="B42" s="667"/>
      <c r="C42" s="667"/>
      <c r="D42" s="667"/>
      <c r="E42" s="667"/>
      <c r="F42" s="667"/>
      <c r="G42" s="667"/>
      <c r="H42" s="667"/>
      <c r="I42" s="667"/>
      <c r="J42" s="667"/>
      <c r="K42" s="667"/>
      <c r="L42" s="667"/>
      <c r="M42" s="667"/>
      <c r="N42" s="667"/>
      <c r="O42" s="667"/>
      <c r="P42" s="667"/>
      <c r="Q42" s="667"/>
      <c r="R42" s="667"/>
      <c r="S42" s="667"/>
      <c r="T42" s="667"/>
      <c r="U42" s="667"/>
      <c r="V42" s="667"/>
      <c r="W42" s="667"/>
      <c r="X42" s="667"/>
      <c r="Y42" s="667"/>
      <c r="Z42" s="667"/>
      <c r="AA42" s="667"/>
      <c r="AB42" s="667"/>
      <c r="AC42" s="667"/>
      <c r="AD42" s="667"/>
      <c r="AE42" s="667"/>
      <c r="AF42" s="667"/>
      <c r="AG42" s="667"/>
      <c r="AH42" s="667"/>
      <c r="AI42" s="667"/>
      <c r="AJ42" s="667"/>
      <c r="AK42" s="667"/>
      <c r="AL42" s="667"/>
      <c r="AM42" s="667"/>
      <c r="AN42" s="667"/>
      <c r="AO42" s="667"/>
      <c r="AP42" s="667"/>
    </row>
    <row r="43" spans="2:42" ht="15.75" thickBot="1" x14ac:dyDescent="0.3">
      <c r="B43" s="667"/>
      <c r="C43" s="667"/>
      <c r="D43" s="667"/>
      <c r="E43" s="667"/>
      <c r="F43" s="667"/>
      <c r="G43" s="667"/>
      <c r="H43" s="667"/>
      <c r="I43" s="667"/>
      <c r="J43" s="667"/>
      <c r="K43" s="667"/>
      <c r="L43" s="667"/>
      <c r="M43" s="667"/>
      <c r="N43" s="667"/>
      <c r="O43" s="667"/>
      <c r="P43" s="667"/>
      <c r="Q43" s="667"/>
      <c r="R43" s="667"/>
      <c r="S43" s="667"/>
      <c r="T43" s="667"/>
      <c r="U43" s="667"/>
      <c r="V43" s="667"/>
      <c r="W43" s="667"/>
      <c r="X43" s="667"/>
      <c r="Y43" s="667"/>
      <c r="Z43" s="667"/>
      <c r="AA43" s="667"/>
      <c r="AB43" s="667"/>
      <c r="AC43" s="667"/>
      <c r="AD43" s="667"/>
      <c r="AE43" s="667"/>
      <c r="AF43" s="667"/>
      <c r="AG43" s="667"/>
      <c r="AH43" s="667"/>
      <c r="AI43" s="667"/>
      <c r="AJ43" s="667"/>
      <c r="AK43" s="667"/>
      <c r="AL43" s="667"/>
      <c r="AM43" s="667"/>
      <c r="AN43" s="667"/>
      <c r="AO43" s="667"/>
      <c r="AP43" s="667"/>
    </row>
    <row r="44" spans="2:42" x14ac:dyDescent="0.25">
      <c r="B44" s="688" t="s">
        <v>807</v>
      </c>
      <c r="C44" s="689"/>
      <c r="D44" s="690" t="s">
        <v>336</v>
      </c>
      <c r="E44" s="690" t="s">
        <v>234</v>
      </c>
      <c r="F44" s="690" t="s">
        <v>237</v>
      </c>
      <c r="G44" s="690" t="s">
        <v>338</v>
      </c>
      <c r="H44" s="690" t="s">
        <v>341</v>
      </c>
      <c r="I44" s="690" t="s">
        <v>342</v>
      </c>
      <c r="J44" s="690" t="s">
        <v>301</v>
      </c>
      <c r="K44" s="690" t="s">
        <v>2</v>
      </c>
      <c r="L44" s="690" t="s">
        <v>803</v>
      </c>
      <c r="M44" s="691"/>
      <c r="N44" s="667"/>
      <c r="O44" s="667"/>
      <c r="P44" s="667"/>
      <c r="Q44" s="667"/>
      <c r="R44" s="667"/>
      <c r="S44" s="667"/>
      <c r="T44" s="667"/>
      <c r="U44" s="667"/>
      <c r="V44" s="667"/>
      <c r="W44" s="667"/>
      <c r="X44" s="667"/>
      <c r="Y44" s="667"/>
      <c r="Z44" s="667"/>
      <c r="AA44" s="667"/>
      <c r="AB44" s="667"/>
      <c r="AC44" s="667"/>
      <c r="AD44" s="667"/>
      <c r="AE44" s="667"/>
      <c r="AF44" s="667"/>
      <c r="AG44" s="667"/>
      <c r="AH44" s="667"/>
      <c r="AI44" s="667"/>
      <c r="AJ44" s="667"/>
      <c r="AK44" s="667"/>
      <c r="AL44" s="667"/>
      <c r="AM44" s="667"/>
      <c r="AN44" s="667"/>
      <c r="AO44" s="667"/>
      <c r="AP44" s="667"/>
    </row>
    <row r="45" spans="2:42" x14ac:dyDescent="0.25">
      <c r="B45" s="692" t="s">
        <v>798</v>
      </c>
      <c r="C45" s="693" t="s">
        <v>337</v>
      </c>
      <c r="D45" s="694">
        <f>6.16/1000000</f>
        <v>6.1600000000000003E-6</v>
      </c>
      <c r="E45" s="695">
        <f>1.75/10000</f>
        <v>1.75E-4</v>
      </c>
      <c r="F45" s="695">
        <f>1.7/1000000</f>
        <v>1.7E-6</v>
      </c>
      <c r="G45" s="695">
        <v>8.1000000000000003E-2</v>
      </c>
      <c r="H45" s="696">
        <f>1.39/100000</f>
        <v>1.3899999999999999E-5</v>
      </c>
      <c r="I45" s="697">
        <f>1.01/10000</f>
        <v>1.01E-4</v>
      </c>
      <c r="J45" s="695"/>
      <c r="K45" s="695"/>
      <c r="L45" s="695"/>
      <c r="M45" s="698"/>
      <c r="N45" s="667"/>
      <c r="O45" s="667"/>
      <c r="P45" s="667"/>
      <c r="Q45" s="667"/>
      <c r="R45" s="667"/>
      <c r="S45" s="667"/>
      <c r="T45" s="667"/>
      <c r="U45" s="667"/>
      <c r="V45" s="667"/>
      <c r="W45" s="667"/>
      <c r="X45" s="667"/>
      <c r="Y45" s="667"/>
      <c r="Z45" s="667"/>
      <c r="AA45" s="667"/>
      <c r="AB45" s="667"/>
      <c r="AC45" s="667"/>
      <c r="AD45" s="667"/>
      <c r="AE45" s="667"/>
      <c r="AF45" s="667"/>
      <c r="AG45" s="667"/>
      <c r="AH45" s="667"/>
      <c r="AI45" s="667"/>
      <c r="AJ45" s="667"/>
      <c r="AK45" s="667"/>
      <c r="AL45" s="667"/>
      <c r="AM45" s="667"/>
      <c r="AN45" s="667"/>
      <c r="AO45" s="667"/>
      <c r="AP45" s="667"/>
    </row>
    <row r="46" spans="2:42" x14ac:dyDescent="0.25">
      <c r="B46" s="47" t="s">
        <v>799</v>
      </c>
      <c r="C46" s="340" t="s">
        <v>343</v>
      </c>
      <c r="D46" s="695">
        <f>3.9/1000000</f>
        <v>3.8999999999999999E-6</v>
      </c>
      <c r="E46" s="696">
        <f>1.44/100000</f>
        <v>1.4399999999999999E-5</v>
      </c>
      <c r="F46" s="695">
        <f>3.3/10000000</f>
        <v>3.2999999999999996E-7</v>
      </c>
      <c r="G46" s="695">
        <f>0.0126</f>
        <v>1.26E-2</v>
      </c>
      <c r="H46" s="695">
        <f>5.3/10000000</f>
        <v>5.3000000000000001E-7</v>
      </c>
      <c r="I46" s="695">
        <f>2.65/1000000</f>
        <v>2.65E-6</v>
      </c>
      <c r="J46" s="695"/>
      <c r="K46" s="695"/>
      <c r="L46" s="695"/>
      <c r="M46" s="698"/>
      <c r="N46" s="667"/>
      <c r="O46" s="667"/>
      <c r="P46" s="667"/>
      <c r="Q46" s="667"/>
      <c r="R46" s="667"/>
      <c r="S46" s="667"/>
      <c r="T46" s="667"/>
      <c r="U46" s="667"/>
      <c r="V46" s="667"/>
      <c r="W46" s="667"/>
      <c r="X46" s="667"/>
      <c r="Y46" s="667"/>
      <c r="Z46" s="667"/>
      <c r="AA46" s="667"/>
      <c r="AB46" s="667"/>
      <c r="AC46" s="667"/>
      <c r="AD46" s="667"/>
      <c r="AE46" s="667"/>
      <c r="AF46" s="667"/>
      <c r="AG46" s="667"/>
      <c r="AH46" s="667"/>
      <c r="AI46" s="667"/>
      <c r="AJ46" s="667"/>
      <c r="AK46" s="667"/>
      <c r="AL46" s="667"/>
      <c r="AM46" s="667"/>
      <c r="AN46" s="667"/>
      <c r="AO46" s="667"/>
      <c r="AP46" s="667"/>
    </row>
    <row r="47" spans="2:42" x14ac:dyDescent="0.25">
      <c r="B47" s="47" t="s">
        <v>800</v>
      </c>
      <c r="C47" s="340" t="s">
        <v>344</v>
      </c>
      <c r="D47" s="694">
        <f>6.16/1000000*3</f>
        <v>1.8479999999999999E-5</v>
      </c>
      <c r="E47" s="695">
        <f>'Background data'!E45*3</f>
        <v>5.2499999999999997E-4</v>
      </c>
      <c r="F47" s="695">
        <f>'Background data'!F45*3</f>
        <v>5.1000000000000003E-6</v>
      </c>
      <c r="G47" s="695">
        <f>'Background data'!G45*3</f>
        <v>0.24299999999999999</v>
      </c>
      <c r="H47" s="695">
        <f>'Background data'!H45*3</f>
        <v>4.1699999999999997E-5</v>
      </c>
      <c r="I47" s="695">
        <f>'Background data'!I45*3</f>
        <v>3.0299999999999999E-4</v>
      </c>
      <c r="J47" s="695"/>
      <c r="K47" s="695"/>
      <c r="L47" s="695"/>
      <c r="M47" s="698"/>
      <c r="N47" s="667"/>
      <c r="O47" s="667"/>
      <c r="P47" s="667"/>
      <c r="Q47" s="667"/>
      <c r="R47" s="667"/>
      <c r="S47" s="667"/>
      <c r="T47" s="667"/>
      <c r="U47" s="667"/>
      <c r="V47" s="667"/>
      <c r="W47" s="667"/>
      <c r="X47" s="667"/>
      <c r="Y47" s="667"/>
      <c r="Z47" s="667"/>
      <c r="AA47" s="667"/>
      <c r="AB47" s="667"/>
      <c r="AC47" s="667"/>
      <c r="AD47" s="667"/>
      <c r="AE47" s="667"/>
      <c r="AF47" s="667"/>
      <c r="AG47" s="667"/>
      <c r="AH47" s="667"/>
      <c r="AI47" s="667"/>
      <c r="AJ47" s="667"/>
      <c r="AK47" s="667"/>
      <c r="AL47" s="667"/>
      <c r="AM47" s="667"/>
      <c r="AN47" s="667"/>
      <c r="AO47" s="667"/>
      <c r="AP47" s="667"/>
    </row>
    <row r="48" spans="2:42" x14ac:dyDescent="0.25">
      <c r="B48" s="47" t="s">
        <v>801</v>
      </c>
      <c r="C48" s="340" t="s">
        <v>345</v>
      </c>
      <c r="D48" s="695">
        <v>1.6999999999999999E-3</v>
      </c>
      <c r="E48" s="697">
        <f>5.37/10000</f>
        <v>5.3700000000000004E-4</v>
      </c>
      <c r="F48" s="695">
        <v>1E-3</v>
      </c>
      <c r="G48" s="695">
        <v>0.17699999999999999</v>
      </c>
      <c r="H48" s="695">
        <f>0.011</f>
        <v>1.0999999999999999E-2</v>
      </c>
      <c r="I48" s="696">
        <f>1.42/100000</f>
        <v>1.42E-5</v>
      </c>
      <c r="J48" s="695"/>
      <c r="K48" s="695"/>
      <c r="L48" s="695"/>
      <c r="M48" s="698"/>
      <c r="N48" s="667"/>
      <c r="O48" s="667"/>
      <c r="P48" s="667"/>
      <c r="Q48" s="667"/>
      <c r="R48" s="667"/>
      <c r="S48" s="667"/>
      <c r="T48" s="667"/>
      <c r="U48" s="667"/>
      <c r="V48" s="667"/>
      <c r="W48" s="667"/>
      <c r="X48" s="667"/>
      <c r="Y48" s="667"/>
      <c r="Z48" s="667"/>
      <c r="AA48" s="667"/>
      <c r="AB48" s="667"/>
      <c r="AC48" s="667"/>
      <c r="AD48" s="667"/>
      <c r="AE48" s="667"/>
      <c r="AF48" s="667"/>
      <c r="AG48" s="667"/>
      <c r="AH48" s="667"/>
      <c r="AI48" s="667"/>
      <c r="AJ48" s="667"/>
      <c r="AK48" s="667"/>
      <c r="AL48" s="667"/>
      <c r="AM48" s="667"/>
      <c r="AN48" s="667"/>
      <c r="AO48" s="667"/>
      <c r="AP48" s="667"/>
    </row>
    <row r="49" spans="2:42" ht="15.75" thickBot="1" x14ac:dyDescent="0.3">
      <c r="B49" s="699" t="s">
        <v>802</v>
      </c>
      <c r="C49" s="700" t="s">
        <v>303</v>
      </c>
      <c r="D49" s="701"/>
      <c r="E49" s="701"/>
      <c r="F49" s="701"/>
      <c r="G49" s="702">
        <f>L49/J49</f>
        <v>7.4829931972789115E-2</v>
      </c>
      <c r="H49" s="701"/>
      <c r="I49" s="701"/>
      <c r="J49" s="701">
        <v>42</v>
      </c>
      <c r="K49" s="701" t="s">
        <v>300</v>
      </c>
      <c r="L49" s="703">
        <f>44/14</f>
        <v>3.1428571428571428</v>
      </c>
      <c r="M49" s="46" t="s">
        <v>302</v>
      </c>
      <c r="N49" s="667"/>
      <c r="O49" s="667"/>
      <c r="P49" s="667"/>
      <c r="Q49" s="667"/>
      <c r="R49" s="667"/>
      <c r="S49" s="667"/>
      <c r="T49" s="667"/>
      <c r="U49" s="667"/>
      <c r="V49" s="667"/>
      <c r="W49" s="667"/>
      <c r="X49" s="667"/>
      <c r="Y49" s="667"/>
      <c r="Z49" s="667"/>
      <c r="AA49" s="667"/>
      <c r="AB49" s="667"/>
      <c r="AC49" s="667"/>
      <c r="AD49" s="667"/>
      <c r="AE49" s="667"/>
      <c r="AF49" s="667"/>
      <c r="AG49" s="667"/>
      <c r="AH49" s="667"/>
      <c r="AI49" s="667"/>
      <c r="AJ49" s="667"/>
      <c r="AK49" s="667"/>
      <c r="AL49" s="667"/>
      <c r="AM49" s="667"/>
      <c r="AN49" s="667"/>
      <c r="AO49" s="667"/>
      <c r="AP49" s="667"/>
    </row>
    <row r="50" spans="2:42" x14ac:dyDescent="0.25">
      <c r="B50" s="667"/>
      <c r="C50" s="667"/>
      <c r="D50" s="667"/>
      <c r="E50" s="667"/>
      <c r="F50" s="667"/>
      <c r="G50" s="667"/>
      <c r="H50" s="667"/>
      <c r="I50" s="667"/>
      <c r="J50" s="667"/>
      <c r="K50" s="667"/>
      <c r="L50" s="667"/>
      <c r="M50" s="667"/>
      <c r="N50" s="667"/>
      <c r="O50" s="667"/>
      <c r="P50" s="667"/>
      <c r="Q50" s="667"/>
      <c r="R50" s="667"/>
      <c r="S50" s="667"/>
      <c r="T50" s="667"/>
      <c r="U50" s="667"/>
      <c r="V50" s="667"/>
      <c r="W50" s="667"/>
      <c r="X50" s="667"/>
      <c r="Y50" s="667"/>
      <c r="Z50" s="667"/>
      <c r="AA50" s="667"/>
      <c r="AB50" s="667"/>
      <c r="AC50" s="667"/>
      <c r="AD50" s="667"/>
      <c r="AE50" s="667"/>
      <c r="AF50" s="667"/>
      <c r="AG50" s="667"/>
      <c r="AH50" s="667"/>
      <c r="AI50" s="667"/>
      <c r="AJ50" s="667"/>
      <c r="AK50" s="667"/>
      <c r="AL50" s="667"/>
      <c r="AM50" s="667"/>
      <c r="AN50" s="667"/>
      <c r="AO50" s="667"/>
      <c r="AP50" s="667"/>
    </row>
    <row r="51" spans="2:42" x14ac:dyDescent="0.25">
      <c r="B51" s="667"/>
      <c r="C51" s="667"/>
      <c r="D51" s="667"/>
      <c r="E51" s="667"/>
      <c r="F51" s="667"/>
      <c r="G51" s="667"/>
      <c r="H51" s="667"/>
      <c r="I51" s="667"/>
      <c r="J51" s="667"/>
      <c r="K51" s="667"/>
      <c r="L51" s="667"/>
      <c r="M51" s="667"/>
      <c r="N51" s="667"/>
      <c r="O51" s="667"/>
      <c r="P51" s="667"/>
      <c r="Q51" s="667"/>
      <c r="R51" s="667"/>
      <c r="S51" s="667"/>
      <c r="T51" s="667"/>
      <c r="U51" s="667"/>
      <c r="V51" s="667"/>
      <c r="W51" s="667"/>
      <c r="X51" s="667"/>
      <c r="Y51" s="667"/>
      <c r="Z51" s="667"/>
      <c r="AA51" s="667"/>
      <c r="AB51" s="667"/>
      <c r="AC51" s="667"/>
      <c r="AD51" s="667"/>
      <c r="AE51" s="667"/>
      <c r="AF51" s="667"/>
      <c r="AG51" s="667"/>
      <c r="AH51" s="667"/>
      <c r="AI51" s="667"/>
      <c r="AJ51" s="667"/>
      <c r="AK51" s="667"/>
      <c r="AL51" s="667"/>
      <c r="AM51" s="667"/>
      <c r="AN51" s="667"/>
      <c r="AO51" s="667"/>
      <c r="AP51" s="667"/>
    </row>
    <row r="52" spans="2:42" x14ac:dyDescent="0.25">
      <c r="B52" s="669" t="s">
        <v>808</v>
      </c>
      <c r="C52" s="668"/>
      <c r="D52" s="668"/>
      <c r="E52" s="668"/>
      <c r="F52" s="668"/>
      <c r="G52" s="668"/>
      <c r="H52" s="668"/>
      <c r="I52" s="668"/>
      <c r="J52" s="668"/>
      <c r="K52" s="668"/>
      <c r="L52" s="668"/>
      <c r="M52" s="668"/>
      <c r="N52" s="667"/>
      <c r="O52" s="667"/>
      <c r="P52" s="667"/>
      <c r="Q52" s="667"/>
      <c r="R52" s="667"/>
      <c r="S52" s="667"/>
      <c r="T52" s="667"/>
      <c r="U52" s="667"/>
      <c r="V52" s="667"/>
      <c r="W52" s="667"/>
      <c r="X52" s="667"/>
      <c r="Y52" s="667"/>
      <c r="Z52" s="667"/>
      <c r="AA52" s="667"/>
      <c r="AB52" s="667"/>
      <c r="AC52" s="667"/>
      <c r="AD52" s="667"/>
      <c r="AE52" s="667"/>
      <c r="AF52" s="667"/>
      <c r="AG52" s="667"/>
      <c r="AH52" s="667"/>
      <c r="AI52" s="667"/>
      <c r="AJ52" s="667"/>
      <c r="AK52" s="667"/>
      <c r="AL52" s="667"/>
      <c r="AM52" s="667"/>
      <c r="AN52" s="667"/>
      <c r="AO52" s="667"/>
      <c r="AP52" s="667"/>
    </row>
    <row r="53" spans="2:42" x14ac:dyDescent="0.25">
      <c r="B53" s="667"/>
      <c r="C53" s="667"/>
      <c r="D53" s="667"/>
      <c r="E53" s="667"/>
      <c r="F53" s="667"/>
      <c r="G53" s="667"/>
      <c r="H53" s="667"/>
      <c r="I53" s="667"/>
      <c r="J53" s="667"/>
      <c r="K53" s="667"/>
      <c r="L53" s="667"/>
      <c r="M53" s="667"/>
      <c r="N53" s="667"/>
      <c r="O53" s="667"/>
      <c r="P53" s="667"/>
      <c r="Q53" s="667"/>
      <c r="R53" s="667"/>
      <c r="S53" s="667"/>
      <c r="T53" s="667"/>
      <c r="U53" s="667"/>
      <c r="V53" s="667"/>
      <c r="W53" s="667"/>
      <c r="X53" s="667"/>
      <c r="Y53" s="667"/>
      <c r="Z53" s="667"/>
      <c r="AA53" s="667"/>
      <c r="AB53" s="667"/>
      <c r="AC53" s="667"/>
      <c r="AD53" s="667"/>
      <c r="AE53" s="667"/>
      <c r="AF53" s="667"/>
      <c r="AG53" s="667"/>
      <c r="AH53" s="667"/>
      <c r="AI53" s="667"/>
      <c r="AJ53" s="667"/>
      <c r="AK53" s="667"/>
      <c r="AL53" s="667"/>
      <c r="AM53" s="667"/>
      <c r="AN53" s="667"/>
      <c r="AO53" s="667"/>
      <c r="AP53" s="667"/>
    </row>
    <row r="54" spans="2:42" x14ac:dyDescent="0.25">
      <c r="B54" s="40" t="s">
        <v>259</v>
      </c>
      <c r="C54" s="40"/>
      <c r="D54" s="40"/>
      <c r="E54" s="40"/>
      <c r="F54" s="40"/>
      <c r="G54" s="40"/>
      <c r="H54" s="40"/>
      <c r="I54" s="40"/>
      <c r="J54" s="40"/>
      <c r="K54" s="40"/>
      <c r="S54" s="667"/>
      <c r="T54" s="667"/>
      <c r="U54" s="667"/>
      <c r="V54" s="667"/>
      <c r="W54" s="667"/>
      <c r="X54" s="667"/>
      <c r="Y54" s="667"/>
      <c r="Z54" s="667"/>
      <c r="AA54" s="667"/>
      <c r="AB54" s="667"/>
      <c r="AC54" s="667"/>
      <c r="AD54" s="667"/>
      <c r="AE54" s="667"/>
      <c r="AF54" s="667"/>
      <c r="AG54" s="667"/>
      <c r="AH54" s="667"/>
      <c r="AI54" s="667"/>
      <c r="AJ54" s="667"/>
      <c r="AK54" s="667"/>
      <c r="AL54" s="667"/>
      <c r="AM54" s="667"/>
      <c r="AN54" s="667"/>
      <c r="AO54" s="667"/>
      <c r="AP54" s="667"/>
    </row>
    <row r="55" spans="2:42" x14ac:dyDescent="0.25">
      <c r="B55" t="s">
        <v>105</v>
      </c>
      <c r="C55" t="s">
        <v>106</v>
      </c>
      <c r="G55" s="26"/>
      <c r="H55" s="26"/>
      <c r="S55" s="667"/>
      <c r="T55" s="667"/>
      <c r="U55" s="667"/>
      <c r="V55" s="667"/>
      <c r="W55" s="667"/>
      <c r="X55" s="667"/>
      <c r="Y55" s="667"/>
      <c r="Z55" s="667"/>
      <c r="AA55" s="667"/>
      <c r="AB55" s="667"/>
      <c r="AC55" s="667"/>
      <c r="AD55" s="667"/>
      <c r="AE55" s="667"/>
      <c r="AF55" s="667"/>
      <c r="AG55" s="667"/>
      <c r="AH55" s="667"/>
      <c r="AI55" s="667"/>
      <c r="AJ55" s="667"/>
      <c r="AK55" s="667"/>
      <c r="AL55" s="667"/>
      <c r="AM55" s="667"/>
      <c r="AN55" s="667"/>
      <c r="AO55" s="667"/>
      <c r="AP55" s="667"/>
    </row>
    <row r="56" spans="2:42" x14ac:dyDescent="0.25">
      <c r="B56" t="s">
        <v>107</v>
      </c>
      <c r="C56" t="s">
        <v>108</v>
      </c>
      <c r="G56" s="26"/>
      <c r="H56" s="26"/>
      <c r="S56" s="667"/>
      <c r="T56" s="667"/>
      <c r="U56" s="667"/>
      <c r="V56" s="667"/>
      <c r="W56" s="667"/>
      <c r="X56" s="667"/>
      <c r="Y56" s="667"/>
      <c r="Z56" s="667"/>
      <c r="AA56" s="667"/>
      <c r="AB56" s="667"/>
      <c r="AC56" s="667"/>
      <c r="AD56" s="667"/>
      <c r="AE56" s="667"/>
      <c r="AF56" s="667"/>
      <c r="AG56" s="667"/>
      <c r="AH56" s="667"/>
      <c r="AI56" s="667"/>
      <c r="AJ56" s="667"/>
      <c r="AK56" s="667"/>
      <c r="AL56" s="667"/>
      <c r="AM56" s="667"/>
      <c r="AN56" s="667"/>
      <c r="AO56" s="667"/>
      <c r="AP56" s="667"/>
    </row>
    <row r="57" spans="2:42" x14ac:dyDescent="0.25">
      <c r="B57" s="40" t="s">
        <v>109</v>
      </c>
      <c r="C57" s="40" t="s">
        <v>254</v>
      </c>
      <c r="D57" s="40"/>
      <c r="E57" s="40"/>
      <c r="F57" s="40"/>
      <c r="G57" s="40"/>
      <c r="H57" s="40"/>
      <c r="I57" s="40"/>
      <c r="J57" s="40"/>
      <c r="K57" s="40"/>
      <c r="L57" s="40"/>
      <c r="M57" s="40"/>
      <c r="N57" s="40"/>
      <c r="O57" s="40"/>
      <c r="P57" s="40"/>
      <c r="S57" s="667"/>
      <c r="T57" s="667"/>
      <c r="U57" s="667"/>
      <c r="V57" s="667"/>
      <c r="W57" s="667"/>
      <c r="X57" s="667"/>
      <c r="Y57" s="667"/>
      <c r="Z57" s="667"/>
      <c r="AA57" s="667"/>
      <c r="AB57" s="667"/>
      <c r="AC57" s="667"/>
      <c r="AD57" s="667"/>
      <c r="AE57" s="667"/>
      <c r="AF57" s="667"/>
      <c r="AG57" s="667"/>
      <c r="AH57" s="667"/>
      <c r="AI57" s="667"/>
      <c r="AJ57" s="667"/>
      <c r="AK57" s="667"/>
      <c r="AL57" s="667"/>
      <c r="AM57" s="667"/>
      <c r="AN57" s="667"/>
      <c r="AO57" s="667"/>
      <c r="AP57" s="667"/>
    </row>
    <row r="58" spans="2:42" x14ac:dyDescent="0.25">
      <c r="B58" t="s">
        <v>111</v>
      </c>
      <c r="C58" t="s">
        <v>112</v>
      </c>
      <c r="G58" s="26"/>
      <c r="H58" s="26"/>
      <c r="S58" s="667"/>
      <c r="T58" s="667"/>
      <c r="U58" s="667"/>
      <c r="V58" s="667"/>
      <c r="W58" s="667"/>
      <c r="X58" s="667"/>
      <c r="Y58" s="667"/>
      <c r="Z58" s="667"/>
      <c r="AA58" s="667"/>
      <c r="AB58" s="667"/>
      <c r="AC58" s="667"/>
      <c r="AD58" s="667"/>
      <c r="AE58" s="667"/>
      <c r="AF58" s="667"/>
      <c r="AG58" s="667"/>
      <c r="AH58" s="667"/>
      <c r="AI58" s="667"/>
      <c r="AJ58" s="667"/>
      <c r="AK58" s="667"/>
      <c r="AL58" s="667"/>
      <c r="AM58" s="667"/>
      <c r="AN58" s="667"/>
      <c r="AO58" s="667"/>
      <c r="AP58" s="667"/>
    </row>
    <row r="59" spans="2:42" x14ac:dyDescent="0.25">
      <c r="B59" t="s">
        <v>113</v>
      </c>
      <c r="C59" t="s">
        <v>114</v>
      </c>
      <c r="G59" s="26"/>
      <c r="H59" s="26"/>
      <c r="S59" s="667"/>
      <c r="T59" s="667"/>
      <c r="U59" s="667"/>
      <c r="V59" s="667"/>
      <c r="W59" s="667"/>
      <c r="X59" s="667"/>
      <c r="Y59" s="667"/>
      <c r="Z59" s="667"/>
      <c r="AA59" s="667"/>
      <c r="AB59" s="667"/>
      <c r="AC59" s="667"/>
      <c r="AD59" s="667"/>
      <c r="AE59" s="667"/>
      <c r="AF59" s="667"/>
      <c r="AG59" s="667"/>
      <c r="AH59" s="667"/>
      <c r="AI59" s="667"/>
      <c r="AJ59" s="667"/>
      <c r="AK59" s="667"/>
      <c r="AL59" s="667"/>
      <c r="AM59" s="667"/>
      <c r="AN59" s="667"/>
      <c r="AO59" s="667"/>
      <c r="AP59" s="667"/>
    </row>
    <row r="60" spans="2:42" x14ac:dyDescent="0.25">
      <c r="B60" t="s">
        <v>115</v>
      </c>
      <c r="C60" t="s">
        <v>116</v>
      </c>
      <c r="G60" s="26"/>
      <c r="H60" s="26"/>
      <c r="S60" s="667"/>
      <c r="T60" s="667"/>
      <c r="U60" s="667"/>
      <c r="V60" s="667"/>
      <c r="W60" s="667"/>
      <c r="X60" s="667"/>
      <c r="Y60" s="667"/>
      <c r="Z60" s="667"/>
      <c r="AA60" s="667"/>
      <c r="AB60" s="667"/>
      <c r="AC60" s="667"/>
      <c r="AD60" s="667"/>
      <c r="AE60" s="667"/>
      <c r="AF60" s="667"/>
      <c r="AG60" s="667"/>
      <c r="AH60" s="667"/>
      <c r="AI60" s="667"/>
      <c r="AJ60" s="667"/>
      <c r="AK60" s="667"/>
      <c r="AL60" s="667"/>
      <c r="AM60" s="667"/>
      <c r="AN60" s="667"/>
      <c r="AO60" s="667"/>
      <c r="AP60" s="667"/>
    </row>
    <row r="61" spans="2:42" x14ac:dyDescent="0.25">
      <c r="B61" t="s">
        <v>117</v>
      </c>
      <c r="C61" t="s">
        <v>118</v>
      </c>
      <c r="G61" s="26"/>
      <c r="H61" s="26"/>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row>
    <row r="62" spans="2:42" ht="15.75" thickBot="1" x14ac:dyDescent="0.3">
      <c r="B62" s="40" t="s">
        <v>119</v>
      </c>
      <c r="C62" s="40" t="s">
        <v>120</v>
      </c>
      <c r="D62" s="40"/>
      <c r="E62" s="40"/>
      <c r="G62" s="26"/>
      <c r="H62" s="26"/>
      <c r="S62" s="667"/>
      <c r="T62" s="667"/>
      <c r="U62" s="667"/>
      <c r="V62" s="667"/>
      <c r="W62" s="667"/>
      <c r="X62" s="667"/>
      <c r="Y62" s="667"/>
      <c r="Z62" s="667"/>
      <c r="AA62" s="667"/>
      <c r="AB62" s="667"/>
      <c r="AC62" s="667"/>
      <c r="AD62" s="667"/>
      <c r="AE62" s="667"/>
      <c r="AF62" s="667"/>
      <c r="AG62" s="667"/>
      <c r="AH62" s="667"/>
      <c r="AI62" s="667"/>
      <c r="AJ62" s="667"/>
      <c r="AK62" s="667"/>
      <c r="AL62" s="667"/>
      <c r="AM62" s="667"/>
      <c r="AN62" s="667"/>
      <c r="AO62" s="667"/>
      <c r="AP62" s="667"/>
    </row>
    <row r="63" spans="2:42" ht="15.75" thickBot="1" x14ac:dyDescent="0.3">
      <c r="B63" t="s">
        <v>121</v>
      </c>
      <c r="C63" s="41">
        <v>0</v>
      </c>
      <c r="G63" s="55" t="s">
        <v>236</v>
      </c>
      <c r="H63" s="48"/>
      <c r="I63" s="48"/>
      <c r="J63" s="49"/>
      <c r="S63" s="667"/>
      <c r="T63" s="667"/>
      <c r="U63" s="667"/>
      <c r="V63" s="667"/>
      <c r="W63" s="667"/>
      <c r="X63" s="667"/>
      <c r="Y63" s="667"/>
      <c r="Z63" s="667"/>
      <c r="AA63" s="667"/>
      <c r="AB63" s="667"/>
      <c r="AC63" s="667"/>
      <c r="AD63" s="667"/>
      <c r="AE63" s="667"/>
      <c r="AF63" s="667"/>
      <c r="AG63" s="667"/>
      <c r="AH63" s="667"/>
      <c r="AI63" s="667"/>
      <c r="AJ63" s="667"/>
      <c r="AK63" s="667"/>
      <c r="AL63" s="667"/>
      <c r="AM63" s="667"/>
      <c r="AN63" s="667"/>
      <c r="AO63" s="667"/>
      <c r="AP63" s="667"/>
    </row>
    <row r="64" spans="2:42" x14ac:dyDescent="0.25">
      <c r="B64" t="s">
        <v>122</v>
      </c>
      <c r="C64" t="s">
        <v>123</v>
      </c>
      <c r="G64" s="47" t="s">
        <v>234</v>
      </c>
      <c r="H64" s="28">
        <v>23</v>
      </c>
      <c r="I64" s="28" t="s">
        <v>235</v>
      </c>
      <c r="J64" s="43"/>
      <c r="M64" s="26"/>
      <c r="N64" s="26"/>
      <c r="O64" s="26"/>
      <c r="P64" s="55" t="s">
        <v>2</v>
      </c>
      <c r="Q64" s="63" t="s">
        <v>126</v>
      </c>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row>
    <row r="65" spans="2:42" ht="15.75" thickBot="1" x14ac:dyDescent="0.3">
      <c r="B65" t="s">
        <v>124</v>
      </c>
      <c r="C65" t="s">
        <v>123</v>
      </c>
      <c r="G65" s="47" t="s">
        <v>237</v>
      </c>
      <c r="H65" s="28">
        <v>296</v>
      </c>
      <c r="I65" s="28" t="s">
        <v>235</v>
      </c>
      <c r="J65" s="43"/>
      <c r="M65" s="40" t="s">
        <v>247</v>
      </c>
      <c r="N65" s="50" t="s">
        <v>251</v>
      </c>
      <c r="O65" s="78">
        <f>4.72*(10^-6)</f>
        <v>4.7199999999999997E-6</v>
      </c>
      <c r="P65" s="67" t="s">
        <v>263</v>
      </c>
      <c r="Q65" s="71">
        <f>O65/H67</f>
        <v>2.5026511134676563E-5</v>
      </c>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row>
    <row r="66" spans="2:42" x14ac:dyDescent="0.25">
      <c r="B66" t="s">
        <v>125</v>
      </c>
      <c r="C66" t="s">
        <v>126</v>
      </c>
      <c r="G66" s="73" t="s">
        <v>238</v>
      </c>
      <c r="H66" s="28">
        <v>1</v>
      </c>
      <c r="I66" s="28" t="s">
        <v>235</v>
      </c>
      <c r="J66" s="43"/>
      <c r="S66" s="667"/>
      <c r="T66" s="667"/>
      <c r="U66" s="667"/>
      <c r="V66" s="667"/>
      <c r="W66" s="667"/>
      <c r="X66" s="667"/>
      <c r="Y66" s="667"/>
      <c r="Z66" s="667"/>
      <c r="AA66" s="667"/>
      <c r="AB66" s="667"/>
      <c r="AC66" s="667"/>
      <c r="AD66" s="667"/>
      <c r="AE66" s="667"/>
      <c r="AF66" s="667"/>
      <c r="AG66" s="667"/>
      <c r="AH66" s="667"/>
      <c r="AI66" s="667"/>
      <c r="AJ66" s="667"/>
      <c r="AK66" s="667"/>
      <c r="AL66" s="667"/>
      <c r="AM66" s="667"/>
      <c r="AN66" s="667"/>
      <c r="AO66" s="667"/>
      <c r="AP66" s="667"/>
    </row>
    <row r="67" spans="2:42" x14ac:dyDescent="0.25">
      <c r="B67" t="s">
        <v>127</v>
      </c>
      <c r="C67" t="s">
        <v>128</v>
      </c>
      <c r="G67" s="74" t="s">
        <v>248</v>
      </c>
      <c r="H67" s="75">
        <v>0.18859999999999999</v>
      </c>
      <c r="I67" s="76" t="s">
        <v>249</v>
      </c>
      <c r="J67" s="77" t="s">
        <v>250</v>
      </c>
      <c r="S67" s="667"/>
      <c r="T67" s="667"/>
      <c r="U67" s="667"/>
      <c r="V67" s="667"/>
      <c r="W67" s="667"/>
      <c r="X67" s="667"/>
      <c r="Y67" s="667"/>
      <c r="Z67" s="667"/>
      <c r="AA67" s="667"/>
      <c r="AB67" s="667"/>
      <c r="AC67" s="667"/>
      <c r="AD67" s="667"/>
      <c r="AE67" s="667"/>
      <c r="AF67" s="667"/>
      <c r="AG67" s="667"/>
      <c r="AH67" s="667"/>
      <c r="AI67" s="667"/>
      <c r="AJ67" s="667"/>
      <c r="AK67" s="667"/>
      <c r="AL67" s="667"/>
      <c r="AM67" s="667"/>
      <c r="AN67" s="667"/>
      <c r="AO67" s="667"/>
      <c r="AP67" s="667"/>
    </row>
    <row r="68" spans="2:42" ht="15.75" thickBot="1" x14ac:dyDescent="0.3">
      <c r="G68" s="26"/>
      <c r="H68" s="26"/>
      <c r="S68" s="667"/>
      <c r="T68" s="667"/>
      <c r="U68" s="667"/>
      <c r="V68" s="667"/>
      <c r="W68" s="667"/>
      <c r="X68" s="667"/>
      <c r="Y68" s="667"/>
      <c r="Z68" s="667"/>
      <c r="AA68" s="667"/>
      <c r="AB68" s="667"/>
      <c r="AC68" s="667"/>
      <c r="AD68" s="667"/>
      <c r="AE68" s="667"/>
      <c r="AF68" s="667"/>
      <c r="AG68" s="667"/>
      <c r="AH68" s="667"/>
      <c r="AI68" s="667"/>
      <c r="AJ68" s="667"/>
      <c r="AK68" s="667"/>
      <c r="AL68" s="667"/>
      <c r="AM68" s="667"/>
      <c r="AN68" s="667"/>
      <c r="AO68" s="667"/>
      <c r="AP68" s="667"/>
    </row>
    <row r="69" spans="2:42" x14ac:dyDescent="0.25">
      <c r="B69" t="s">
        <v>123</v>
      </c>
      <c r="C69" t="s">
        <v>129</v>
      </c>
      <c r="D69" t="s">
        <v>130</v>
      </c>
      <c r="E69" t="s">
        <v>2</v>
      </c>
      <c r="F69" t="s">
        <v>126</v>
      </c>
      <c r="G69" s="60" t="s">
        <v>2</v>
      </c>
      <c r="H69" s="42" t="s">
        <v>126</v>
      </c>
      <c r="I69" t="s">
        <v>255</v>
      </c>
      <c r="J69" t="s">
        <v>256</v>
      </c>
      <c r="K69" t="s">
        <v>257</v>
      </c>
      <c r="L69" t="s">
        <v>258</v>
      </c>
      <c r="S69" s="667"/>
      <c r="T69" s="667"/>
      <c r="U69" s="667"/>
      <c r="V69" s="667"/>
      <c r="W69" s="667"/>
      <c r="X69" s="667"/>
      <c r="Y69" s="667"/>
      <c r="Z69" s="667"/>
      <c r="AA69" s="667"/>
      <c r="AB69" s="667"/>
      <c r="AC69" s="667"/>
      <c r="AD69" s="667"/>
      <c r="AE69" s="667"/>
      <c r="AF69" s="667"/>
      <c r="AG69" s="667"/>
      <c r="AH69" s="667"/>
      <c r="AI69" s="667"/>
      <c r="AJ69" s="667"/>
      <c r="AK69" s="667"/>
      <c r="AL69" s="667"/>
      <c r="AM69" s="667"/>
      <c r="AN69" s="667"/>
      <c r="AO69" s="667"/>
      <c r="AP69" s="667"/>
    </row>
    <row r="70" spans="2:42" x14ac:dyDescent="0.25">
      <c r="C70" t="s">
        <v>126</v>
      </c>
      <c r="E70" s="1" t="s">
        <v>116</v>
      </c>
      <c r="F70" s="1">
        <v>1.0581669</v>
      </c>
      <c r="G70" s="61"/>
      <c r="H70" s="62"/>
      <c r="I70" s="58">
        <v>4.8515879999999999E-5</v>
      </c>
      <c r="J70">
        <v>1.0541636999999999</v>
      </c>
      <c r="K70" s="58">
        <v>2.6239201999999998E-7</v>
      </c>
      <c r="L70">
        <v>3.9543540000000002E-3</v>
      </c>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row>
    <row r="71" spans="2:42" x14ac:dyDescent="0.25">
      <c r="B71">
        <v>1</v>
      </c>
      <c r="C71" s="40" t="s">
        <v>143</v>
      </c>
      <c r="D71" s="40" t="s">
        <v>141</v>
      </c>
      <c r="E71" s="40" t="s">
        <v>116</v>
      </c>
      <c r="F71" s="40">
        <v>0.94771368</v>
      </c>
      <c r="G71" s="66" t="s">
        <v>260</v>
      </c>
      <c r="H71" s="70">
        <f>F71/H66</f>
        <v>0.94771368</v>
      </c>
      <c r="I71" t="s">
        <v>142</v>
      </c>
      <c r="J71">
        <v>0.94406840000000003</v>
      </c>
      <c r="K71" s="58">
        <v>1.8814714999999999E-8</v>
      </c>
      <c r="L71">
        <v>3.6452647999999999E-3</v>
      </c>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row>
    <row r="72" spans="2:42" x14ac:dyDescent="0.25">
      <c r="B72">
        <v>2</v>
      </c>
      <c r="C72" s="40" t="s">
        <v>144</v>
      </c>
      <c r="D72" s="40" t="s">
        <v>141</v>
      </c>
      <c r="E72" s="40" t="s">
        <v>116</v>
      </c>
      <c r="F72" s="40">
        <v>0.10231464999999999</v>
      </c>
      <c r="G72" s="66" t="s">
        <v>261</v>
      </c>
      <c r="H72" s="70">
        <f>F72/H64</f>
        <v>4.4484630434782606E-3</v>
      </c>
      <c r="I72" t="s">
        <v>142</v>
      </c>
      <c r="J72">
        <v>0.10212627000000001</v>
      </c>
      <c r="K72" s="58">
        <v>7.3888715999999998E-10</v>
      </c>
      <c r="L72">
        <v>1.8837752E-4</v>
      </c>
      <c r="S72" s="667"/>
      <c r="T72" s="667"/>
      <c r="U72" s="667"/>
      <c r="V72" s="667"/>
      <c r="W72" s="667"/>
      <c r="X72" s="667"/>
      <c r="Y72" s="667"/>
      <c r="Z72" s="667"/>
      <c r="AA72" s="667"/>
      <c r="AB72" s="667"/>
      <c r="AC72" s="667"/>
      <c r="AD72" s="667"/>
      <c r="AE72" s="667"/>
      <c r="AF72" s="667"/>
      <c r="AG72" s="667"/>
      <c r="AH72" s="667"/>
      <c r="AI72" s="667"/>
      <c r="AJ72" s="667"/>
      <c r="AK72" s="667"/>
      <c r="AL72" s="667"/>
      <c r="AM72" s="667"/>
      <c r="AN72" s="667"/>
      <c r="AO72" s="667"/>
      <c r="AP72" s="667"/>
    </row>
    <row r="73" spans="2:42" ht="15.75" thickBot="1" x14ac:dyDescent="0.3">
      <c r="B73">
        <v>3</v>
      </c>
      <c r="C73" s="40" t="s">
        <v>140</v>
      </c>
      <c r="D73" s="40" t="s">
        <v>141</v>
      </c>
      <c r="E73" s="40" t="s">
        <v>116</v>
      </c>
      <c r="F73" s="40">
        <v>1.1675179000000001E-2</v>
      </c>
      <c r="G73" s="67" t="s">
        <v>262</v>
      </c>
      <c r="H73" s="71">
        <f>F73/H65</f>
        <v>3.9443172297297301E-5</v>
      </c>
      <c r="I73" t="s">
        <v>142</v>
      </c>
      <c r="J73">
        <v>1.1627024999999999E-2</v>
      </c>
      <c r="K73" s="58">
        <v>1.6447445999999999E-10</v>
      </c>
      <c r="L73" s="58">
        <v>4.8153920000000001E-5</v>
      </c>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row>
    <row r="74" spans="2:42" x14ac:dyDescent="0.25">
      <c r="B74">
        <v>4</v>
      </c>
      <c r="C74" t="s">
        <v>145</v>
      </c>
      <c r="D74" t="s">
        <v>141</v>
      </c>
      <c r="E74" t="s">
        <v>116</v>
      </c>
      <c r="F74">
        <v>1.1997454E-3</v>
      </c>
      <c r="G74" s="26"/>
      <c r="H74" s="26"/>
      <c r="I74" t="s">
        <v>142</v>
      </c>
      <c r="J74">
        <v>6.7991009999999997E-4</v>
      </c>
      <c r="K74" s="58">
        <v>5.3891879999999997E-10</v>
      </c>
      <c r="L74">
        <v>5.1983474999999998E-4</v>
      </c>
      <c r="S74" s="667"/>
      <c r="T74" s="667"/>
      <c r="U74" s="667"/>
      <c r="V74" s="667"/>
      <c r="W74" s="667"/>
      <c r="X74" s="667"/>
      <c r="Y74" s="667"/>
      <c r="Z74" s="667"/>
      <c r="AA74" s="667"/>
      <c r="AB74" s="667"/>
      <c r="AC74" s="667"/>
      <c r="AD74" s="667"/>
      <c r="AE74" s="667"/>
      <c r="AF74" s="667"/>
      <c r="AG74" s="667"/>
      <c r="AH74" s="667"/>
      <c r="AI74" s="667"/>
      <c r="AJ74" s="667"/>
      <c r="AK74" s="667"/>
      <c r="AL74" s="667"/>
      <c r="AM74" s="667"/>
      <c r="AN74" s="667"/>
      <c r="AO74" s="667"/>
      <c r="AP74" s="667"/>
    </row>
    <row r="75" spans="2:42" x14ac:dyDescent="0.25">
      <c r="B75">
        <v>5</v>
      </c>
      <c r="C75" t="s">
        <v>150</v>
      </c>
      <c r="D75" t="s">
        <v>141</v>
      </c>
      <c r="E75" t="s">
        <v>116</v>
      </c>
      <c r="F75">
        <v>1.0897706999999999E-3</v>
      </c>
      <c r="G75" s="26"/>
      <c r="H75" s="26"/>
      <c r="I75" s="58">
        <v>4.8515879999999999E-5</v>
      </c>
      <c r="J75">
        <v>1.0254569E-3</v>
      </c>
      <c r="K75" s="58">
        <v>2.4263190999999999E-7</v>
      </c>
      <c r="L75" s="58">
        <v>1.5555306999999999E-5</v>
      </c>
      <c r="S75" s="667"/>
      <c r="T75" s="667"/>
      <c r="U75" s="667"/>
      <c r="V75" s="667"/>
      <c r="W75" s="667"/>
      <c r="X75" s="667"/>
      <c r="Y75" s="667"/>
      <c r="Z75" s="667"/>
      <c r="AA75" s="667"/>
      <c r="AB75" s="667"/>
      <c r="AC75" s="667"/>
      <c r="AD75" s="667"/>
      <c r="AE75" s="667"/>
      <c r="AF75" s="667"/>
      <c r="AG75" s="667"/>
      <c r="AH75" s="667"/>
      <c r="AI75" s="667"/>
      <c r="AJ75" s="667"/>
      <c r="AK75" s="667"/>
      <c r="AL75" s="667"/>
      <c r="AM75" s="667"/>
      <c r="AN75" s="667"/>
      <c r="AO75" s="667"/>
      <c r="AP75" s="667"/>
    </row>
    <row r="76" spans="2:42" x14ac:dyDescent="0.25">
      <c r="B76">
        <v>6</v>
      </c>
      <c r="C76" t="s">
        <v>146</v>
      </c>
      <c r="D76" t="s">
        <v>141</v>
      </c>
      <c r="E76" t="s">
        <v>116</v>
      </c>
      <c r="F76">
        <v>4.3989023999999998E-4</v>
      </c>
      <c r="G76" s="26"/>
      <c r="H76" s="26"/>
      <c r="I76" t="s">
        <v>142</v>
      </c>
      <c r="J76">
        <v>3.7702406999999999E-4</v>
      </c>
      <c r="K76" s="58">
        <v>3.0956494000000001E-11</v>
      </c>
      <c r="L76" s="58">
        <v>6.2866143999999998E-5</v>
      </c>
      <c r="S76" s="667"/>
      <c r="T76" s="667"/>
      <c r="U76" s="667"/>
      <c r="V76" s="667"/>
      <c r="W76" s="667"/>
      <c r="X76" s="667"/>
      <c r="Y76" s="667"/>
      <c r="Z76" s="667"/>
      <c r="AA76" s="667"/>
      <c r="AB76" s="667"/>
      <c r="AC76" s="667"/>
      <c r="AD76" s="667"/>
      <c r="AE76" s="667"/>
      <c r="AF76" s="667"/>
      <c r="AG76" s="667"/>
      <c r="AH76" s="667"/>
      <c r="AI76" s="667"/>
      <c r="AJ76" s="667"/>
      <c r="AK76" s="667"/>
      <c r="AL76" s="667"/>
      <c r="AM76" s="667"/>
      <c r="AN76" s="667"/>
      <c r="AO76" s="667"/>
      <c r="AP76" s="667"/>
    </row>
    <row r="77" spans="2:42" x14ac:dyDescent="0.25">
      <c r="B77">
        <v>7</v>
      </c>
      <c r="C77" t="s">
        <v>148</v>
      </c>
      <c r="D77" t="s">
        <v>141</v>
      </c>
      <c r="E77" t="s">
        <v>116</v>
      </c>
      <c r="F77">
        <v>1.3248668000000001E-4</v>
      </c>
      <c r="G77" s="26"/>
      <c r="H77" s="26"/>
      <c r="I77" t="s">
        <v>142</v>
      </c>
      <c r="J77">
        <v>1.2161092999999999E-4</v>
      </c>
      <c r="K77" s="58">
        <v>1.0878410999999999E-11</v>
      </c>
      <c r="L77" s="58">
        <v>1.0875742999999999E-5</v>
      </c>
      <c r="S77" s="667"/>
      <c r="T77" s="667"/>
      <c r="U77" s="667"/>
      <c r="V77" s="667"/>
      <c r="W77" s="667"/>
      <c r="X77" s="667"/>
      <c r="Y77" s="667"/>
      <c r="Z77" s="667"/>
      <c r="AA77" s="667"/>
      <c r="AB77" s="667"/>
      <c r="AC77" s="667"/>
      <c r="AD77" s="667"/>
      <c r="AE77" s="667"/>
      <c r="AF77" s="667"/>
      <c r="AG77" s="667"/>
      <c r="AH77" s="667"/>
      <c r="AI77" s="667"/>
      <c r="AJ77" s="667"/>
      <c r="AK77" s="667"/>
      <c r="AL77" s="667"/>
      <c r="AM77" s="667"/>
      <c r="AN77" s="667"/>
      <c r="AO77" s="667"/>
      <c r="AP77" s="667"/>
    </row>
    <row r="78" spans="2:42" x14ac:dyDescent="0.25">
      <c r="B78">
        <v>8</v>
      </c>
      <c r="C78" t="s">
        <v>153</v>
      </c>
      <c r="D78" t="s">
        <v>141</v>
      </c>
      <c r="E78" t="s">
        <v>116</v>
      </c>
      <c r="F78">
        <v>1.3125602999999999E-4</v>
      </c>
      <c r="G78" s="26"/>
      <c r="H78" s="26"/>
      <c r="I78" t="s">
        <v>142</v>
      </c>
      <c r="J78">
        <v>1.3064903E-4</v>
      </c>
      <c r="K78" s="58">
        <v>1.4205603E-11</v>
      </c>
      <c r="L78" s="58">
        <v>6.0699158999999996E-7</v>
      </c>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row>
    <row r="79" spans="2:42" x14ac:dyDescent="0.25">
      <c r="B79">
        <v>9</v>
      </c>
      <c r="C79" t="s">
        <v>147</v>
      </c>
      <c r="D79" t="s">
        <v>141</v>
      </c>
      <c r="E79" t="s">
        <v>116</v>
      </c>
      <c r="F79" s="58">
        <v>7.1414411999999998E-5</v>
      </c>
      <c r="G79" s="58"/>
      <c r="H79" s="58"/>
      <c r="I79" t="s">
        <v>142</v>
      </c>
      <c r="J79" s="58">
        <v>6.1598855000000001E-5</v>
      </c>
      <c r="K79" s="58">
        <v>1.2578114E-11</v>
      </c>
      <c r="L79" s="58">
        <v>9.8155440999999998E-6</v>
      </c>
      <c r="S79" s="667"/>
      <c r="T79" s="667"/>
      <c r="U79" s="667"/>
      <c r="V79" s="667"/>
      <c r="W79" s="667"/>
      <c r="X79" s="667"/>
      <c r="Y79" s="667"/>
      <c r="Z79" s="667"/>
      <c r="AA79" s="667"/>
      <c r="AB79" s="667"/>
      <c r="AC79" s="667"/>
      <c r="AD79" s="667"/>
      <c r="AE79" s="667"/>
      <c r="AF79" s="667"/>
      <c r="AG79" s="667"/>
      <c r="AH79" s="667"/>
      <c r="AI79" s="667"/>
      <c r="AJ79" s="667"/>
      <c r="AK79" s="667"/>
      <c r="AL79" s="667"/>
      <c r="AM79" s="667"/>
      <c r="AN79" s="667"/>
      <c r="AO79" s="667"/>
      <c r="AP79" s="667"/>
    </row>
    <row r="80" spans="2:42" x14ac:dyDescent="0.25">
      <c r="B80">
        <v>10</v>
      </c>
      <c r="C80" t="s">
        <v>171</v>
      </c>
      <c r="D80" t="s">
        <v>141</v>
      </c>
      <c r="E80" t="s">
        <v>116</v>
      </c>
      <c r="F80" s="58">
        <v>2.7161926999999999E-5</v>
      </c>
      <c r="G80" s="58"/>
      <c r="H80" s="58"/>
      <c r="I80" t="s">
        <v>142</v>
      </c>
      <c r="J80" s="58">
        <v>2.7139037999999999E-5</v>
      </c>
      <c r="K80" s="58">
        <v>3.3046647999999998E-13</v>
      </c>
      <c r="L80" s="58">
        <v>2.2888161000000001E-8</v>
      </c>
      <c r="S80" s="667"/>
      <c r="T80" s="667"/>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row>
    <row r="81" spans="2:42" x14ac:dyDescent="0.25">
      <c r="B81">
        <v>11</v>
      </c>
      <c r="C81" t="s">
        <v>149</v>
      </c>
      <c r="D81" t="s">
        <v>141</v>
      </c>
      <c r="E81" t="s">
        <v>116</v>
      </c>
      <c r="F81" s="58">
        <v>1.6623596E-5</v>
      </c>
      <c r="G81" s="58"/>
      <c r="H81" s="58"/>
      <c r="I81" t="s">
        <v>142</v>
      </c>
      <c r="J81" s="58">
        <v>1.4335818999999999E-5</v>
      </c>
      <c r="K81" s="58">
        <v>3.3140655000000001E-12</v>
      </c>
      <c r="L81" s="58">
        <v>2.2877731000000002E-6</v>
      </c>
      <c r="S81" s="667"/>
      <c r="T81" s="667"/>
      <c r="U81" s="667"/>
      <c r="V81" s="667"/>
      <c r="W81" s="667"/>
      <c r="X81" s="667"/>
      <c r="Y81" s="667"/>
      <c r="Z81" s="667"/>
      <c r="AA81" s="667"/>
      <c r="AB81" s="667"/>
      <c r="AC81" s="667"/>
      <c r="AD81" s="667"/>
      <c r="AE81" s="667"/>
      <c r="AF81" s="667"/>
      <c r="AG81" s="667"/>
      <c r="AH81" s="667"/>
      <c r="AI81" s="667"/>
      <c r="AJ81" s="667"/>
      <c r="AK81" s="667"/>
      <c r="AL81" s="667"/>
      <c r="AM81" s="667"/>
      <c r="AN81" s="667"/>
      <c r="AO81" s="667"/>
      <c r="AP81" s="667"/>
    </row>
    <row r="82" spans="2:42" x14ac:dyDescent="0.25">
      <c r="B82">
        <v>12</v>
      </c>
      <c r="C82" t="s">
        <v>151</v>
      </c>
      <c r="D82" t="s">
        <v>141</v>
      </c>
      <c r="E82" t="s">
        <v>116</v>
      </c>
      <c r="F82" s="58">
        <v>9.8387927000000008E-6</v>
      </c>
      <c r="G82" s="58"/>
      <c r="H82" s="58"/>
      <c r="I82" t="s">
        <v>142</v>
      </c>
      <c r="J82" s="58">
        <v>8.4110520000000002E-6</v>
      </c>
      <c r="K82" s="58">
        <v>1.7903518E-12</v>
      </c>
      <c r="L82" s="58">
        <v>1.4277389E-6</v>
      </c>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row>
    <row r="83" spans="2:42" x14ac:dyDescent="0.25">
      <c r="B83">
        <v>13</v>
      </c>
      <c r="C83" t="s">
        <v>158</v>
      </c>
      <c r="D83" t="s">
        <v>141</v>
      </c>
      <c r="E83" t="s">
        <v>116</v>
      </c>
      <c r="F83" s="58">
        <v>7.5619714000000002E-6</v>
      </c>
      <c r="G83" s="58"/>
      <c r="H83" s="58"/>
      <c r="I83" t="s">
        <v>142</v>
      </c>
      <c r="J83" s="58">
        <v>7.1895181000000004E-6</v>
      </c>
      <c r="K83" s="58">
        <v>3.1304157E-13</v>
      </c>
      <c r="L83" s="58">
        <v>3.7245297999999999E-7</v>
      </c>
      <c r="S83" s="667"/>
      <c r="T83" s="667"/>
      <c r="U83" s="667"/>
      <c r="V83" s="667"/>
      <c r="W83" s="667"/>
      <c r="X83" s="667"/>
      <c r="Y83" s="667"/>
      <c r="Z83" s="667"/>
      <c r="AA83" s="667"/>
      <c r="AB83" s="667"/>
      <c r="AC83" s="667"/>
      <c r="AD83" s="667"/>
      <c r="AE83" s="667"/>
      <c r="AF83" s="667"/>
      <c r="AG83" s="667"/>
      <c r="AH83" s="667"/>
      <c r="AI83" s="667"/>
      <c r="AJ83" s="667"/>
      <c r="AK83" s="667"/>
      <c r="AL83" s="667"/>
      <c r="AM83" s="667"/>
      <c r="AN83" s="667"/>
      <c r="AO83" s="667"/>
      <c r="AP83" s="667"/>
    </row>
    <row r="84" spans="2:42" x14ac:dyDescent="0.25">
      <c r="B84">
        <v>14</v>
      </c>
      <c r="C84" t="s">
        <v>162</v>
      </c>
      <c r="D84" t="s">
        <v>141</v>
      </c>
      <c r="E84" t="s">
        <v>116</v>
      </c>
      <c r="F84" s="58">
        <v>7.2769008000000001E-6</v>
      </c>
      <c r="G84" s="58"/>
      <c r="H84" s="58"/>
      <c r="I84" t="s">
        <v>142</v>
      </c>
      <c r="J84" s="58">
        <v>7.2320588000000002E-6</v>
      </c>
      <c r="K84" s="58">
        <v>2.5044761000000002E-13</v>
      </c>
      <c r="L84" s="58">
        <v>4.4841740000000002E-8</v>
      </c>
      <c r="S84" s="667"/>
      <c r="T84" s="667"/>
      <c r="U84" s="667"/>
      <c r="V84" s="667"/>
      <c r="W84" s="667"/>
      <c r="X84" s="667"/>
      <c r="Y84" s="667"/>
      <c r="Z84" s="667"/>
      <c r="AA84" s="667"/>
      <c r="AB84" s="667"/>
      <c r="AC84" s="667"/>
      <c r="AD84" s="667"/>
      <c r="AE84" s="667"/>
      <c r="AF84" s="667"/>
      <c r="AG84" s="667"/>
      <c r="AH84" s="667"/>
      <c r="AI84" s="667"/>
      <c r="AJ84" s="667"/>
      <c r="AK84" s="667"/>
      <c r="AL84" s="667"/>
      <c r="AM84" s="667"/>
      <c r="AN84" s="667"/>
      <c r="AO84" s="667"/>
      <c r="AP84" s="667"/>
    </row>
    <row r="85" spans="2:42" x14ac:dyDescent="0.25">
      <c r="B85">
        <v>15</v>
      </c>
      <c r="C85" t="s">
        <v>179</v>
      </c>
      <c r="D85" t="s">
        <v>141</v>
      </c>
      <c r="E85" t="s">
        <v>116</v>
      </c>
      <c r="F85" s="58">
        <v>6.4084233999999997E-6</v>
      </c>
      <c r="G85" s="58"/>
      <c r="H85" s="58"/>
      <c r="I85" t="s">
        <v>142</v>
      </c>
      <c r="J85" s="58">
        <v>6.3985527E-6</v>
      </c>
      <c r="K85" s="58">
        <v>1.1369461999999999E-13</v>
      </c>
      <c r="L85" s="58">
        <v>9.8705079999999998E-9</v>
      </c>
      <c r="S85" s="667"/>
      <c r="T85" s="667"/>
      <c r="U85" s="667"/>
      <c r="V85" s="667"/>
      <c r="W85" s="667"/>
      <c r="X85" s="667"/>
      <c r="Y85" s="667"/>
      <c r="Z85" s="667"/>
      <c r="AA85" s="667"/>
      <c r="AB85" s="667"/>
      <c r="AC85" s="667"/>
      <c r="AD85" s="667"/>
      <c r="AE85" s="667"/>
      <c r="AF85" s="667"/>
      <c r="AG85" s="667"/>
      <c r="AH85" s="667"/>
      <c r="AI85" s="667"/>
      <c r="AJ85" s="667"/>
      <c r="AK85" s="667"/>
      <c r="AL85" s="667"/>
      <c r="AM85" s="667"/>
      <c r="AN85" s="667"/>
      <c r="AO85" s="667"/>
      <c r="AP85" s="667"/>
    </row>
    <row r="86" spans="2:42" x14ac:dyDescent="0.25">
      <c r="B86">
        <v>16</v>
      </c>
      <c r="C86" t="s">
        <v>156</v>
      </c>
      <c r="D86" t="s">
        <v>141</v>
      </c>
      <c r="E86" t="s">
        <v>116</v>
      </c>
      <c r="F86" s="58">
        <v>5.9298896000000001E-6</v>
      </c>
      <c r="G86" s="58"/>
      <c r="H86" s="58"/>
      <c r="I86" t="s">
        <v>142</v>
      </c>
      <c r="J86" s="58">
        <v>5.8385910999999998E-6</v>
      </c>
      <c r="K86" s="58">
        <v>4.8327694999999999E-13</v>
      </c>
      <c r="L86" s="58">
        <v>9.1298012999999996E-8</v>
      </c>
      <c r="S86" s="667"/>
      <c r="T86" s="667"/>
      <c r="U86" s="667"/>
      <c r="V86" s="667"/>
      <c r="W86" s="667"/>
      <c r="X86" s="667"/>
      <c r="Y86" s="667"/>
      <c r="Z86" s="667"/>
      <c r="AA86" s="667"/>
      <c r="AB86" s="667"/>
      <c r="AC86" s="667"/>
      <c r="AD86" s="667"/>
      <c r="AE86" s="667"/>
      <c r="AF86" s="667"/>
      <c r="AG86" s="667"/>
      <c r="AH86" s="667"/>
      <c r="AI86" s="667"/>
      <c r="AJ86" s="667"/>
      <c r="AK86" s="667"/>
      <c r="AL86" s="667"/>
      <c r="AM86" s="667"/>
      <c r="AN86" s="667"/>
      <c r="AO86" s="667"/>
      <c r="AP86" s="667"/>
    </row>
    <row r="87" spans="2:42" x14ac:dyDescent="0.25">
      <c r="B87">
        <v>17</v>
      </c>
      <c r="C87" t="s">
        <v>168</v>
      </c>
      <c r="D87" t="s">
        <v>141</v>
      </c>
      <c r="E87" t="s">
        <v>116</v>
      </c>
      <c r="F87" s="58">
        <v>3.6082175999999999E-6</v>
      </c>
      <c r="G87" s="58"/>
      <c r="H87" s="58"/>
      <c r="I87" t="s">
        <v>142</v>
      </c>
      <c r="J87" s="58">
        <v>3.5883869000000001E-6</v>
      </c>
      <c r="K87" s="58">
        <v>7.5149972999999999E-14</v>
      </c>
      <c r="L87" s="58">
        <v>1.9830604E-8</v>
      </c>
      <c r="S87" s="667"/>
      <c r="T87" s="667"/>
      <c r="U87" s="667"/>
      <c r="V87" s="667"/>
      <c r="W87" s="667"/>
      <c r="X87" s="667"/>
      <c r="Y87" s="667"/>
      <c r="Z87" s="667"/>
      <c r="AA87" s="667"/>
      <c r="AB87" s="667"/>
      <c r="AC87" s="667"/>
      <c r="AD87" s="667"/>
      <c r="AE87" s="667"/>
      <c r="AF87" s="667"/>
      <c r="AG87" s="667"/>
      <c r="AH87" s="667"/>
      <c r="AI87" s="667"/>
      <c r="AJ87" s="667"/>
      <c r="AK87" s="667"/>
      <c r="AL87" s="667"/>
      <c r="AM87" s="667"/>
      <c r="AN87" s="667"/>
      <c r="AO87" s="667"/>
      <c r="AP87" s="667"/>
    </row>
    <row r="88" spans="2:42" x14ac:dyDescent="0.25">
      <c r="B88">
        <v>18</v>
      </c>
      <c r="C88" t="s">
        <v>152</v>
      </c>
      <c r="D88" t="s">
        <v>141</v>
      </c>
      <c r="E88" t="s">
        <v>116</v>
      </c>
      <c r="F88" s="58">
        <v>3.375595E-6</v>
      </c>
      <c r="G88" s="58"/>
      <c r="H88" s="58"/>
      <c r="I88" t="s">
        <v>142</v>
      </c>
      <c r="J88" s="58">
        <v>3.2440150999999999E-6</v>
      </c>
      <c r="K88" s="58">
        <v>1.2224608999999999E-12</v>
      </c>
      <c r="L88" s="58">
        <v>1.3157866E-7</v>
      </c>
      <c r="S88" s="667"/>
      <c r="T88" s="667"/>
      <c r="U88" s="667"/>
      <c r="V88" s="667"/>
      <c r="W88" s="667"/>
      <c r="X88" s="667"/>
      <c r="Y88" s="667"/>
      <c r="Z88" s="667"/>
      <c r="AA88" s="667"/>
      <c r="AB88" s="667"/>
      <c r="AC88" s="667"/>
      <c r="AD88" s="667"/>
      <c r="AE88" s="667"/>
      <c r="AF88" s="667"/>
      <c r="AG88" s="667"/>
      <c r="AH88" s="667"/>
      <c r="AI88" s="667"/>
      <c r="AJ88" s="667"/>
      <c r="AK88" s="667"/>
      <c r="AL88" s="667"/>
      <c r="AM88" s="667"/>
      <c r="AN88" s="667"/>
      <c r="AO88" s="667"/>
      <c r="AP88" s="667"/>
    </row>
    <row r="89" spans="2:42" x14ac:dyDescent="0.25">
      <c r="B89">
        <v>19</v>
      </c>
      <c r="C89" t="s">
        <v>155</v>
      </c>
      <c r="D89" t="s">
        <v>141</v>
      </c>
      <c r="E89" t="s">
        <v>116</v>
      </c>
      <c r="F89" s="58">
        <v>2.7777677E-6</v>
      </c>
      <c r="G89" s="58"/>
      <c r="H89" s="58"/>
      <c r="I89" t="s">
        <v>142</v>
      </c>
      <c r="J89" s="58">
        <v>2.6849606999999999E-6</v>
      </c>
      <c r="K89" s="58">
        <v>5.5064023000000004E-13</v>
      </c>
      <c r="L89" s="58">
        <v>9.2806497999999997E-8</v>
      </c>
      <c r="S89" s="667"/>
      <c r="T89" s="667"/>
      <c r="U89" s="667"/>
      <c r="V89" s="667"/>
      <c r="W89" s="667"/>
      <c r="X89" s="667"/>
      <c r="Y89" s="667"/>
      <c r="Z89" s="667"/>
      <c r="AA89" s="667"/>
      <c r="AB89" s="667"/>
      <c r="AC89" s="667"/>
      <c r="AD89" s="667"/>
      <c r="AE89" s="667"/>
      <c r="AF89" s="667"/>
      <c r="AG89" s="667"/>
      <c r="AH89" s="667"/>
      <c r="AI89" s="667"/>
      <c r="AJ89" s="667"/>
      <c r="AK89" s="667"/>
      <c r="AL89" s="667"/>
      <c r="AM89" s="667"/>
      <c r="AN89" s="667"/>
      <c r="AO89" s="667"/>
      <c r="AP89" s="667"/>
    </row>
    <row r="90" spans="2:42" x14ac:dyDescent="0.25">
      <c r="B90">
        <v>20</v>
      </c>
      <c r="C90" t="s">
        <v>164</v>
      </c>
      <c r="D90" t="s">
        <v>141</v>
      </c>
      <c r="E90" t="s">
        <v>116</v>
      </c>
      <c r="F90" s="58">
        <v>2.0539617000000001E-6</v>
      </c>
      <c r="G90" s="58"/>
      <c r="H90" s="58"/>
      <c r="I90" t="s">
        <v>142</v>
      </c>
      <c r="J90" s="58">
        <v>1.9732876000000001E-6</v>
      </c>
      <c r="K90" s="58">
        <v>1.7867913999999999E-12</v>
      </c>
      <c r="L90" s="58">
        <v>8.0672367000000004E-8</v>
      </c>
      <c r="S90" s="667"/>
      <c r="T90" s="667"/>
      <c r="U90" s="667"/>
      <c r="V90" s="667"/>
      <c r="W90" s="667"/>
      <c r="X90" s="667"/>
      <c r="Y90" s="667"/>
      <c r="Z90" s="667"/>
      <c r="AA90" s="667"/>
      <c r="AB90" s="667"/>
      <c r="AC90" s="667"/>
      <c r="AD90" s="667"/>
      <c r="AE90" s="667"/>
      <c r="AF90" s="667"/>
      <c r="AG90" s="667"/>
      <c r="AH90" s="667"/>
      <c r="AI90" s="667"/>
      <c r="AJ90" s="667"/>
      <c r="AK90" s="667"/>
      <c r="AL90" s="667"/>
      <c r="AM90" s="667"/>
      <c r="AN90" s="667"/>
      <c r="AO90" s="667"/>
      <c r="AP90" s="667"/>
    </row>
    <row r="91" spans="2:42" x14ac:dyDescent="0.25">
      <c r="B91">
        <v>21</v>
      </c>
      <c r="C91" t="s">
        <v>157</v>
      </c>
      <c r="D91" t="s">
        <v>141</v>
      </c>
      <c r="E91" t="s">
        <v>116</v>
      </c>
      <c r="F91" s="58">
        <v>1.9113508999999998E-6</v>
      </c>
      <c r="G91" s="58"/>
      <c r="H91" s="58"/>
      <c r="I91" t="s">
        <v>142</v>
      </c>
      <c r="J91" s="58">
        <v>1.8460476000000001E-6</v>
      </c>
      <c r="K91" s="58">
        <v>3.7813495999999999E-13</v>
      </c>
      <c r="L91" s="58">
        <v>6.5302914999999995E-8</v>
      </c>
      <c r="S91" s="667"/>
      <c r="T91" s="667"/>
      <c r="U91" s="667"/>
      <c r="V91" s="667"/>
      <c r="W91" s="667"/>
      <c r="X91" s="667"/>
      <c r="Y91" s="667"/>
      <c r="Z91" s="667"/>
      <c r="AA91" s="667"/>
      <c r="AB91" s="667"/>
      <c r="AC91" s="667"/>
      <c r="AD91" s="667"/>
      <c r="AE91" s="667"/>
      <c r="AF91" s="667"/>
      <c r="AG91" s="667"/>
      <c r="AH91" s="667"/>
      <c r="AI91" s="667"/>
      <c r="AJ91" s="667"/>
      <c r="AK91" s="667"/>
      <c r="AL91" s="667"/>
      <c r="AM91" s="667"/>
      <c r="AN91" s="667"/>
      <c r="AO91" s="667"/>
      <c r="AP91" s="667"/>
    </row>
    <row r="92" spans="2:42" x14ac:dyDescent="0.25">
      <c r="B92">
        <v>22</v>
      </c>
      <c r="C92" t="s">
        <v>166</v>
      </c>
      <c r="D92" t="s">
        <v>141</v>
      </c>
      <c r="E92" t="s">
        <v>116</v>
      </c>
      <c r="F92" s="58">
        <v>1.8507720999999999E-6</v>
      </c>
      <c r="G92" s="58"/>
      <c r="H92" s="58"/>
      <c r="I92" t="s">
        <v>142</v>
      </c>
      <c r="J92" s="58">
        <v>1.8294954000000001E-6</v>
      </c>
      <c r="K92" s="58">
        <v>9.6921855000000006E-14</v>
      </c>
      <c r="L92" s="58">
        <v>2.1276582000000002E-8</v>
      </c>
      <c r="S92" s="667"/>
      <c r="T92" s="667"/>
      <c r="U92" s="667"/>
      <c r="V92" s="667"/>
      <c r="W92" s="667"/>
      <c r="X92" s="667"/>
      <c r="Y92" s="667"/>
      <c r="Z92" s="667"/>
      <c r="AA92" s="667"/>
      <c r="AB92" s="667"/>
      <c r="AC92" s="667"/>
      <c r="AD92" s="667"/>
      <c r="AE92" s="667"/>
      <c r="AF92" s="667"/>
      <c r="AG92" s="667"/>
      <c r="AH92" s="667"/>
      <c r="AI92" s="667"/>
      <c r="AJ92" s="667"/>
      <c r="AK92" s="667"/>
      <c r="AL92" s="667"/>
      <c r="AM92" s="667"/>
      <c r="AN92" s="667"/>
      <c r="AO92" s="667"/>
      <c r="AP92" s="667"/>
    </row>
    <row r="93" spans="2:42" x14ac:dyDescent="0.25">
      <c r="B93">
        <v>23</v>
      </c>
      <c r="C93" t="s">
        <v>159</v>
      </c>
      <c r="D93" t="s">
        <v>141</v>
      </c>
      <c r="E93" t="s">
        <v>116</v>
      </c>
      <c r="F93" s="58">
        <v>1.4991317E-6</v>
      </c>
      <c r="G93" s="58"/>
      <c r="H93" s="58"/>
      <c r="I93" t="s">
        <v>142</v>
      </c>
      <c r="J93" s="58">
        <v>1.4280925E-6</v>
      </c>
      <c r="K93" s="58">
        <v>2.3779332E-13</v>
      </c>
      <c r="L93" s="58">
        <v>7.1038890000000003E-8</v>
      </c>
      <c r="S93" s="667"/>
      <c r="T93" s="667"/>
      <c r="U93" s="667"/>
      <c r="V93" s="667"/>
      <c r="W93" s="667"/>
      <c r="X93" s="667"/>
      <c r="Y93" s="667"/>
      <c r="Z93" s="667"/>
      <c r="AA93" s="667"/>
      <c r="AB93" s="667"/>
      <c r="AC93" s="667"/>
      <c r="AD93" s="667"/>
      <c r="AE93" s="667"/>
      <c r="AF93" s="667"/>
      <c r="AG93" s="667"/>
      <c r="AH93" s="667"/>
      <c r="AI93" s="667"/>
      <c r="AJ93" s="667"/>
      <c r="AK93" s="667"/>
      <c r="AL93" s="667"/>
      <c r="AM93" s="667"/>
      <c r="AN93" s="667"/>
      <c r="AO93" s="667"/>
      <c r="AP93" s="667"/>
    </row>
    <row r="94" spans="2:42" x14ac:dyDescent="0.25">
      <c r="B94">
        <v>24</v>
      </c>
      <c r="C94" t="s">
        <v>163</v>
      </c>
      <c r="D94" t="s">
        <v>141</v>
      </c>
      <c r="E94" t="s">
        <v>116</v>
      </c>
      <c r="F94" s="58">
        <v>1.4558793999999999E-6</v>
      </c>
      <c r="G94" s="58"/>
      <c r="H94" s="58"/>
      <c r="I94" t="s">
        <v>142</v>
      </c>
      <c r="J94" s="58">
        <v>1.3912170999999999E-6</v>
      </c>
      <c r="K94" s="58">
        <v>1.2918564999999999E-12</v>
      </c>
      <c r="L94" s="58">
        <v>6.4660958999999996E-8</v>
      </c>
      <c r="S94" s="667"/>
      <c r="T94" s="667"/>
      <c r="U94" s="667"/>
      <c r="V94" s="667"/>
      <c r="W94" s="667"/>
      <c r="X94" s="667"/>
      <c r="Y94" s="667"/>
      <c r="Z94" s="667"/>
      <c r="AA94" s="667"/>
      <c r="AB94" s="667"/>
      <c r="AC94" s="667"/>
      <c r="AD94" s="667"/>
      <c r="AE94" s="667"/>
      <c r="AF94" s="667"/>
      <c r="AG94" s="667"/>
      <c r="AH94" s="667"/>
      <c r="AI94" s="667"/>
      <c r="AJ94" s="667"/>
      <c r="AK94" s="667"/>
      <c r="AL94" s="667"/>
      <c r="AM94" s="667"/>
      <c r="AN94" s="667"/>
      <c r="AO94" s="667"/>
      <c r="AP94" s="667"/>
    </row>
    <row r="95" spans="2:42" x14ac:dyDescent="0.25">
      <c r="B95">
        <v>25</v>
      </c>
      <c r="C95" t="s">
        <v>154</v>
      </c>
      <c r="D95" t="s">
        <v>141</v>
      </c>
      <c r="E95" t="s">
        <v>116</v>
      </c>
      <c r="F95" s="58">
        <v>9.5025572999999996E-7</v>
      </c>
      <c r="G95" s="58"/>
      <c r="H95" s="58"/>
      <c r="I95" t="s">
        <v>142</v>
      </c>
      <c r="J95" s="58">
        <v>8.9350664000000005E-7</v>
      </c>
      <c r="K95" s="58">
        <v>7.3014135000000003E-13</v>
      </c>
      <c r="L95" s="58">
        <v>5.6748363E-8</v>
      </c>
      <c r="S95" s="667"/>
      <c r="T95" s="667"/>
      <c r="U95" s="667"/>
      <c r="V95" s="667"/>
      <c r="W95" s="667"/>
      <c r="X95" s="667"/>
      <c r="Y95" s="667"/>
      <c r="Z95" s="667"/>
      <c r="AA95" s="667"/>
      <c r="AB95" s="667"/>
      <c r="AC95" s="667"/>
      <c r="AD95" s="667"/>
      <c r="AE95" s="667"/>
      <c r="AF95" s="667"/>
      <c r="AG95" s="667"/>
      <c r="AH95" s="667"/>
      <c r="AI95" s="667"/>
      <c r="AJ95" s="667"/>
      <c r="AK95" s="667"/>
      <c r="AL95" s="667"/>
      <c r="AM95" s="667"/>
      <c r="AN95" s="667"/>
      <c r="AO95" s="667"/>
      <c r="AP95" s="667"/>
    </row>
    <row r="96" spans="2:42" x14ac:dyDescent="0.25">
      <c r="B96">
        <v>26</v>
      </c>
      <c r="C96" t="s">
        <v>173</v>
      </c>
      <c r="D96" t="s">
        <v>141</v>
      </c>
      <c r="E96" t="s">
        <v>116</v>
      </c>
      <c r="F96" s="58">
        <v>7.0500943999999997E-7</v>
      </c>
      <c r="G96" s="58"/>
      <c r="H96" s="58"/>
      <c r="I96" t="s">
        <v>142</v>
      </c>
      <c r="J96" s="58">
        <v>5.8288863000000001E-7</v>
      </c>
      <c r="K96" s="58">
        <v>3.4125100000000001E-14</v>
      </c>
      <c r="L96" s="58">
        <v>1.2212078000000001E-7</v>
      </c>
      <c r="S96" s="667"/>
      <c r="T96" s="667"/>
      <c r="U96" s="667"/>
      <c r="V96" s="667"/>
      <c r="W96" s="667"/>
      <c r="X96" s="667"/>
      <c r="Y96" s="667"/>
      <c r="Z96" s="667"/>
      <c r="AA96" s="667"/>
      <c r="AB96" s="667"/>
      <c r="AC96" s="667"/>
      <c r="AD96" s="667"/>
      <c r="AE96" s="667"/>
      <c r="AF96" s="667"/>
      <c r="AG96" s="667"/>
      <c r="AH96" s="667"/>
      <c r="AI96" s="667"/>
      <c r="AJ96" s="667"/>
      <c r="AK96" s="667"/>
      <c r="AL96" s="667"/>
      <c r="AM96" s="667"/>
      <c r="AN96" s="667"/>
      <c r="AO96" s="667"/>
      <c r="AP96" s="667"/>
    </row>
    <row r="97" spans="2:42" x14ac:dyDescent="0.25">
      <c r="B97">
        <v>27</v>
      </c>
      <c r="C97" t="s">
        <v>165</v>
      </c>
      <c r="D97" t="s">
        <v>141</v>
      </c>
      <c r="E97" t="s">
        <v>116</v>
      </c>
      <c r="F97" s="58">
        <v>6.8858668999999996E-7</v>
      </c>
      <c r="G97" s="58"/>
      <c r="H97" s="58"/>
      <c r="I97" t="s">
        <v>142</v>
      </c>
      <c r="J97" s="58">
        <v>6.5817024999999998E-7</v>
      </c>
      <c r="K97" s="58">
        <v>2.2546679999999999E-13</v>
      </c>
      <c r="L97" s="58">
        <v>3.0416214999999998E-8</v>
      </c>
      <c r="S97" s="667"/>
      <c r="T97" s="667"/>
      <c r="U97" s="667"/>
      <c r="V97" s="667"/>
      <c r="W97" s="667"/>
      <c r="X97" s="667"/>
      <c r="Y97" s="667"/>
      <c r="Z97" s="667"/>
      <c r="AA97" s="667"/>
      <c r="AB97" s="667"/>
      <c r="AC97" s="667"/>
      <c r="AD97" s="667"/>
      <c r="AE97" s="667"/>
      <c r="AF97" s="667"/>
      <c r="AG97" s="667"/>
      <c r="AH97" s="667"/>
      <c r="AI97" s="667"/>
      <c r="AJ97" s="667"/>
      <c r="AK97" s="667"/>
      <c r="AL97" s="667"/>
      <c r="AM97" s="667"/>
      <c r="AN97" s="667"/>
      <c r="AO97" s="667"/>
      <c r="AP97" s="667"/>
    </row>
    <row r="98" spans="2:42" x14ac:dyDescent="0.25">
      <c r="B98">
        <v>28</v>
      </c>
      <c r="C98" t="s">
        <v>178</v>
      </c>
      <c r="D98" t="s">
        <v>141</v>
      </c>
      <c r="E98" t="s">
        <v>116</v>
      </c>
      <c r="F98" s="58">
        <v>6.1238782999999996E-7</v>
      </c>
      <c r="G98" s="58"/>
      <c r="H98" s="58"/>
      <c r="I98" t="s">
        <v>142</v>
      </c>
      <c r="J98" s="58">
        <v>5.9483653999999999E-7</v>
      </c>
      <c r="K98" s="58">
        <v>1.6626751999999999E-14</v>
      </c>
      <c r="L98" s="58">
        <v>1.7551268999999999E-8</v>
      </c>
      <c r="S98" s="667"/>
      <c r="T98" s="667"/>
      <c r="U98" s="667"/>
      <c r="V98" s="667"/>
      <c r="W98" s="667"/>
      <c r="X98" s="667"/>
      <c r="Y98" s="667"/>
      <c r="Z98" s="667"/>
      <c r="AA98" s="667"/>
      <c r="AB98" s="667"/>
      <c r="AC98" s="667"/>
      <c r="AD98" s="667"/>
      <c r="AE98" s="667"/>
      <c r="AF98" s="667"/>
      <c r="AG98" s="667"/>
      <c r="AH98" s="667"/>
      <c r="AI98" s="667"/>
      <c r="AJ98" s="667"/>
      <c r="AK98" s="667"/>
      <c r="AL98" s="667"/>
      <c r="AM98" s="667"/>
      <c r="AN98" s="667"/>
      <c r="AO98" s="667"/>
      <c r="AP98" s="667"/>
    </row>
    <row r="99" spans="2:42" x14ac:dyDescent="0.25">
      <c r="B99">
        <v>29</v>
      </c>
      <c r="C99" t="s">
        <v>180</v>
      </c>
      <c r="D99" t="s">
        <v>141</v>
      </c>
      <c r="E99" t="s">
        <v>116</v>
      </c>
      <c r="F99" s="58">
        <v>4.5339019000000001E-7</v>
      </c>
      <c r="G99" s="58"/>
      <c r="H99" s="58"/>
      <c r="I99" t="s">
        <v>142</v>
      </c>
      <c r="J99" s="58">
        <v>4.3869617000000001E-7</v>
      </c>
      <c r="K99" s="58">
        <v>1.5501811999999999E-14</v>
      </c>
      <c r="L99" s="58">
        <v>1.4694008E-8</v>
      </c>
      <c r="S99" s="667"/>
      <c r="T99" s="667"/>
      <c r="U99" s="667"/>
      <c r="V99" s="667"/>
      <c r="W99" s="667"/>
      <c r="X99" s="667"/>
      <c r="Y99" s="667"/>
      <c r="Z99" s="667"/>
      <c r="AA99" s="667"/>
      <c r="AB99" s="667"/>
      <c r="AC99" s="667"/>
      <c r="AD99" s="667"/>
      <c r="AE99" s="667"/>
      <c r="AF99" s="667"/>
      <c r="AG99" s="667"/>
      <c r="AH99" s="667"/>
      <c r="AI99" s="667"/>
      <c r="AJ99" s="667"/>
      <c r="AK99" s="667"/>
      <c r="AL99" s="667"/>
      <c r="AM99" s="667"/>
      <c r="AN99" s="667"/>
      <c r="AO99" s="667"/>
      <c r="AP99" s="667"/>
    </row>
    <row r="100" spans="2:42" x14ac:dyDescent="0.25">
      <c r="B100">
        <v>30</v>
      </c>
      <c r="C100" t="s">
        <v>170</v>
      </c>
      <c r="D100" t="s">
        <v>141</v>
      </c>
      <c r="E100" t="s">
        <v>116</v>
      </c>
      <c r="F100" s="58">
        <v>2.4601217E-7</v>
      </c>
      <c r="G100" s="58"/>
      <c r="H100" s="58"/>
      <c r="I100" t="s">
        <v>142</v>
      </c>
      <c r="J100" s="58">
        <v>2.3481811000000001E-7</v>
      </c>
      <c r="K100" s="58">
        <v>3.8659779999999998E-14</v>
      </c>
      <c r="L100" s="58">
        <v>1.1194022E-8</v>
      </c>
      <c r="S100" s="667"/>
      <c r="T100" s="667"/>
      <c r="U100" s="667"/>
      <c r="V100" s="667"/>
      <c r="W100" s="667"/>
      <c r="X100" s="667"/>
      <c r="Y100" s="667"/>
      <c r="Z100" s="667"/>
      <c r="AA100" s="667"/>
      <c r="AB100" s="667"/>
      <c r="AC100" s="667"/>
      <c r="AD100" s="667"/>
      <c r="AE100" s="667"/>
      <c r="AF100" s="667"/>
      <c r="AG100" s="667"/>
      <c r="AH100" s="667"/>
      <c r="AI100" s="667"/>
      <c r="AJ100" s="667"/>
      <c r="AK100" s="667"/>
      <c r="AL100" s="667"/>
      <c r="AM100" s="667"/>
      <c r="AN100" s="667"/>
      <c r="AO100" s="667"/>
      <c r="AP100" s="667"/>
    </row>
    <row r="101" spans="2:42" x14ac:dyDescent="0.25">
      <c r="B101">
        <v>31</v>
      </c>
      <c r="C101" t="s">
        <v>167</v>
      </c>
      <c r="D101" t="s">
        <v>141</v>
      </c>
      <c r="E101" t="s">
        <v>116</v>
      </c>
      <c r="F101" s="58">
        <v>2.2670695E-7</v>
      </c>
      <c r="G101" s="58"/>
      <c r="H101" s="58"/>
      <c r="I101" t="s">
        <v>142</v>
      </c>
      <c r="J101" s="58">
        <v>1.9594390999999999E-7</v>
      </c>
      <c r="K101" s="58">
        <v>6.5535726999999997E-14</v>
      </c>
      <c r="L101" s="58">
        <v>3.0762971000000003E-8</v>
      </c>
      <c r="S101" s="667"/>
      <c r="T101" s="667"/>
      <c r="U101" s="667"/>
      <c r="V101" s="667"/>
      <c r="W101" s="667"/>
      <c r="X101" s="667"/>
      <c r="Y101" s="667"/>
      <c r="Z101" s="667"/>
      <c r="AA101" s="667"/>
      <c r="AB101" s="667"/>
      <c r="AC101" s="667"/>
      <c r="AD101" s="667"/>
      <c r="AE101" s="667"/>
      <c r="AF101" s="667"/>
      <c r="AG101" s="667"/>
      <c r="AH101" s="667"/>
      <c r="AI101" s="667"/>
      <c r="AJ101" s="667"/>
      <c r="AK101" s="667"/>
      <c r="AL101" s="667"/>
      <c r="AM101" s="667"/>
      <c r="AN101" s="667"/>
      <c r="AO101" s="667"/>
      <c r="AP101" s="667"/>
    </row>
    <row r="102" spans="2:42" x14ac:dyDescent="0.25">
      <c r="B102">
        <v>32</v>
      </c>
      <c r="C102" t="s">
        <v>161</v>
      </c>
      <c r="D102" t="s">
        <v>141</v>
      </c>
      <c r="E102" t="s">
        <v>116</v>
      </c>
      <c r="F102" s="58">
        <v>1.6120834000000001E-7</v>
      </c>
      <c r="G102" s="58"/>
      <c r="H102" s="58"/>
      <c r="I102" t="s">
        <v>142</v>
      </c>
      <c r="J102" s="58">
        <v>1.5070257E-7</v>
      </c>
      <c r="K102" s="58">
        <v>1.1114807000000001E-13</v>
      </c>
      <c r="L102" s="58">
        <v>1.0505659E-8</v>
      </c>
      <c r="S102" s="667"/>
      <c r="T102" s="667"/>
      <c r="U102" s="667"/>
      <c r="V102" s="667"/>
      <c r="W102" s="667"/>
      <c r="X102" s="667"/>
      <c r="Y102" s="667"/>
      <c r="Z102" s="667"/>
      <c r="AA102" s="667"/>
      <c r="AB102" s="667"/>
      <c r="AC102" s="667"/>
      <c r="AD102" s="667"/>
      <c r="AE102" s="667"/>
      <c r="AF102" s="667"/>
      <c r="AG102" s="667"/>
      <c r="AH102" s="667"/>
      <c r="AI102" s="667"/>
      <c r="AJ102" s="667"/>
      <c r="AK102" s="667"/>
      <c r="AL102" s="667"/>
      <c r="AM102" s="667"/>
      <c r="AN102" s="667"/>
      <c r="AO102" s="667"/>
      <c r="AP102" s="667"/>
    </row>
    <row r="103" spans="2:42" x14ac:dyDescent="0.25">
      <c r="B103">
        <v>33</v>
      </c>
      <c r="C103" t="s">
        <v>160</v>
      </c>
      <c r="D103" t="s">
        <v>141</v>
      </c>
      <c r="E103" t="s">
        <v>116</v>
      </c>
      <c r="F103" s="58">
        <v>1.1139537E-7</v>
      </c>
      <c r="G103" s="58"/>
      <c r="H103" s="58"/>
      <c r="I103" t="s">
        <v>142</v>
      </c>
      <c r="J103" s="58">
        <v>1.0323984000000001E-7</v>
      </c>
      <c r="K103" s="58">
        <v>2.1587827999999999E-14</v>
      </c>
      <c r="L103" s="58">
        <v>8.1555028000000007E-9</v>
      </c>
      <c r="S103" s="667"/>
      <c r="T103" s="667"/>
      <c r="U103" s="667"/>
      <c r="V103" s="667"/>
      <c r="W103" s="667"/>
      <c r="X103" s="667"/>
      <c r="Y103" s="667"/>
      <c r="Z103" s="667"/>
      <c r="AA103" s="667"/>
      <c r="AB103" s="667"/>
      <c r="AC103" s="667"/>
      <c r="AD103" s="667"/>
      <c r="AE103" s="667"/>
      <c r="AF103" s="667"/>
      <c r="AG103" s="667"/>
      <c r="AH103" s="667"/>
      <c r="AI103" s="667"/>
      <c r="AJ103" s="667"/>
      <c r="AK103" s="667"/>
      <c r="AL103" s="667"/>
      <c r="AM103" s="667"/>
      <c r="AN103" s="667"/>
      <c r="AO103" s="667"/>
      <c r="AP103" s="667"/>
    </row>
    <row r="104" spans="2:42" x14ac:dyDescent="0.25">
      <c r="B104">
        <v>34</v>
      </c>
      <c r="C104" t="s">
        <v>169</v>
      </c>
      <c r="D104" t="s">
        <v>141</v>
      </c>
      <c r="E104" t="s">
        <v>116</v>
      </c>
      <c r="F104" s="58">
        <v>8.6584784000000001E-8</v>
      </c>
      <c r="G104" s="58"/>
      <c r="H104" s="58"/>
      <c r="I104" t="s">
        <v>142</v>
      </c>
      <c r="J104" s="58">
        <v>7.4309258000000003E-8</v>
      </c>
      <c r="K104" s="58">
        <v>5.1265688999999999E-14</v>
      </c>
      <c r="L104" s="58">
        <v>1.2275475E-8</v>
      </c>
      <c r="S104" s="667"/>
      <c r="T104" s="667"/>
      <c r="U104" s="667"/>
      <c r="V104" s="667"/>
      <c r="W104" s="667"/>
      <c r="X104" s="667"/>
      <c r="Y104" s="667"/>
      <c r="Z104" s="667"/>
      <c r="AA104" s="667"/>
      <c r="AB104" s="667"/>
      <c r="AC104" s="667"/>
      <c r="AD104" s="667"/>
      <c r="AE104" s="667"/>
      <c r="AF104" s="667"/>
      <c r="AG104" s="667"/>
      <c r="AH104" s="667"/>
      <c r="AI104" s="667"/>
      <c r="AJ104" s="667"/>
      <c r="AK104" s="667"/>
      <c r="AL104" s="667"/>
      <c r="AM104" s="667"/>
      <c r="AN104" s="667"/>
      <c r="AO104" s="667"/>
      <c r="AP104" s="667"/>
    </row>
    <row r="105" spans="2:42" x14ac:dyDescent="0.25">
      <c r="B105">
        <v>35</v>
      </c>
      <c r="C105" t="s">
        <v>187</v>
      </c>
      <c r="D105" t="s">
        <v>141</v>
      </c>
      <c r="E105" t="s">
        <v>116</v>
      </c>
      <c r="F105" s="58">
        <v>8.2211628999999999E-8</v>
      </c>
      <c r="G105" s="58"/>
      <c r="H105" s="58"/>
      <c r="I105" t="s">
        <v>142</v>
      </c>
      <c r="J105" s="58">
        <v>7.8099831E-8</v>
      </c>
      <c r="K105" s="58">
        <v>1.8859354000000001E-15</v>
      </c>
      <c r="L105" s="58">
        <v>4.1117965000000003E-9</v>
      </c>
      <c r="S105" s="667"/>
      <c r="T105" s="667"/>
      <c r="U105" s="667"/>
      <c r="V105" s="667"/>
      <c r="W105" s="667"/>
      <c r="X105" s="667"/>
      <c r="Y105" s="667"/>
      <c r="Z105" s="667"/>
      <c r="AA105" s="667"/>
      <c r="AB105" s="667"/>
      <c r="AC105" s="667"/>
      <c r="AD105" s="667"/>
      <c r="AE105" s="667"/>
      <c r="AF105" s="667"/>
      <c r="AG105" s="667"/>
      <c r="AH105" s="667"/>
      <c r="AI105" s="667"/>
      <c r="AJ105" s="667"/>
      <c r="AK105" s="667"/>
      <c r="AL105" s="667"/>
      <c r="AM105" s="667"/>
      <c r="AN105" s="667"/>
      <c r="AO105" s="667"/>
      <c r="AP105" s="667"/>
    </row>
    <row r="106" spans="2:42" x14ac:dyDescent="0.25">
      <c r="B106">
        <v>36</v>
      </c>
      <c r="C106" t="s">
        <v>181</v>
      </c>
      <c r="D106" t="s">
        <v>141</v>
      </c>
      <c r="E106" t="s">
        <v>116</v>
      </c>
      <c r="F106" s="58">
        <v>7.0063133000000003E-8</v>
      </c>
      <c r="G106" s="58"/>
      <c r="H106" s="58"/>
      <c r="I106" t="s">
        <v>142</v>
      </c>
      <c r="J106" s="58">
        <v>6.6369340000000006E-8</v>
      </c>
      <c r="K106" s="58">
        <v>5.6401185000000001E-15</v>
      </c>
      <c r="L106" s="58">
        <v>3.6937874999999999E-9</v>
      </c>
      <c r="S106" s="667"/>
      <c r="T106" s="667"/>
      <c r="U106" s="667"/>
      <c r="V106" s="667"/>
      <c r="W106" s="667"/>
      <c r="X106" s="667"/>
      <c r="Y106" s="667"/>
      <c r="Z106" s="667"/>
      <c r="AA106" s="667"/>
      <c r="AB106" s="667"/>
      <c r="AC106" s="667"/>
      <c r="AD106" s="667"/>
      <c r="AE106" s="667"/>
      <c r="AF106" s="667"/>
      <c r="AG106" s="667"/>
      <c r="AH106" s="667"/>
      <c r="AI106" s="667"/>
      <c r="AJ106" s="667"/>
      <c r="AK106" s="667"/>
      <c r="AL106" s="667"/>
      <c r="AM106" s="667"/>
      <c r="AN106" s="667"/>
      <c r="AO106" s="667"/>
      <c r="AP106" s="667"/>
    </row>
    <row r="107" spans="2:42" x14ac:dyDescent="0.25">
      <c r="B107">
        <v>37</v>
      </c>
      <c r="C107" t="s">
        <v>192</v>
      </c>
      <c r="D107" t="s">
        <v>141</v>
      </c>
      <c r="E107" t="s">
        <v>116</v>
      </c>
      <c r="F107" s="58">
        <v>3.1148107999999997E-8</v>
      </c>
      <c r="G107" s="58"/>
      <c r="H107" s="58"/>
      <c r="I107" t="s">
        <v>142</v>
      </c>
      <c r="J107" s="58">
        <v>1.0540324000000001E-9</v>
      </c>
      <c r="K107" s="58">
        <v>2.7881174000000002E-16</v>
      </c>
      <c r="L107" s="58">
        <v>3.0094074999999999E-8</v>
      </c>
      <c r="S107" s="667"/>
      <c r="T107" s="667"/>
      <c r="U107" s="667"/>
      <c r="V107" s="667"/>
      <c r="W107" s="667"/>
      <c r="X107" s="667"/>
      <c r="Y107" s="667"/>
      <c r="Z107" s="667"/>
      <c r="AA107" s="667"/>
      <c r="AB107" s="667"/>
      <c r="AC107" s="667"/>
      <c r="AD107" s="667"/>
      <c r="AE107" s="667"/>
      <c r="AF107" s="667"/>
      <c r="AG107" s="667"/>
      <c r="AH107" s="667"/>
      <c r="AI107" s="667"/>
      <c r="AJ107" s="667"/>
      <c r="AK107" s="667"/>
      <c r="AL107" s="667"/>
      <c r="AM107" s="667"/>
      <c r="AN107" s="667"/>
      <c r="AO107" s="667"/>
      <c r="AP107" s="667"/>
    </row>
    <row r="108" spans="2:42" x14ac:dyDescent="0.25">
      <c r="B108">
        <v>38</v>
      </c>
      <c r="C108" t="s">
        <v>176</v>
      </c>
      <c r="D108" t="s">
        <v>141</v>
      </c>
      <c r="E108" t="s">
        <v>116</v>
      </c>
      <c r="F108" s="58">
        <v>2.631399E-8</v>
      </c>
      <c r="G108" s="58"/>
      <c r="H108" s="58"/>
      <c r="I108" t="s">
        <v>142</v>
      </c>
      <c r="J108" s="58">
        <v>2.3637798999999998E-8</v>
      </c>
      <c r="K108" s="58">
        <v>1.4409147000000001E-14</v>
      </c>
      <c r="L108" s="58">
        <v>2.6761762999999998E-9</v>
      </c>
      <c r="S108" s="667"/>
      <c r="T108" s="667"/>
      <c r="U108" s="667"/>
      <c r="V108" s="667"/>
      <c r="W108" s="667"/>
      <c r="X108" s="667"/>
      <c r="Y108" s="667"/>
      <c r="Z108" s="667"/>
      <c r="AA108" s="667"/>
      <c r="AB108" s="667"/>
      <c r="AC108" s="667"/>
      <c r="AD108" s="667"/>
      <c r="AE108" s="667"/>
      <c r="AF108" s="667"/>
      <c r="AG108" s="667"/>
      <c r="AH108" s="667"/>
      <c r="AI108" s="667"/>
      <c r="AJ108" s="667"/>
      <c r="AK108" s="667"/>
      <c r="AL108" s="667"/>
      <c r="AM108" s="667"/>
      <c r="AN108" s="667"/>
      <c r="AO108" s="667"/>
      <c r="AP108" s="667"/>
    </row>
    <row r="109" spans="2:42" x14ac:dyDescent="0.25">
      <c r="B109">
        <v>39</v>
      </c>
      <c r="C109" t="s">
        <v>175</v>
      </c>
      <c r="D109" t="s">
        <v>141</v>
      </c>
      <c r="E109" t="s">
        <v>116</v>
      </c>
      <c r="F109" s="58">
        <v>2.5408161E-8</v>
      </c>
      <c r="G109" s="58"/>
      <c r="H109" s="58"/>
      <c r="I109" t="s">
        <v>142</v>
      </c>
      <c r="J109" s="58">
        <v>2.3301447000000002E-8</v>
      </c>
      <c r="K109" s="58">
        <v>1.7038439999999999E-14</v>
      </c>
      <c r="L109" s="58">
        <v>2.1066975999999998E-9</v>
      </c>
      <c r="S109" s="667"/>
      <c r="T109" s="667"/>
      <c r="U109" s="667"/>
      <c r="V109" s="667"/>
      <c r="W109" s="667"/>
      <c r="X109" s="667"/>
      <c r="Y109" s="667"/>
      <c r="Z109" s="667"/>
      <c r="AA109" s="667"/>
      <c r="AB109" s="667"/>
      <c r="AC109" s="667"/>
      <c r="AD109" s="667"/>
      <c r="AE109" s="667"/>
      <c r="AF109" s="667"/>
      <c r="AG109" s="667"/>
      <c r="AH109" s="667"/>
      <c r="AI109" s="667"/>
      <c r="AJ109" s="667"/>
      <c r="AK109" s="667"/>
      <c r="AL109" s="667"/>
      <c r="AM109" s="667"/>
      <c r="AN109" s="667"/>
      <c r="AO109" s="667"/>
      <c r="AP109" s="667"/>
    </row>
    <row r="110" spans="2:42" x14ac:dyDescent="0.25">
      <c r="B110">
        <v>40</v>
      </c>
      <c r="C110" t="s">
        <v>183</v>
      </c>
      <c r="D110" t="s">
        <v>141</v>
      </c>
      <c r="E110" t="s">
        <v>116</v>
      </c>
      <c r="F110" s="58">
        <v>2.5250255E-8</v>
      </c>
      <c r="G110" s="58"/>
      <c r="H110" s="58"/>
      <c r="I110" t="s">
        <v>142</v>
      </c>
      <c r="J110" s="58">
        <v>2.4073748E-8</v>
      </c>
      <c r="K110" s="58">
        <v>4.2527810000000003E-15</v>
      </c>
      <c r="L110" s="58">
        <v>1.1765022999999999E-9</v>
      </c>
      <c r="S110" s="667"/>
      <c r="T110" s="667"/>
      <c r="U110" s="667"/>
      <c r="V110" s="667"/>
      <c r="W110" s="667"/>
      <c r="X110" s="667"/>
      <c r="Y110" s="667"/>
      <c r="Z110" s="667"/>
      <c r="AA110" s="667"/>
      <c r="AB110" s="667"/>
      <c r="AC110" s="667"/>
      <c r="AD110" s="667"/>
      <c r="AE110" s="667"/>
      <c r="AF110" s="667"/>
      <c r="AG110" s="667"/>
      <c r="AH110" s="667"/>
      <c r="AI110" s="667"/>
      <c r="AJ110" s="667"/>
      <c r="AK110" s="667"/>
      <c r="AL110" s="667"/>
      <c r="AM110" s="667"/>
      <c r="AN110" s="667"/>
      <c r="AO110" s="667"/>
      <c r="AP110" s="667"/>
    </row>
    <row r="111" spans="2:42" x14ac:dyDescent="0.25">
      <c r="B111">
        <v>41</v>
      </c>
      <c r="C111" t="s">
        <v>182</v>
      </c>
      <c r="D111" t="s">
        <v>141</v>
      </c>
      <c r="E111" t="s">
        <v>116</v>
      </c>
      <c r="F111" s="58">
        <v>2.4613868999999999E-8</v>
      </c>
      <c r="G111" s="58"/>
      <c r="H111" s="58"/>
      <c r="I111" t="s">
        <v>142</v>
      </c>
      <c r="J111" s="58">
        <v>2.3493710999999999E-8</v>
      </c>
      <c r="K111" s="58">
        <v>3.8888151E-15</v>
      </c>
      <c r="L111" s="58">
        <v>1.1201544000000001E-9</v>
      </c>
      <c r="S111" s="667"/>
      <c r="T111" s="667"/>
      <c r="U111" s="667"/>
      <c r="V111" s="667"/>
      <c r="W111" s="667"/>
      <c r="X111" s="667"/>
      <c r="Y111" s="667"/>
      <c r="Z111" s="667"/>
      <c r="AA111" s="667"/>
      <c r="AB111" s="667"/>
      <c r="AC111" s="667"/>
      <c r="AD111" s="667"/>
      <c r="AE111" s="667"/>
      <c r="AF111" s="667"/>
      <c r="AG111" s="667"/>
      <c r="AH111" s="667"/>
      <c r="AI111" s="667"/>
      <c r="AJ111" s="667"/>
      <c r="AK111" s="667"/>
      <c r="AL111" s="667"/>
      <c r="AM111" s="667"/>
      <c r="AN111" s="667"/>
      <c r="AO111" s="667"/>
      <c r="AP111" s="667"/>
    </row>
    <row r="112" spans="2:42" x14ac:dyDescent="0.25">
      <c r="B112">
        <v>42</v>
      </c>
      <c r="C112" t="s">
        <v>195</v>
      </c>
      <c r="D112" t="s">
        <v>141</v>
      </c>
      <c r="E112" t="s">
        <v>116</v>
      </c>
      <c r="F112" s="58">
        <v>2.3160198000000001E-8</v>
      </c>
      <c r="G112" s="58"/>
      <c r="H112" s="58"/>
      <c r="I112" t="s">
        <v>142</v>
      </c>
      <c r="J112" s="58">
        <v>7.4354177999999997E-10</v>
      </c>
      <c r="K112" s="58">
        <v>1.8526622999999999E-16</v>
      </c>
      <c r="L112" s="58">
        <v>2.2416656000000001E-8</v>
      </c>
      <c r="S112" s="667"/>
      <c r="T112" s="667"/>
      <c r="U112" s="667"/>
      <c r="V112" s="667"/>
      <c r="W112" s="667"/>
      <c r="X112" s="667"/>
      <c r="Y112" s="667"/>
      <c r="Z112" s="667"/>
      <c r="AA112" s="667"/>
      <c r="AB112" s="667"/>
      <c r="AC112" s="667"/>
      <c r="AD112" s="667"/>
      <c r="AE112" s="667"/>
      <c r="AF112" s="667"/>
      <c r="AG112" s="667"/>
      <c r="AH112" s="667"/>
      <c r="AI112" s="667"/>
      <c r="AJ112" s="667"/>
      <c r="AK112" s="667"/>
      <c r="AL112" s="667"/>
      <c r="AM112" s="667"/>
      <c r="AN112" s="667"/>
      <c r="AO112" s="667"/>
      <c r="AP112" s="667"/>
    </row>
    <row r="113" spans="2:42" x14ac:dyDescent="0.25">
      <c r="B113">
        <v>43</v>
      </c>
      <c r="C113" t="s">
        <v>174</v>
      </c>
      <c r="D113" t="s">
        <v>141</v>
      </c>
      <c r="E113" t="s">
        <v>116</v>
      </c>
      <c r="F113" s="58">
        <v>1.7294305E-8</v>
      </c>
      <c r="G113" s="58"/>
      <c r="H113" s="58"/>
      <c r="I113" t="s">
        <v>142</v>
      </c>
      <c r="J113" s="58">
        <v>1.5853355E-8</v>
      </c>
      <c r="K113" s="58">
        <v>2.0927939000000001E-14</v>
      </c>
      <c r="L113" s="58">
        <v>1.4409286999999999E-9</v>
      </c>
      <c r="S113" s="667"/>
      <c r="T113" s="667"/>
      <c r="U113" s="667"/>
      <c r="V113" s="667"/>
      <c r="W113" s="667"/>
      <c r="X113" s="667"/>
      <c r="Y113" s="667"/>
      <c r="Z113" s="667"/>
      <c r="AA113" s="667"/>
      <c r="AB113" s="667"/>
      <c r="AC113" s="667"/>
      <c r="AD113" s="667"/>
      <c r="AE113" s="667"/>
      <c r="AF113" s="667"/>
      <c r="AG113" s="667"/>
      <c r="AH113" s="667"/>
      <c r="AI113" s="667"/>
      <c r="AJ113" s="667"/>
      <c r="AK113" s="667"/>
      <c r="AL113" s="667"/>
      <c r="AM113" s="667"/>
      <c r="AN113" s="667"/>
      <c r="AO113" s="667"/>
      <c r="AP113" s="667"/>
    </row>
    <row r="114" spans="2:42" x14ac:dyDescent="0.25">
      <c r="B114">
        <v>44</v>
      </c>
      <c r="C114" t="s">
        <v>186</v>
      </c>
      <c r="D114" t="s">
        <v>141</v>
      </c>
      <c r="E114" t="s">
        <v>116</v>
      </c>
      <c r="F114" s="58">
        <v>1.6029851000000001E-8</v>
      </c>
      <c r="G114" s="58"/>
      <c r="H114" s="58"/>
      <c r="I114" t="s">
        <v>142</v>
      </c>
      <c r="J114" s="58">
        <v>1.5368301999999999E-8</v>
      </c>
      <c r="K114" s="58">
        <v>1.5246085999999999E-14</v>
      </c>
      <c r="L114" s="58">
        <v>6.6153370999999997E-10</v>
      </c>
      <c r="S114" s="667"/>
      <c r="T114" s="667"/>
      <c r="U114" s="667"/>
      <c r="V114" s="667"/>
      <c r="W114" s="667"/>
      <c r="X114" s="667"/>
      <c r="Y114" s="667"/>
      <c r="Z114" s="667"/>
      <c r="AA114" s="667"/>
      <c r="AB114" s="667"/>
      <c r="AC114" s="667"/>
      <c r="AD114" s="667"/>
      <c r="AE114" s="667"/>
      <c r="AF114" s="667"/>
      <c r="AG114" s="667"/>
      <c r="AH114" s="667"/>
      <c r="AI114" s="667"/>
      <c r="AJ114" s="667"/>
      <c r="AK114" s="667"/>
      <c r="AL114" s="667"/>
      <c r="AM114" s="667"/>
      <c r="AN114" s="667"/>
      <c r="AO114" s="667"/>
      <c r="AP114" s="667"/>
    </row>
    <row r="115" spans="2:42" x14ac:dyDescent="0.25">
      <c r="B115">
        <v>45</v>
      </c>
      <c r="C115" t="s">
        <v>172</v>
      </c>
      <c r="D115" t="s">
        <v>141</v>
      </c>
      <c r="E115" t="s">
        <v>116</v>
      </c>
      <c r="F115" s="58">
        <v>1.1464345E-8</v>
      </c>
      <c r="G115" s="58"/>
      <c r="H115" s="58"/>
      <c r="I115" t="s">
        <v>142</v>
      </c>
      <c r="J115" s="58">
        <v>1.0690287999999999E-8</v>
      </c>
      <c r="K115" s="58">
        <v>1.7855235999999999E-14</v>
      </c>
      <c r="L115" s="58">
        <v>7.7403888999999996E-10</v>
      </c>
      <c r="S115" s="667"/>
      <c r="T115" s="667"/>
      <c r="U115" s="667"/>
      <c r="V115" s="667"/>
      <c r="W115" s="667"/>
      <c r="X115" s="667"/>
      <c r="Y115" s="667"/>
      <c r="Z115" s="667"/>
      <c r="AA115" s="667"/>
      <c r="AB115" s="667"/>
      <c r="AC115" s="667"/>
      <c r="AD115" s="667"/>
      <c r="AE115" s="667"/>
      <c r="AF115" s="667"/>
      <c r="AG115" s="667"/>
      <c r="AH115" s="667"/>
      <c r="AI115" s="667"/>
      <c r="AJ115" s="667"/>
      <c r="AK115" s="667"/>
      <c r="AL115" s="667"/>
      <c r="AM115" s="667"/>
      <c r="AN115" s="667"/>
      <c r="AO115" s="667"/>
      <c r="AP115" s="667"/>
    </row>
    <row r="116" spans="2:42" x14ac:dyDescent="0.25">
      <c r="B116">
        <v>46</v>
      </c>
      <c r="C116" t="s">
        <v>188</v>
      </c>
      <c r="D116" t="s">
        <v>141</v>
      </c>
      <c r="E116" t="s">
        <v>116</v>
      </c>
      <c r="F116" s="58">
        <v>8.6141161999999992E-9</v>
      </c>
      <c r="G116" s="58"/>
      <c r="H116" s="58"/>
      <c r="I116" t="s">
        <v>142</v>
      </c>
      <c r="J116" s="58">
        <v>5.1560357999999998E-9</v>
      </c>
      <c r="K116" s="58">
        <v>1.7080574000000001E-15</v>
      </c>
      <c r="L116" s="58">
        <v>3.4580787000000001E-9</v>
      </c>
      <c r="S116" s="667"/>
      <c r="T116" s="667"/>
      <c r="U116" s="667"/>
      <c r="V116" s="667"/>
      <c r="W116" s="667"/>
      <c r="X116" s="667"/>
      <c r="Y116" s="667"/>
      <c r="Z116" s="667"/>
      <c r="AA116" s="667"/>
      <c r="AB116" s="667"/>
      <c r="AC116" s="667"/>
      <c r="AD116" s="667"/>
      <c r="AE116" s="667"/>
      <c r="AF116" s="667"/>
      <c r="AG116" s="667"/>
      <c r="AH116" s="667"/>
      <c r="AI116" s="667"/>
      <c r="AJ116" s="667"/>
      <c r="AK116" s="667"/>
      <c r="AL116" s="667"/>
      <c r="AM116" s="667"/>
      <c r="AN116" s="667"/>
      <c r="AO116" s="667"/>
      <c r="AP116" s="667"/>
    </row>
    <row r="117" spans="2:42" x14ac:dyDescent="0.25">
      <c r="B117">
        <v>47</v>
      </c>
      <c r="C117" t="s">
        <v>200</v>
      </c>
      <c r="D117" t="s">
        <v>141</v>
      </c>
      <c r="E117" t="s">
        <v>116</v>
      </c>
      <c r="F117" s="58">
        <v>3.9771155000000002E-9</v>
      </c>
      <c r="G117" s="58"/>
      <c r="H117" s="58"/>
      <c r="I117" t="s">
        <v>142</v>
      </c>
      <c r="J117" s="58">
        <v>6.2549964000000001E-10</v>
      </c>
      <c r="K117" s="58">
        <v>4.7050415999999999E-16</v>
      </c>
      <c r="L117" s="58">
        <v>3.3516152999999998E-9</v>
      </c>
      <c r="S117" s="667"/>
      <c r="T117" s="667"/>
      <c r="U117" s="667"/>
      <c r="V117" s="667"/>
      <c r="W117" s="667"/>
      <c r="X117" s="667"/>
      <c r="Y117" s="667"/>
      <c r="Z117" s="667"/>
      <c r="AA117" s="667"/>
      <c r="AB117" s="667"/>
      <c r="AC117" s="667"/>
      <c r="AD117" s="667"/>
      <c r="AE117" s="667"/>
      <c r="AF117" s="667"/>
      <c r="AG117" s="667"/>
      <c r="AH117" s="667"/>
      <c r="AI117" s="667"/>
      <c r="AJ117" s="667"/>
      <c r="AK117" s="667"/>
      <c r="AL117" s="667"/>
      <c r="AM117" s="667"/>
      <c r="AN117" s="667"/>
      <c r="AO117" s="667"/>
      <c r="AP117" s="667"/>
    </row>
    <row r="118" spans="2:42" x14ac:dyDescent="0.25">
      <c r="B118">
        <v>48</v>
      </c>
      <c r="C118" t="s">
        <v>215</v>
      </c>
      <c r="D118" t="s">
        <v>141</v>
      </c>
      <c r="E118" t="s">
        <v>116</v>
      </c>
      <c r="F118" s="58">
        <v>3.4281147999999999E-9</v>
      </c>
      <c r="G118" s="58"/>
      <c r="H118" s="58"/>
      <c r="I118" t="s">
        <v>142</v>
      </c>
      <c r="J118" s="58">
        <v>5.0714303000000002E-10</v>
      </c>
      <c r="K118" s="58">
        <v>1.5668571E-17</v>
      </c>
      <c r="L118" s="58">
        <v>2.9209717999999998E-9</v>
      </c>
      <c r="S118" s="667"/>
      <c r="T118" s="667"/>
      <c r="U118" s="667"/>
      <c r="V118" s="667"/>
      <c r="W118" s="667"/>
      <c r="X118" s="667"/>
      <c r="Y118" s="667"/>
      <c r="Z118" s="667"/>
      <c r="AA118" s="667"/>
      <c r="AB118" s="667"/>
      <c r="AC118" s="667"/>
      <c r="AD118" s="667"/>
      <c r="AE118" s="667"/>
      <c r="AF118" s="667"/>
      <c r="AG118" s="667"/>
      <c r="AH118" s="667"/>
      <c r="AI118" s="667"/>
      <c r="AJ118" s="667"/>
      <c r="AK118" s="667"/>
      <c r="AL118" s="667"/>
      <c r="AM118" s="667"/>
      <c r="AN118" s="667"/>
      <c r="AO118" s="667"/>
      <c r="AP118" s="667"/>
    </row>
    <row r="119" spans="2:42" x14ac:dyDescent="0.25">
      <c r="B119">
        <v>49</v>
      </c>
      <c r="C119" t="s">
        <v>190</v>
      </c>
      <c r="D119" t="s">
        <v>141</v>
      </c>
      <c r="E119" t="s">
        <v>116</v>
      </c>
      <c r="F119" s="58">
        <v>3.1242258E-9</v>
      </c>
      <c r="G119" s="58"/>
      <c r="H119" s="58"/>
      <c r="I119" t="s">
        <v>142</v>
      </c>
      <c r="J119" s="58">
        <v>2.4163277000000002E-9</v>
      </c>
      <c r="K119" s="58">
        <v>9.4301778000000009E-16</v>
      </c>
      <c r="L119" s="58">
        <v>7.0789717999999995E-10</v>
      </c>
      <c r="S119" s="667"/>
      <c r="T119" s="667"/>
      <c r="U119" s="667"/>
      <c r="V119" s="667"/>
      <c r="W119" s="667"/>
      <c r="X119" s="667"/>
      <c r="Y119" s="667"/>
      <c r="Z119" s="667"/>
      <c r="AA119" s="667"/>
      <c r="AB119" s="667"/>
      <c r="AC119" s="667"/>
      <c r="AD119" s="667"/>
      <c r="AE119" s="667"/>
      <c r="AF119" s="667"/>
      <c r="AG119" s="667"/>
      <c r="AH119" s="667"/>
      <c r="AI119" s="667"/>
      <c r="AJ119" s="667"/>
      <c r="AK119" s="667"/>
      <c r="AL119" s="667"/>
      <c r="AM119" s="667"/>
      <c r="AN119" s="667"/>
      <c r="AO119" s="667"/>
      <c r="AP119" s="667"/>
    </row>
    <row r="120" spans="2:42" x14ac:dyDescent="0.25">
      <c r="B120">
        <v>50</v>
      </c>
      <c r="C120" t="s">
        <v>202</v>
      </c>
      <c r="D120" t="s">
        <v>141</v>
      </c>
      <c r="E120" t="s">
        <v>116</v>
      </c>
      <c r="F120" s="58">
        <v>2.9537322999999998E-9</v>
      </c>
      <c r="G120" s="58"/>
      <c r="H120" s="58"/>
      <c r="I120" t="s">
        <v>142</v>
      </c>
      <c r="J120" s="58">
        <v>2.9167938999999998E-9</v>
      </c>
      <c r="K120" s="58">
        <v>4.4778731000000002E-16</v>
      </c>
      <c r="L120" s="58">
        <v>3.6937950000000003E-11</v>
      </c>
      <c r="S120" s="667"/>
      <c r="T120" s="667"/>
      <c r="U120" s="667"/>
      <c r="V120" s="667"/>
      <c r="W120" s="667"/>
      <c r="X120" s="667"/>
      <c r="Y120" s="667"/>
      <c r="Z120" s="667"/>
      <c r="AA120" s="667"/>
      <c r="AB120" s="667"/>
      <c r="AC120" s="667"/>
      <c r="AD120" s="667"/>
      <c r="AE120" s="667"/>
      <c r="AF120" s="667"/>
      <c r="AG120" s="667"/>
      <c r="AH120" s="667"/>
      <c r="AI120" s="667"/>
      <c r="AJ120" s="667"/>
      <c r="AK120" s="667"/>
      <c r="AL120" s="667"/>
      <c r="AM120" s="667"/>
      <c r="AN120" s="667"/>
      <c r="AO120" s="667"/>
      <c r="AP120" s="667"/>
    </row>
    <row r="121" spans="2:42" x14ac:dyDescent="0.25">
      <c r="B121">
        <v>51</v>
      </c>
      <c r="C121" t="s">
        <v>185</v>
      </c>
      <c r="D121" t="s">
        <v>141</v>
      </c>
      <c r="E121" t="s">
        <v>116</v>
      </c>
      <c r="F121" s="58">
        <v>2.7649675999999999E-9</v>
      </c>
      <c r="G121" s="58"/>
      <c r="H121" s="58"/>
      <c r="I121" t="s">
        <v>142</v>
      </c>
      <c r="J121" s="58">
        <v>2.5891665000000002E-9</v>
      </c>
      <c r="K121" s="58">
        <v>1.9161093E-15</v>
      </c>
      <c r="L121" s="58">
        <v>1.7579921E-10</v>
      </c>
      <c r="S121" s="667"/>
      <c r="T121" s="667"/>
      <c r="U121" s="667"/>
      <c r="V121" s="667"/>
      <c r="W121" s="667"/>
      <c r="X121" s="667"/>
      <c r="Y121" s="667"/>
      <c r="Z121" s="667"/>
      <c r="AA121" s="667"/>
      <c r="AB121" s="667"/>
      <c r="AC121" s="667"/>
      <c r="AD121" s="667"/>
      <c r="AE121" s="667"/>
      <c r="AF121" s="667"/>
      <c r="AG121" s="667"/>
      <c r="AH121" s="667"/>
      <c r="AI121" s="667"/>
      <c r="AJ121" s="667"/>
      <c r="AK121" s="667"/>
      <c r="AL121" s="667"/>
      <c r="AM121" s="667"/>
      <c r="AN121" s="667"/>
      <c r="AO121" s="667"/>
      <c r="AP121" s="667"/>
    </row>
    <row r="122" spans="2:42" x14ac:dyDescent="0.25">
      <c r="B122">
        <v>52</v>
      </c>
      <c r="C122" t="s">
        <v>177</v>
      </c>
      <c r="D122" t="s">
        <v>141</v>
      </c>
      <c r="E122" t="s">
        <v>116</v>
      </c>
      <c r="F122" s="58">
        <v>2.6999507999999998E-9</v>
      </c>
      <c r="G122" s="58"/>
      <c r="H122" s="58"/>
      <c r="I122" t="s">
        <v>142</v>
      </c>
      <c r="J122" s="58">
        <v>2.3430784E-9</v>
      </c>
      <c r="K122" s="58">
        <v>1.2650906999999999E-14</v>
      </c>
      <c r="L122" s="58">
        <v>3.5685973999999998E-10</v>
      </c>
      <c r="S122" s="667"/>
      <c r="T122" s="667"/>
      <c r="U122" s="667"/>
      <c r="V122" s="667"/>
      <c r="W122" s="667"/>
      <c r="X122" s="667"/>
      <c r="Y122" s="667"/>
      <c r="Z122" s="667"/>
      <c r="AA122" s="667"/>
      <c r="AB122" s="667"/>
      <c r="AC122" s="667"/>
      <c r="AD122" s="667"/>
      <c r="AE122" s="667"/>
      <c r="AF122" s="667"/>
      <c r="AG122" s="667"/>
      <c r="AH122" s="667"/>
      <c r="AI122" s="667"/>
      <c r="AJ122" s="667"/>
      <c r="AK122" s="667"/>
      <c r="AL122" s="667"/>
      <c r="AM122" s="667"/>
      <c r="AN122" s="667"/>
      <c r="AO122" s="667"/>
      <c r="AP122" s="667"/>
    </row>
    <row r="123" spans="2:42" x14ac:dyDescent="0.25">
      <c r="B123">
        <v>53</v>
      </c>
      <c r="C123" t="s">
        <v>198</v>
      </c>
      <c r="D123" t="s">
        <v>141</v>
      </c>
      <c r="E123" t="s">
        <v>116</v>
      </c>
      <c r="F123" s="58">
        <v>1.817275E-9</v>
      </c>
      <c r="G123" s="58"/>
      <c r="H123" s="58"/>
      <c r="I123" t="s">
        <v>142</v>
      </c>
      <c r="J123" s="58">
        <v>1.7485696E-9</v>
      </c>
      <c r="K123" s="58">
        <v>1.6468712000000001E-15</v>
      </c>
      <c r="L123" s="58">
        <v>6.8703756999999997E-11</v>
      </c>
      <c r="S123" s="667"/>
      <c r="T123" s="667"/>
      <c r="U123" s="667"/>
      <c r="V123" s="667"/>
      <c r="W123" s="667"/>
      <c r="X123" s="667"/>
      <c r="Y123" s="667"/>
      <c r="Z123" s="667"/>
      <c r="AA123" s="667"/>
      <c r="AB123" s="667"/>
      <c r="AC123" s="667"/>
      <c r="AD123" s="667"/>
      <c r="AE123" s="667"/>
      <c r="AF123" s="667"/>
      <c r="AG123" s="667"/>
      <c r="AH123" s="667"/>
      <c r="AI123" s="667"/>
      <c r="AJ123" s="667"/>
      <c r="AK123" s="667"/>
      <c r="AL123" s="667"/>
      <c r="AM123" s="667"/>
      <c r="AN123" s="667"/>
      <c r="AO123" s="667"/>
      <c r="AP123" s="667"/>
    </row>
    <row r="124" spans="2:42" x14ac:dyDescent="0.25">
      <c r="B124">
        <v>54</v>
      </c>
      <c r="C124" t="s">
        <v>197</v>
      </c>
      <c r="D124" t="s">
        <v>141</v>
      </c>
      <c r="E124" t="s">
        <v>116</v>
      </c>
      <c r="F124" s="58">
        <v>1.6326333E-9</v>
      </c>
      <c r="G124" s="58"/>
      <c r="H124" s="58"/>
      <c r="I124" t="s">
        <v>142</v>
      </c>
      <c r="J124" s="58">
        <v>1.5442006000000001E-9</v>
      </c>
      <c r="K124" s="58">
        <v>1.4543657E-15</v>
      </c>
      <c r="L124" s="58">
        <v>8.8431315999999996E-11</v>
      </c>
      <c r="S124" s="667"/>
      <c r="T124" s="667"/>
      <c r="U124" s="667"/>
      <c r="V124" s="667"/>
      <c r="W124" s="667"/>
      <c r="X124" s="667"/>
      <c r="Y124" s="667"/>
      <c r="Z124" s="667"/>
      <c r="AA124" s="667"/>
      <c r="AB124" s="667"/>
      <c r="AC124" s="667"/>
      <c r="AD124" s="667"/>
      <c r="AE124" s="667"/>
      <c r="AF124" s="667"/>
      <c r="AG124" s="667"/>
      <c r="AH124" s="667"/>
      <c r="AI124" s="667"/>
      <c r="AJ124" s="667"/>
      <c r="AK124" s="667"/>
      <c r="AL124" s="667"/>
      <c r="AM124" s="667"/>
      <c r="AN124" s="667"/>
      <c r="AO124" s="667"/>
      <c r="AP124" s="667"/>
    </row>
    <row r="125" spans="2:42" x14ac:dyDescent="0.25">
      <c r="B125">
        <v>55</v>
      </c>
      <c r="C125" t="s">
        <v>196</v>
      </c>
      <c r="D125" t="s">
        <v>141</v>
      </c>
      <c r="E125" t="s">
        <v>116</v>
      </c>
      <c r="F125" s="58">
        <v>1.5624459000000001E-9</v>
      </c>
      <c r="G125" s="58"/>
      <c r="H125" s="58"/>
      <c r="I125" t="s">
        <v>142</v>
      </c>
      <c r="J125" s="58">
        <v>1.4068422E-9</v>
      </c>
      <c r="K125" s="58">
        <v>9.6343702000000008E-16</v>
      </c>
      <c r="L125" s="58">
        <v>1.5560275000000001E-10</v>
      </c>
      <c r="S125" s="667"/>
      <c r="T125" s="667"/>
      <c r="U125" s="667"/>
      <c r="V125" s="667"/>
      <c r="W125" s="667"/>
      <c r="X125" s="667"/>
      <c r="Y125" s="667"/>
      <c r="Z125" s="667"/>
      <c r="AA125" s="667"/>
      <c r="AB125" s="667"/>
      <c r="AC125" s="667"/>
      <c r="AD125" s="667"/>
      <c r="AE125" s="667"/>
      <c r="AF125" s="667"/>
      <c r="AG125" s="667"/>
      <c r="AH125" s="667"/>
      <c r="AI125" s="667"/>
      <c r="AJ125" s="667"/>
      <c r="AK125" s="667"/>
      <c r="AL125" s="667"/>
      <c r="AM125" s="667"/>
      <c r="AN125" s="667"/>
      <c r="AO125" s="667"/>
      <c r="AP125" s="667"/>
    </row>
    <row r="126" spans="2:42" x14ac:dyDescent="0.25">
      <c r="B126">
        <v>56</v>
      </c>
      <c r="C126" t="s">
        <v>193</v>
      </c>
      <c r="D126" t="s">
        <v>141</v>
      </c>
      <c r="E126" t="s">
        <v>116</v>
      </c>
      <c r="F126" s="58">
        <v>6.0339054000000005E-10</v>
      </c>
      <c r="G126" s="58"/>
      <c r="H126" s="58"/>
      <c r="I126" t="s">
        <v>142</v>
      </c>
      <c r="J126" s="58">
        <v>5.0264114999999999E-10</v>
      </c>
      <c r="K126" s="58">
        <v>2.2610343999999999E-16</v>
      </c>
      <c r="L126" s="58">
        <v>1.0074915999999999E-10</v>
      </c>
      <c r="S126" s="667"/>
      <c r="T126" s="667"/>
      <c r="U126" s="667"/>
      <c r="V126" s="667"/>
      <c r="W126" s="667"/>
      <c r="X126" s="667"/>
      <c r="Y126" s="667"/>
      <c r="Z126" s="667"/>
      <c r="AA126" s="667"/>
      <c r="AB126" s="667"/>
      <c r="AC126" s="667"/>
      <c r="AD126" s="667"/>
      <c r="AE126" s="667"/>
      <c r="AF126" s="667"/>
      <c r="AG126" s="667"/>
      <c r="AH126" s="667"/>
      <c r="AI126" s="667"/>
      <c r="AJ126" s="667"/>
      <c r="AK126" s="667"/>
      <c r="AL126" s="667"/>
      <c r="AM126" s="667"/>
      <c r="AN126" s="667"/>
      <c r="AO126" s="667"/>
      <c r="AP126" s="667"/>
    </row>
    <row r="127" spans="2:42" x14ac:dyDescent="0.25">
      <c r="B127">
        <v>57</v>
      </c>
      <c r="C127" t="s">
        <v>189</v>
      </c>
      <c r="D127" t="s">
        <v>141</v>
      </c>
      <c r="E127" t="s">
        <v>116</v>
      </c>
      <c r="F127" s="58">
        <v>5.0429954999999997E-10</v>
      </c>
      <c r="G127" s="58"/>
      <c r="H127" s="58"/>
      <c r="I127" t="s">
        <v>142</v>
      </c>
      <c r="J127" s="58">
        <v>4.1542710999999998E-10</v>
      </c>
      <c r="K127" s="58">
        <v>1.1485753000000001E-15</v>
      </c>
      <c r="L127" s="58">
        <v>8.8871289E-11</v>
      </c>
      <c r="S127" s="667"/>
      <c r="T127" s="667"/>
      <c r="U127" s="667"/>
      <c r="V127" s="667"/>
      <c r="W127" s="667"/>
      <c r="X127" s="667"/>
      <c r="Y127" s="667"/>
      <c r="Z127" s="667"/>
      <c r="AA127" s="667"/>
      <c r="AB127" s="667"/>
      <c r="AC127" s="667"/>
      <c r="AD127" s="667"/>
      <c r="AE127" s="667"/>
      <c r="AF127" s="667"/>
      <c r="AG127" s="667"/>
      <c r="AH127" s="667"/>
      <c r="AI127" s="667"/>
      <c r="AJ127" s="667"/>
      <c r="AK127" s="667"/>
      <c r="AL127" s="667"/>
      <c r="AM127" s="667"/>
      <c r="AN127" s="667"/>
      <c r="AO127" s="667"/>
      <c r="AP127" s="667"/>
    </row>
    <row r="128" spans="2:42" x14ac:dyDescent="0.25">
      <c r="B128">
        <v>58</v>
      </c>
      <c r="C128" t="s">
        <v>184</v>
      </c>
      <c r="D128" t="s">
        <v>141</v>
      </c>
      <c r="E128" t="s">
        <v>116</v>
      </c>
      <c r="F128" s="58">
        <v>3.9703885999999999E-10</v>
      </c>
      <c r="G128" s="58"/>
      <c r="H128" s="58"/>
      <c r="I128" t="s">
        <v>142</v>
      </c>
      <c r="J128" s="58">
        <v>3.1843089999999998E-10</v>
      </c>
      <c r="K128" s="58">
        <v>2.8770040000000001E-15</v>
      </c>
      <c r="L128" s="58">
        <v>7.8605089999999997E-11</v>
      </c>
      <c r="S128" s="667"/>
      <c r="T128" s="667"/>
      <c r="U128" s="667"/>
      <c r="V128" s="667"/>
      <c r="W128" s="667"/>
      <c r="X128" s="667"/>
      <c r="Y128" s="667"/>
      <c r="Z128" s="667"/>
      <c r="AA128" s="667"/>
      <c r="AB128" s="667"/>
      <c r="AC128" s="667"/>
      <c r="AD128" s="667"/>
      <c r="AE128" s="667"/>
      <c r="AF128" s="667"/>
      <c r="AG128" s="667"/>
      <c r="AH128" s="667"/>
      <c r="AI128" s="667"/>
      <c r="AJ128" s="667"/>
      <c r="AK128" s="667"/>
      <c r="AL128" s="667"/>
      <c r="AM128" s="667"/>
      <c r="AN128" s="667"/>
      <c r="AO128" s="667"/>
      <c r="AP128" s="667"/>
    </row>
    <row r="129" spans="2:42" x14ac:dyDescent="0.25">
      <c r="F129" s="58"/>
      <c r="G129" s="58"/>
      <c r="H129" s="58"/>
      <c r="J129" s="58"/>
      <c r="K129" s="58"/>
      <c r="L129" s="58"/>
      <c r="S129" s="667"/>
      <c r="T129" s="667"/>
      <c r="U129" s="667"/>
      <c r="V129" s="667"/>
      <c r="W129" s="667"/>
      <c r="X129" s="667"/>
      <c r="Y129" s="667"/>
      <c r="Z129" s="667"/>
      <c r="AA129" s="667"/>
      <c r="AB129" s="667"/>
      <c r="AC129" s="667"/>
      <c r="AD129" s="667"/>
      <c r="AE129" s="667"/>
      <c r="AF129" s="667"/>
      <c r="AG129" s="667"/>
      <c r="AH129" s="667"/>
      <c r="AI129" s="667"/>
      <c r="AJ129" s="667"/>
      <c r="AK129" s="667"/>
      <c r="AL129" s="667"/>
      <c r="AM129" s="667"/>
      <c r="AN129" s="667"/>
      <c r="AO129" s="667"/>
      <c r="AP129" s="667"/>
    </row>
    <row r="130" spans="2:42" x14ac:dyDescent="0.25">
      <c r="F130" s="58"/>
      <c r="G130" s="58"/>
      <c r="H130" s="58"/>
      <c r="J130" s="58"/>
      <c r="K130" s="58"/>
      <c r="L130" s="58"/>
      <c r="S130" s="667"/>
      <c r="T130" s="667"/>
      <c r="U130" s="667"/>
      <c r="V130" s="667"/>
      <c r="W130" s="667"/>
      <c r="X130" s="667"/>
      <c r="Y130" s="667"/>
      <c r="Z130" s="667"/>
      <c r="AA130" s="667"/>
      <c r="AB130" s="667"/>
      <c r="AC130" s="667"/>
      <c r="AD130" s="667"/>
      <c r="AE130" s="667"/>
      <c r="AF130" s="667"/>
      <c r="AG130" s="667"/>
      <c r="AH130" s="667"/>
      <c r="AI130" s="667"/>
      <c r="AJ130" s="667"/>
      <c r="AK130" s="667"/>
      <c r="AL130" s="667"/>
      <c r="AM130" s="667"/>
      <c r="AN130" s="667"/>
      <c r="AO130" s="667"/>
      <c r="AP130" s="667"/>
    </row>
    <row r="131" spans="2:42" x14ac:dyDescent="0.25">
      <c r="F131" s="58"/>
      <c r="G131" s="58"/>
      <c r="H131" s="58"/>
      <c r="J131" s="58"/>
      <c r="K131" s="58"/>
      <c r="L131" s="58"/>
      <c r="S131" s="667"/>
      <c r="T131" s="667"/>
      <c r="U131" s="667"/>
      <c r="V131" s="667"/>
      <c r="W131" s="667"/>
      <c r="X131" s="667"/>
      <c r="Y131" s="667"/>
      <c r="Z131" s="667"/>
      <c r="AA131" s="667"/>
      <c r="AB131" s="667"/>
      <c r="AC131" s="667"/>
      <c r="AD131" s="667"/>
      <c r="AE131" s="667"/>
      <c r="AF131" s="667"/>
      <c r="AG131" s="667"/>
      <c r="AH131" s="667"/>
      <c r="AI131" s="667"/>
      <c r="AJ131" s="667"/>
      <c r="AK131" s="667"/>
      <c r="AL131" s="667"/>
      <c r="AM131" s="667"/>
      <c r="AN131" s="667"/>
      <c r="AO131" s="667"/>
      <c r="AP131" s="667"/>
    </row>
    <row r="132" spans="2:42" x14ac:dyDescent="0.25">
      <c r="B132" s="669" t="s">
        <v>809</v>
      </c>
      <c r="C132" s="668"/>
      <c r="D132" s="668"/>
      <c r="E132" s="668"/>
      <c r="F132" s="668"/>
      <c r="G132" s="668"/>
      <c r="H132" s="668"/>
      <c r="I132" s="668"/>
      <c r="J132" s="668"/>
      <c r="K132" s="668"/>
      <c r="L132" s="668"/>
      <c r="M132" s="668"/>
      <c r="S132" s="667"/>
      <c r="T132" s="667"/>
      <c r="U132" s="667"/>
      <c r="V132" s="667"/>
      <c r="W132" s="667"/>
      <c r="X132" s="667"/>
      <c r="Y132" s="667"/>
      <c r="Z132" s="667"/>
      <c r="AA132" s="667"/>
      <c r="AB132" s="667"/>
      <c r="AC132" s="667"/>
      <c r="AD132" s="667"/>
      <c r="AE132" s="667"/>
      <c r="AF132" s="667"/>
      <c r="AG132" s="667"/>
      <c r="AH132" s="667"/>
      <c r="AI132" s="667"/>
      <c r="AJ132" s="667"/>
      <c r="AK132" s="667"/>
      <c r="AL132" s="667"/>
      <c r="AM132" s="667"/>
      <c r="AN132" s="667"/>
      <c r="AO132" s="667"/>
      <c r="AP132" s="667"/>
    </row>
    <row r="133" spans="2:42" x14ac:dyDescent="0.25">
      <c r="F133" s="58"/>
      <c r="G133" s="58"/>
      <c r="H133" s="58"/>
      <c r="J133" s="58"/>
      <c r="K133" s="58"/>
      <c r="L133" s="58"/>
      <c r="S133" s="667"/>
      <c r="T133" s="667"/>
      <c r="U133" s="667"/>
      <c r="V133" s="667"/>
      <c r="W133" s="667"/>
      <c r="X133" s="667"/>
      <c r="Y133" s="667"/>
      <c r="Z133" s="667"/>
      <c r="AA133" s="667"/>
      <c r="AB133" s="667"/>
      <c r="AC133" s="667"/>
      <c r="AD133" s="667"/>
      <c r="AE133" s="667"/>
      <c r="AF133" s="667"/>
      <c r="AG133" s="667"/>
      <c r="AH133" s="667"/>
      <c r="AI133" s="667"/>
      <c r="AJ133" s="667"/>
      <c r="AK133" s="667"/>
      <c r="AL133" s="667"/>
      <c r="AM133" s="667"/>
      <c r="AN133" s="667"/>
      <c r="AO133" s="667"/>
      <c r="AP133" s="667"/>
    </row>
    <row r="134" spans="2:42" x14ac:dyDescent="0.25">
      <c r="B134" t="s">
        <v>105</v>
      </c>
      <c r="C134" t="s">
        <v>106</v>
      </c>
      <c r="S134" s="667"/>
      <c r="T134" s="667"/>
      <c r="U134" s="667"/>
      <c r="V134" s="667"/>
      <c r="W134" s="667"/>
      <c r="X134" s="667"/>
      <c r="Y134" s="667"/>
      <c r="Z134" s="667"/>
      <c r="AA134" s="667"/>
      <c r="AB134" s="667"/>
      <c r="AC134" s="667"/>
      <c r="AD134" s="667"/>
      <c r="AE134" s="667"/>
      <c r="AF134" s="667"/>
      <c r="AG134" s="667"/>
      <c r="AH134" s="667"/>
      <c r="AI134" s="667"/>
      <c r="AJ134" s="667"/>
      <c r="AK134" s="667"/>
      <c r="AL134" s="667"/>
      <c r="AM134" s="667"/>
      <c r="AN134" s="667"/>
      <c r="AO134" s="667"/>
      <c r="AP134" s="667"/>
    </row>
    <row r="135" spans="2:42" x14ac:dyDescent="0.25">
      <c r="B135" t="s">
        <v>107</v>
      </c>
      <c r="C135" t="s">
        <v>108</v>
      </c>
      <c r="S135" s="667"/>
      <c r="T135" s="667"/>
      <c r="U135" s="667"/>
      <c r="V135" s="667"/>
      <c r="W135" s="667"/>
      <c r="X135" s="667"/>
      <c r="Y135" s="667"/>
      <c r="Z135" s="667"/>
      <c r="AA135" s="667"/>
      <c r="AB135" s="667"/>
      <c r="AC135" s="667"/>
      <c r="AD135" s="667"/>
      <c r="AE135" s="667"/>
      <c r="AF135" s="667"/>
      <c r="AG135" s="667"/>
      <c r="AH135" s="667"/>
      <c r="AI135" s="667"/>
      <c r="AJ135" s="667"/>
      <c r="AK135" s="667"/>
      <c r="AL135" s="667"/>
      <c r="AM135" s="667"/>
      <c r="AN135" s="667"/>
      <c r="AO135" s="667"/>
      <c r="AP135" s="667"/>
    </row>
    <row r="136" spans="2:42" x14ac:dyDescent="0.25">
      <c r="B136" s="40" t="s">
        <v>109</v>
      </c>
      <c r="C136" s="40" t="s">
        <v>243</v>
      </c>
      <c r="D136" s="40"/>
      <c r="E136" s="40"/>
      <c r="F136" s="40"/>
      <c r="G136" s="40"/>
      <c r="H136" s="40"/>
      <c r="I136" s="40"/>
      <c r="J136" s="40"/>
      <c r="K136" s="40"/>
      <c r="L136" s="40"/>
      <c r="M136" s="40"/>
      <c r="S136" s="667"/>
      <c r="T136" s="667"/>
      <c r="U136" s="667"/>
      <c r="V136" s="667"/>
      <c r="W136" s="667"/>
      <c r="X136" s="667"/>
      <c r="Y136" s="667"/>
      <c r="Z136" s="667"/>
      <c r="AA136" s="667"/>
      <c r="AB136" s="667"/>
      <c r="AC136" s="667"/>
      <c r="AD136" s="667"/>
      <c r="AE136" s="667"/>
      <c r="AF136" s="667"/>
      <c r="AG136" s="667"/>
      <c r="AH136" s="667"/>
      <c r="AI136" s="667"/>
      <c r="AJ136" s="667"/>
      <c r="AK136" s="667"/>
      <c r="AL136" s="667"/>
      <c r="AM136" s="667"/>
      <c r="AN136" s="667"/>
      <c r="AO136" s="667"/>
      <c r="AP136" s="667"/>
    </row>
    <row r="137" spans="2:42" x14ac:dyDescent="0.25">
      <c r="B137" t="s">
        <v>111</v>
      </c>
      <c r="C137" t="s">
        <v>112</v>
      </c>
      <c r="S137" s="667"/>
      <c r="T137" s="667"/>
      <c r="U137" s="667"/>
      <c r="V137" s="667"/>
      <c r="W137" s="667"/>
      <c r="X137" s="667"/>
      <c r="Y137" s="667"/>
      <c r="Z137" s="667"/>
      <c r="AA137" s="667"/>
      <c r="AB137" s="667"/>
      <c r="AC137" s="667"/>
      <c r="AD137" s="667"/>
      <c r="AE137" s="667"/>
      <c r="AF137" s="667"/>
      <c r="AG137" s="667"/>
      <c r="AH137" s="667"/>
      <c r="AI137" s="667"/>
      <c r="AJ137" s="667"/>
      <c r="AK137" s="667"/>
      <c r="AL137" s="667"/>
      <c r="AM137" s="667"/>
      <c r="AN137" s="667"/>
      <c r="AO137" s="667"/>
      <c r="AP137" s="667"/>
    </row>
    <row r="138" spans="2:42" x14ac:dyDescent="0.25">
      <c r="B138" t="s">
        <v>113</v>
      </c>
      <c r="C138" t="s">
        <v>114</v>
      </c>
      <c r="S138" s="667"/>
      <c r="T138" s="667"/>
      <c r="U138" s="667"/>
      <c r="V138" s="667"/>
      <c r="W138" s="667"/>
      <c r="X138" s="667"/>
      <c r="Y138" s="667"/>
      <c r="Z138" s="667"/>
      <c r="AA138" s="667"/>
      <c r="AB138" s="667"/>
      <c r="AC138" s="667"/>
      <c r="AD138" s="667"/>
      <c r="AE138" s="667"/>
      <c r="AF138" s="667"/>
      <c r="AG138" s="667"/>
      <c r="AH138" s="667"/>
      <c r="AI138" s="667"/>
      <c r="AJ138" s="667"/>
      <c r="AK138" s="667"/>
      <c r="AL138" s="667"/>
      <c r="AM138" s="667"/>
      <c r="AN138" s="667"/>
      <c r="AO138" s="667"/>
      <c r="AP138" s="667"/>
    </row>
    <row r="139" spans="2:42" ht="15.75" thickBot="1" x14ac:dyDescent="0.3">
      <c r="B139" t="s">
        <v>115</v>
      </c>
      <c r="C139" t="s">
        <v>116</v>
      </c>
      <c r="S139" s="667"/>
      <c r="T139" s="667"/>
      <c r="U139" s="667"/>
      <c r="V139" s="667"/>
      <c r="W139" s="667"/>
      <c r="X139" s="667"/>
      <c r="Y139" s="667"/>
      <c r="Z139" s="667"/>
      <c r="AA139" s="667"/>
      <c r="AB139" s="667"/>
      <c r="AC139" s="667"/>
      <c r="AD139" s="667"/>
      <c r="AE139" s="667"/>
      <c r="AF139" s="667"/>
      <c r="AG139" s="667"/>
      <c r="AH139" s="667"/>
      <c r="AI139" s="667"/>
      <c r="AJ139" s="667"/>
      <c r="AK139" s="667"/>
      <c r="AL139" s="667"/>
      <c r="AM139" s="667"/>
      <c r="AN139" s="667"/>
      <c r="AO139" s="667"/>
      <c r="AP139" s="667"/>
    </row>
    <row r="140" spans="2:42" x14ac:dyDescent="0.25">
      <c r="B140" t="s">
        <v>117</v>
      </c>
      <c r="C140" t="s">
        <v>118</v>
      </c>
      <c r="J140" s="55" t="s">
        <v>236</v>
      </c>
      <c r="K140" s="48"/>
      <c r="L140" s="48"/>
      <c r="M140" s="49"/>
      <c r="S140" s="667"/>
      <c r="T140" s="667"/>
      <c r="U140" s="667"/>
      <c r="V140" s="667"/>
      <c r="W140" s="667"/>
      <c r="X140" s="667"/>
      <c r="Y140" s="667"/>
      <c r="Z140" s="667"/>
      <c r="AA140" s="667"/>
      <c r="AB140" s="667"/>
      <c r="AC140" s="667"/>
      <c r="AD140" s="667"/>
      <c r="AE140" s="667"/>
      <c r="AF140" s="667"/>
      <c r="AG140" s="667"/>
      <c r="AH140" s="667"/>
      <c r="AI140" s="667"/>
      <c r="AJ140" s="667"/>
      <c r="AK140" s="667"/>
      <c r="AL140" s="667"/>
      <c r="AM140" s="667"/>
      <c r="AN140" s="667"/>
      <c r="AO140" s="667"/>
      <c r="AP140" s="667"/>
    </row>
    <row r="141" spans="2:42" x14ac:dyDescent="0.25">
      <c r="B141" s="40" t="s">
        <v>119</v>
      </c>
      <c r="C141" s="40" t="s">
        <v>120</v>
      </c>
      <c r="D141" s="40"/>
      <c r="E141" s="40"/>
      <c r="J141" s="47" t="s">
        <v>234</v>
      </c>
      <c r="K141" s="28">
        <v>23</v>
      </c>
      <c r="L141" s="28" t="s">
        <v>235</v>
      </c>
      <c r="M141" s="43"/>
      <c r="R141" s="667"/>
      <c r="S141" s="667"/>
      <c r="T141" s="667"/>
      <c r="U141" s="667"/>
      <c r="V141" s="667"/>
      <c r="W141" s="667"/>
      <c r="X141" s="667"/>
      <c r="Y141" s="667"/>
      <c r="Z141" s="667"/>
      <c r="AA141" s="667"/>
      <c r="AB141" s="667"/>
      <c r="AC141" s="667"/>
      <c r="AD141" s="667"/>
      <c r="AE141" s="667"/>
      <c r="AF141" s="667"/>
      <c r="AG141" s="667"/>
      <c r="AH141" s="667"/>
      <c r="AI141" s="667"/>
      <c r="AJ141" s="667"/>
      <c r="AK141" s="667"/>
      <c r="AL141" s="667"/>
      <c r="AM141" s="667"/>
      <c r="AN141" s="667"/>
      <c r="AO141" s="667"/>
      <c r="AP141" s="667"/>
    </row>
    <row r="142" spans="2:42" x14ac:dyDescent="0.25">
      <c r="B142" t="s">
        <v>121</v>
      </c>
      <c r="C142" s="41">
        <v>0</v>
      </c>
      <c r="J142" s="47" t="s">
        <v>237</v>
      </c>
      <c r="K142" s="28">
        <v>296</v>
      </c>
      <c r="L142" s="28" t="s">
        <v>235</v>
      </c>
      <c r="M142" s="43"/>
      <c r="R142" s="667"/>
      <c r="S142" s="667"/>
      <c r="T142" s="667"/>
      <c r="U142" s="667"/>
      <c r="V142" s="667"/>
      <c r="W142" s="667"/>
      <c r="X142" s="667"/>
      <c r="Y142" s="667"/>
      <c r="Z142" s="667"/>
      <c r="AA142" s="667"/>
      <c r="AB142" s="667"/>
      <c r="AC142" s="667"/>
      <c r="AD142" s="667"/>
      <c r="AE142" s="667"/>
      <c r="AF142" s="667"/>
      <c r="AG142" s="667"/>
      <c r="AH142" s="667"/>
      <c r="AI142" s="667"/>
      <c r="AJ142" s="667"/>
      <c r="AK142" s="667"/>
      <c r="AL142" s="667"/>
      <c r="AM142" s="667"/>
      <c r="AN142" s="667"/>
      <c r="AO142" s="667"/>
      <c r="AP142" s="667"/>
    </row>
    <row r="143" spans="2:42" x14ac:dyDescent="0.25">
      <c r="B143" t="s">
        <v>122</v>
      </c>
      <c r="C143" t="s">
        <v>123</v>
      </c>
      <c r="J143" s="73" t="s">
        <v>238</v>
      </c>
      <c r="K143" s="28">
        <v>1</v>
      </c>
      <c r="L143" s="28" t="s">
        <v>235</v>
      </c>
      <c r="M143" s="43"/>
      <c r="R143" s="667"/>
      <c r="S143" s="667"/>
      <c r="T143" s="667"/>
      <c r="U143" s="667"/>
      <c r="V143" s="667"/>
      <c r="W143" s="667"/>
      <c r="X143" s="667"/>
      <c r="Y143" s="667"/>
      <c r="Z143" s="667"/>
      <c r="AA143" s="667"/>
      <c r="AB143" s="667"/>
      <c r="AC143" s="667"/>
      <c r="AD143" s="667"/>
      <c r="AE143" s="667"/>
      <c r="AF143" s="667"/>
      <c r="AG143" s="667"/>
      <c r="AH143" s="667"/>
      <c r="AI143" s="667"/>
      <c r="AJ143" s="667"/>
      <c r="AK143" s="667"/>
      <c r="AL143" s="667"/>
      <c r="AM143" s="667"/>
      <c r="AN143" s="667"/>
      <c r="AO143" s="667"/>
      <c r="AP143" s="667"/>
    </row>
    <row r="144" spans="2:42" x14ac:dyDescent="0.25">
      <c r="B144" t="s">
        <v>124</v>
      </c>
      <c r="C144" t="s">
        <v>123</v>
      </c>
      <c r="J144" s="74" t="s">
        <v>248</v>
      </c>
      <c r="K144" s="75">
        <v>0.18859999999999999</v>
      </c>
      <c r="L144" s="76" t="s">
        <v>249</v>
      </c>
      <c r="M144" s="77" t="s">
        <v>250</v>
      </c>
      <c r="R144" s="667"/>
      <c r="S144" s="667"/>
      <c r="T144" s="667"/>
      <c r="U144" s="667"/>
      <c r="V144" s="667"/>
      <c r="W144" s="667"/>
      <c r="X144" s="667"/>
      <c r="Y144" s="667"/>
      <c r="Z144" s="667"/>
      <c r="AA144" s="667"/>
      <c r="AB144" s="667"/>
      <c r="AC144" s="667"/>
      <c r="AD144" s="667"/>
      <c r="AE144" s="667"/>
      <c r="AF144" s="667"/>
      <c r="AG144" s="667"/>
      <c r="AH144" s="667"/>
      <c r="AI144" s="667"/>
      <c r="AJ144" s="667"/>
      <c r="AK144" s="667"/>
      <c r="AL144" s="667"/>
      <c r="AM144" s="667"/>
      <c r="AN144" s="667"/>
      <c r="AO144" s="667"/>
      <c r="AP144" s="667"/>
    </row>
    <row r="145" spans="2:42" x14ac:dyDescent="0.25">
      <c r="B145" s="40" t="s">
        <v>125</v>
      </c>
      <c r="C145" s="40" t="s">
        <v>242</v>
      </c>
      <c r="D145" s="40"/>
      <c r="E145" s="40"/>
      <c r="F145" s="40"/>
      <c r="G145" s="40"/>
      <c r="H145" s="40"/>
      <c r="I145" s="40"/>
      <c r="R145" s="667"/>
      <c r="S145" s="667"/>
      <c r="T145" s="667"/>
      <c r="U145" s="667"/>
      <c r="V145" s="667"/>
      <c r="W145" s="667"/>
      <c r="X145" s="667"/>
      <c r="Y145" s="667"/>
      <c r="Z145" s="667"/>
      <c r="AA145" s="667"/>
      <c r="AB145" s="667"/>
      <c r="AC145" s="667"/>
      <c r="AD145" s="667"/>
      <c r="AE145" s="667"/>
      <c r="AF145" s="667"/>
      <c r="AG145" s="667"/>
      <c r="AH145" s="667"/>
      <c r="AI145" s="667"/>
      <c r="AJ145" s="667"/>
      <c r="AK145" s="667"/>
      <c r="AL145" s="667"/>
      <c r="AM145" s="667"/>
      <c r="AN145" s="667"/>
      <c r="AO145" s="667"/>
      <c r="AP145" s="667"/>
    </row>
    <row r="146" spans="2:42" ht="15.75" thickBot="1" x14ac:dyDescent="0.3">
      <c r="B146" t="s">
        <v>127</v>
      </c>
      <c r="C146" t="s">
        <v>128</v>
      </c>
      <c r="R146" s="667"/>
      <c r="S146" s="667"/>
      <c r="T146" s="667"/>
      <c r="U146" s="667"/>
      <c r="V146" s="667"/>
      <c r="W146" s="667"/>
      <c r="X146" s="667"/>
      <c r="Y146" s="667"/>
      <c r="Z146" s="667"/>
      <c r="AA146" s="667"/>
      <c r="AB146" s="667"/>
      <c r="AC146" s="667"/>
      <c r="AD146" s="667"/>
      <c r="AE146" s="667"/>
      <c r="AF146" s="667"/>
      <c r="AG146" s="667"/>
      <c r="AH146" s="667"/>
      <c r="AI146" s="667"/>
      <c r="AJ146" s="667"/>
      <c r="AK146" s="667"/>
      <c r="AL146" s="667"/>
      <c r="AM146" s="667"/>
      <c r="AN146" s="667"/>
      <c r="AO146" s="667"/>
      <c r="AP146" s="667"/>
    </row>
    <row r="147" spans="2:42" ht="15.75" thickBot="1" x14ac:dyDescent="0.3">
      <c r="N147" s="55" t="s">
        <v>2</v>
      </c>
      <c r="O147" s="63" t="s">
        <v>126</v>
      </c>
      <c r="R147" s="667"/>
      <c r="S147" s="667"/>
      <c r="T147" s="667"/>
      <c r="U147" s="667"/>
      <c r="V147" s="667"/>
      <c r="W147" s="667"/>
      <c r="X147" s="667"/>
      <c r="Y147" s="667"/>
      <c r="Z147" s="667"/>
      <c r="AA147" s="667"/>
      <c r="AB147" s="667"/>
      <c r="AC147" s="667"/>
      <c r="AD147" s="667"/>
      <c r="AE147" s="667"/>
      <c r="AF147" s="667"/>
      <c r="AG147" s="667"/>
      <c r="AH147" s="667"/>
      <c r="AI147" s="667"/>
      <c r="AJ147" s="667"/>
      <c r="AK147" s="667"/>
      <c r="AL147" s="667"/>
      <c r="AM147" s="667"/>
      <c r="AN147" s="667"/>
      <c r="AO147" s="667"/>
      <c r="AP147" s="667"/>
    </row>
    <row r="148" spans="2:42" ht="15.75" thickBot="1" x14ac:dyDescent="0.3">
      <c r="B148" t="s">
        <v>123</v>
      </c>
      <c r="C148" t="s">
        <v>129</v>
      </c>
      <c r="D148" t="s">
        <v>130</v>
      </c>
      <c r="E148" t="s">
        <v>2</v>
      </c>
      <c r="F148" t="s">
        <v>242</v>
      </c>
      <c r="H148" s="55" t="s">
        <v>2</v>
      </c>
      <c r="I148" s="63" t="s">
        <v>126</v>
      </c>
      <c r="K148" s="40" t="s">
        <v>247</v>
      </c>
      <c r="L148" s="50" t="s">
        <v>251</v>
      </c>
      <c r="M148" s="40">
        <f>6.8*(10^-9)</f>
        <v>6.8000000000000005E-9</v>
      </c>
      <c r="N148" s="67" t="s">
        <v>252</v>
      </c>
      <c r="O148" s="71">
        <f>M148/K144</f>
        <v>3.6055143160127261E-8</v>
      </c>
      <c r="R148" s="667"/>
      <c r="S148" s="667"/>
      <c r="T148" s="667"/>
      <c r="U148" s="667"/>
      <c r="V148" s="667"/>
      <c r="W148" s="667"/>
      <c r="X148" s="667"/>
      <c r="Y148" s="667"/>
      <c r="Z148" s="667"/>
      <c r="AA148" s="667"/>
      <c r="AB148" s="667"/>
      <c r="AC148" s="667"/>
      <c r="AD148" s="667"/>
      <c r="AE148" s="667"/>
      <c r="AF148" s="667"/>
      <c r="AG148" s="667"/>
      <c r="AH148" s="667"/>
      <c r="AI148" s="667"/>
      <c r="AJ148" s="667"/>
      <c r="AK148" s="667"/>
      <c r="AL148" s="667"/>
      <c r="AM148" s="667"/>
      <c r="AN148" s="667"/>
      <c r="AO148" s="667"/>
      <c r="AP148" s="667"/>
    </row>
    <row r="149" spans="2:42" x14ac:dyDescent="0.25">
      <c r="C149" t="s">
        <v>126</v>
      </c>
      <c r="E149" s="1" t="s">
        <v>116</v>
      </c>
      <c r="F149" s="1">
        <v>6.6769671000000003E-2</v>
      </c>
      <c r="H149" s="64"/>
      <c r="I149" s="65"/>
      <c r="R149" s="667"/>
      <c r="S149" s="667"/>
      <c r="T149" s="667"/>
      <c r="U149" s="667"/>
      <c r="V149" s="667"/>
      <c r="W149" s="667"/>
      <c r="X149" s="667"/>
      <c r="Y149" s="667"/>
      <c r="Z149" s="667"/>
      <c r="AA149" s="667"/>
      <c r="AB149" s="667"/>
      <c r="AC149" s="667"/>
      <c r="AD149" s="667"/>
      <c r="AE149" s="667"/>
      <c r="AF149" s="667"/>
      <c r="AG149" s="667"/>
      <c r="AH149" s="667"/>
      <c r="AI149" s="667"/>
      <c r="AJ149" s="667"/>
      <c r="AK149" s="667"/>
      <c r="AL149" s="667"/>
      <c r="AM149" s="667"/>
      <c r="AN149" s="667"/>
      <c r="AO149" s="667"/>
      <c r="AP149" s="667"/>
    </row>
    <row r="150" spans="2:42" x14ac:dyDescent="0.25">
      <c r="B150">
        <v>1</v>
      </c>
      <c r="C150" s="40" t="s">
        <v>143</v>
      </c>
      <c r="D150" s="40" t="s">
        <v>141</v>
      </c>
      <c r="E150" s="40" t="s">
        <v>116</v>
      </c>
      <c r="F150" s="40">
        <v>6.2834977E-2</v>
      </c>
      <c r="G150" s="40"/>
      <c r="H150" s="66" t="s">
        <v>244</v>
      </c>
      <c r="I150" s="70">
        <f>F150/K143</f>
        <v>6.2834977E-2</v>
      </c>
      <c r="R150" s="667"/>
      <c r="S150" s="667"/>
      <c r="T150" s="667"/>
      <c r="U150" s="667"/>
      <c r="V150" s="667"/>
      <c r="W150" s="667"/>
      <c r="X150" s="667"/>
      <c r="Y150" s="667"/>
      <c r="Z150" s="667"/>
      <c r="AA150" s="667"/>
      <c r="AB150" s="667"/>
      <c r="AC150" s="667"/>
      <c r="AD150" s="667"/>
      <c r="AE150" s="667"/>
      <c r="AF150" s="667"/>
      <c r="AG150" s="667"/>
      <c r="AH150" s="667"/>
      <c r="AI150" s="667"/>
      <c r="AJ150" s="667"/>
      <c r="AK150" s="667"/>
      <c r="AL150" s="667"/>
      <c r="AM150" s="667"/>
      <c r="AN150" s="667"/>
      <c r="AO150" s="667"/>
      <c r="AP150" s="667"/>
    </row>
    <row r="151" spans="2:42" x14ac:dyDescent="0.25">
      <c r="B151">
        <v>2</v>
      </c>
      <c r="C151" s="40" t="s">
        <v>144</v>
      </c>
      <c r="D151" s="40" t="s">
        <v>141</v>
      </c>
      <c r="E151" s="40" t="s">
        <v>116</v>
      </c>
      <c r="F151" s="40">
        <v>3.6268841E-3</v>
      </c>
      <c r="G151" s="40"/>
      <c r="H151" s="66" t="s">
        <v>245</v>
      </c>
      <c r="I151" s="72">
        <f>F151/K141</f>
        <v>1.5769061304347825E-4</v>
      </c>
      <c r="R151" s="667"/>
      <c r="S151" s="667"/>
      <c r="T151" s="667"/>
      <c r="U151" s="667"/>
      <c r="V151" s="667"/>
      <c r="W151" s="667"/>
      <c r="X151" s="667"/>
      <c r="Y151" s="667"/>
      <c r="Z151" s="667"/>
      <c r="AA151" s="667"/>
      <c r="AB151" s="667"/>
      <c r="AC151" s="667"/>
      <c r="AD151" s="667"/>
      <c r="AE151" s="667"/>
      <c r="AF151" s="667"/>
      <c r="AG151" s="667"/>
      <c r="AH151" s="667"/>
      <c r="AI151" s="667"/>
      <c r="AJ151" s="667"/>
      <c r="AK151" s="667"/>
      <c r="AL151" s="667"/>
      <c r="AM151" s="667"/>
      <c r="AN151" s="667"/>
      <c r="AO151" s="667"/>
      <c r="AP151" s="667"/>
    </row>
    <row r="152" spans="2:42" ht="15.75" thickBot="1" x14ac:dyDescent="0.3">
      <c r="B152">
        <v>3</v>
      </c>
      <c r="C152" s="40" t="s">
        <v>140</v>
      </c>
      <c r="D152" s="40" t="s">
        <v>141</v>
      </c>
      <c r="E152" s="40" t="s">
        <v>116</v>
      </c>
      <c r="F152" s="40">
        <v>1.8316285E-4</v>
      </c>
      <c r="G152" s="40"/>
      <c r="H152" s="67" t="s">
        <v>246</v>
      </c>
      <c r="I152" s="71">
        <f>F152/K142</f>
        <v>6.1879341216216217E-7</v>
      </c>
      <c r="R152" s="667"/>
      <c r="S152" s="667"/>
      <c r="T152" s="667"/>
      <c r="U152" s="667"/>
      <c r="V152" s="667"/>
      <c r="W152" s="667"/>
      <c r="X152" s="667"/>
      <c r="Y152" s="667"/>
      <c r="Z152" s="667"/>
      <c r="AA152" s="667"/>
      <c r="AB152" s="667"/>
      <c r="AC152" s="667"/>
      <c r="AD152" s="667"/>
      <c r="AE152" s="667"/>
      <c r="AF152" s="667"/>
      <c r="AG152" s="667"/>
      <c r="AH152" s="667"/>
      <c r="AI152" s="667"/>
      <c r="AJ152" s="667"/>
      <c r="AK152" s="667"/>
      <c r="AL152" s="667"/>
      <c r="AM152" s="667"/>
      <c r="AN152" s="667"/>
      <c r="AO152" s="667"/>
      <c r="AP152" s="667"/>
    </row>
    <row r="153" spans="2:42" x14ac:dyDescent="0.25">
      <c r="B153">
        <v>4</v>
      </c>
      <c r="C153" t="s">
        <v>148</v>
      </c>
      <c r="D153" t="s">
        <v>141</v>
      </c>
      <c r="E153" t="s">
        <v>116</v>
      </c>
      <c r="F153" s="58">
        <v>4.7606021000000002E-5</v>
      </c>
      <c r="R153" s="667"/>
      <c r="S153" s="667"/>
      <c r="T153" s="667"/>
      <c r="U153" s="667"/>
      <c r="V153" s="667"/>
      <c r="W153" s="667"/>
      <c r="X153" s="667"/>
      <c r="Y153" s="667"/>
      <c r="Z153" s="667"/>
      <c r="AA153" s="667"/>
      <c r="AB153" s="667"/>
      <c r="AC153" s="667"/>
      <c r="AD153" s="667"/>
      <c r="AE153" s="667"/>
      <c r="AF153" s="667"/>
      <c r="AG153" s="667"/>
      <c r="AH153" s="667"/>
      <c r="AI153" s="667"/>
      <c r="AJ153" s="667"/>
      <c r="AK153" s="667"/>
      <c r="AL153" s="667"/>
      <c r="AM153" s="667"/>
      <c r="AN153" s="667"/>
      <c r="AO153" s="667"/>
      <c r="AP153" s="667"/>
    </row>
    <row r="154" spans="2:42" x14ac:dyDescent="0.25">
      <c r="B154">
        <v>5</v>
      </c>
      <c r="C154" t="s">
        <v>145</v>
      </c>
      <c r="D154" t="s">
        <v>141</v>
      </c>
      <c r="E154" t="s">
        <v>116</v>
      </c>
      <c r="F154" s="58">
        <v>3.3127009999999997E-5</v>
      </c>
      <c r="R154" s="667"/>
      <c r="S154" s="667"/>
      <c r="T154" s="667"/>
      <c r="U154" s="667"/>
      <c r="V154" s="667"/>
      <c r="W154" s="667"/>
      <c r="X154" s="667"/>
      <c r="Y154" s="667"/>
      <c r="Z154" s="667"/>
      <c r="AA154" s="667"/>
      <c r="AB154" s="667"/>
      <c r="AC154" s="667"/>
      <c r="AD154" s="667"/>
      <c r="AE154" s="667"/>
      <c r="AF154" s="667"/>
      <c r="AG154" s="667"/>
      <c r="AH154" s="667"/>
      <c r="AI154" s="667"/>
      <c r="AJ154" s="667"/>
      <c r="AK154" s="667"/>
      <c r="AL154" s="667"/>
      <c r="AM154" s="667"/>
      <c r="AN154" s="667"/>
      <c r="AO154" s="667"/>
      <c r="AP154" s="667"/>
    </row>
    <row r="155" spans="2:42" x14ac:dyDescent="0.25">
      <c r="B155">
        <v>6</v>
      </c>
      <c r="C155" t="s">
        <v>146</v>
      </c>
      <c r="D155" t="s">
        <v>141</v>
      </c>
      <c r="E155" t="s">
        <v>116</v>
      </c>
      <c r="F155" s="58">
        <v>3.2370151000000003E-5</v>
      </c>
      <c r="R155" s="667"/>
      <c r="S155" s="667"/>
      <c r="T155" s="667"/>
      <c r="U155" s="667"/>
      <c r="V155" s="667"/>
      <c r="W155" s="667"/>
      <c r="X155" s="667"/>
      <c r="Y155" s="667"/>
      <c r="Z155" s="667"/>
      <c r="AA155" s="667"/>
      <c r="AB155" s="667"/>
      <c r="AC155" s="667"/>
      <c r="AD155" s="667"/>
      <c r="AE155" s="667"/>
      <c r="AF155" s="667"/>
      <c r="AG155" s="667"/>
      <c r="AH155" s="667"/>
      <c r="AI155" s="667"/>
      <c r="AJ155" s="667"/>
      <c r="AK155" s="667"/>
      <c r="AL155" s="667"/>
      <c r="AM155" s="667"/>
      <c r="AN155" s="667"/>
      <c r="AO155" s="667"/>
      <c r="AP155" s="667"/>
    </row>
    <row r="156" spans="2:42" x14ac:dyDescent="0.25">
      <c r="B156">
        <v>7</v>
      </c>
      <c r="C156" t="s">
        <v>152</v>
      </c>
      <c r="D156" t="s">
        <v>141</v>
      </c>
      <c r="E156" t="s">
        <v>116</v>
      </c>
      <c r="F156" s="58">
        <v>1.4837938E-5</v>
      </c>
      <c r="O156" s="87"/>
      <c r="R156" s="667"/>
      <c r="S156" s="667"/>
      <c r="T156" s="667"/>
      <c r="U156" s="667"/>
      <c r="V156" s="667"/>
      <c r="W156" s="667"/>
      <c r="X156" s="667"/>
      <c r="Y156" s="667"/>
      <c r="Z156" s="667"/>
      <c r="AA156" s="667"/>
      <c r="AB156" s="667"/>
      <c r="AC156" s="667"/>
      <c r="AD156" s="667"/>
      <c r="AE156" s="667"/>
      <c r="AF156" s="667"/>
      <c r="AG156" s="667"/>
      <c r="AH156" s="667"/>
      <c r="AI156" s="667"/>
      <c r="AJ156" s="667"/>
      <c r="AK156" s="667"/>
      <c r="AL156" s="667"/>
      <c r="AM156" s="667"/>
      <c r="AN156" s="667"/>
      <c r="AO156" s="667"/>
      <c r="AP156" s="667"/>
    </row>
    <row r="157" spans="2:42" x14ac:dyDescent="0.25">
      <c r="B157">
        <v>8</v>
      </c>
      <c r="C157" t="s">
        <v>154</v>
      </c>
      <c r="D157" t="s">
        <v>141</v>
      </c>
      <c r="E157" t="s">
        <v>116</v>
      </c>
      <c r="F157" s="58">
        <v>9.0062776000000005E-6</v>
      </c>
      <c r="R157" s="667"/>
      <c r="S157" s="667"/>
      <c r="T157" s="667"/>
      <c r="U157" s="667"/>
      <c r="V157" s="667"/>
      <c r="W157" s="667"/>
      <c r="X157" s="667"/>
      <c r="Y157" s="667"/>
      <c r="Z157" s="667"/>
      <c r="AA157" s="667"/>
      <c r="AB157" s="667"/>
      <c r="AC157" s="667"/>
      <c r="AD157" s="667"/>
      <c r="AE157" s="667"/>
      <c r="AF157" s="667"/>
      <c r="AG157" s="667"/>
      <c r="AH157" s="667"/>
      <c r="AI157" s="667"/>
      <c r="AJ157" s="667"/>
      <c r="AK157" s="667"/>
      <c r="AL157" s="667"/>
      <c r="AM157" s="667"/>
      <c r="AN157" s="667"/>
      <c r="AO157" s="667"/>
      <c r="AP157" s="667"/>
    </row>
    <row r="158" spans="2:42" x14ac:dyDescent="0.25">
      <c r="B158">
        <v>9</v>
      </c>
      <c r="C158" t="s">
        <v>155</v>
      </c>
      <c r="D158" t="s">
        <v>141</v>
      </c>
      <c r="E158" t="s">
        <v>116</v>
      </c>
      <c r="F158" s="58">
        <v>5.0531585999999999E-6</v>
      </c>
      <c r="R158" s="667"/>
      <c r="S158" s="667"/>
      <c r="T158" s="667"/>
      <c r="U158" s="667"/>
      <c r="V158" s="667"/>
      <c r="W158" s="667"/>
      <c r="X158" s="667"/>
      <c r="Y158" s="667"/>
      <c r="Z158" s="667"/>
      <c r="AA158" s="667"/>
      <c r="AB158" s="667"/>
      <c r="AC158" s="667"/>
      <c r="AD158" s="667"/>
      <c r="AE158" s="667"/>
      <c r="AF158" s="667"/>
      <c r="AG158" s="667"/>
      <c r="AH158" s="667"/>
      <c r="AI158" s="667"/>
      <c r="AJ158" s="667"/>
      <c r="AK158" s="667"/>
      <c r="AL158" s="667"/>
      <c r="AM158" s="667"/>
      <c r="AN158" s="667"/>
      <c r="AO158" s="667"/>
      <c r="AP158" s="667"/>
    </row>
    <row r="159" spans="2:42" x14ac:dyDescent="0.25">
      <c r="B159">
        <v>10</v>
      </c>
      <c r="C159" t="s">
        <v>156</v>
      </c>
      <c r="D159" t="s">
        <v>141</v>
      </c>
      <c r="E159" t="s">
        <v>116</v>
      </c>
      <c r="F159" s="58">
        <v>3.5782114000000002E-6</v>
      </c>
      <c r="R159" s="667"/>
      <c r="S159" s="667"/>
      <c r="T159" s="667"/>
      <c r="U159" s="667"/>
      <c r="V159" s="667"/>
      <c r="W159" s="667"/>
      <c r="X159" s="667"/>
      <c r="Y159" s="667"/>
      <c r="Z159" s="667"/>
      <c r="AA159" s="667"/>
      <c r="AB159" s="667"/>
      <c r="AC159" s="667"/>
      <c r="AD159" s="667"/>
      <c r="AE159" s="667"/>
      <c r="AF159" s="667"/>
      <c r="AG159" s="667"/>
      <c r="AH159" s="667"/>
      <c r="AI159" s="667"/>
      <c r="AJ159" s="667"/>
      <c r="AK159" s="667"/>
      <c r="AL159" s="667"/>
      <c r="AM159" s="667"/>
      <c r="AN159" s="667"/>
      <c r="AO159" s="667"/>
      <c r="AP159" s="667"/>
    </row>
    <row r="160" spans="2:42" x14ac:dyDescent="0.25">
      <c r="B160">
        <v>11</v>
      </c>
      <c r="C160" t="s">
        <v>150</v>
      </c>
      <c r="D160" t="s">
        <v>141</v>
      </c>
      <c r="E160" t="s">
        <v>116</v>
      </c>
      <c r="F160" s="58">
        <v>3.1721041000000001E-6</v>
      </c>
      <c r="R160" s="667"/>
      <c r="S160" s="667"/>
      <c r="T160" s="667"/>
      <c r="U160" s="667"/>
      <c r="V160" s="667"/>
      <c r="W160" s="667"/>
      <c r="X160" s="667"/>
      <c r="Y160" s="667"/>
      <c r="Z160" s="667"/>
      <c r="AA160" s="667"/>
      <c r="AB160" s="667"/>
      <c r="AC160" s="667"/>
      <c r="AD160" s="667"/>
      <c r="AE160" s="667"/>
      <c r="AF160" s="667"/>
      <c r="AG160" s="667"/>
      <c r="AH160" s="667"/>
      <c r="AI160" s="667"/>
      <c r="AJ160" s="667"/>
      <c r="AK160" s="667"/>
      <c r="AL160" s="667"/>
      <c r="AM160" s="667"/>
      <c r="AN160" s="667"/>
      <c r="AO160" s="667"/>
      <c r="AP160" s="667"/>
    </row>
    <row r="161" spans="2:42" x14ac:dyDescent="0.25">
      <c r="B161">
        <v>12</v>
      </c>
      <c r="C161" t="s">
        <v>157</v>
      </c>
      <c r="D161" t="s">
        <v>141</v>
      </c>
      <c r="E161" t="s">
        <v>116</v>
      </c>
      <c r="F161" s="58">
        <v>2.8318433000000001E-6</v>
      </c>
      <c r="R161" s="667"/>
      <c r="S161" s="667"/>
      <c r="T161" s="667"/>
      <c r="U161" s="667"/>
      <c r="V161" s="667"/>
      <c r="W161" s="667"/>
      <c r="X161" s="667"/>
      <c r="Y161" s="667"/>
      <c r="Z161" s="667"/>
      <c r="AA161" s="667"/>
      <c r="AB161" s="667"/>
      <c r="AC161" s="667"/>
      <c r="AD161" s="667"/>
      <c r="AE161" s="667"/>
      <c r="AF161" s="667"/>
      <c r="AG161" s="667"/>
      <c r="AH161" s="667"/>
      <c r="AI161" s="667"/>
      <c r="AJ161" s="667"/>
      <c r="AK161" s="667"/>
      <c r="AL161" s="667"/>
      <c r="AM161" s="667"/>
      <c r="AN161" s="667"/>
      <c r="AO161" s="667"/>
      <c r="AP161" s="667"/>
    </row>
    <row r="162" spans="2:42" x14ac:dyDescent="0.25">
      <c r="B162">
        <v>13</v>
      </c>
      <c r="C162" t="s">
        <v>161</v>
      </c>
      <c r="D162" t="s">
        <v>141</v>
      </c>
      <c r="E162" t="s">
        <v>116</v>
      </c>
      <c r="F162" s="58">
        <v>2.0065555999999999E-6</v>
      </c>
      <c r="R162" s="667"/>
      <c r="S162" s="667"/>
      <c r="T162" s="667"/>
      <c r="U162" s="667"/>
      <c r="V162" s="667"/>
      <c r="W162" s="667"/>
      <c r="X162" s="667"/>
      <c r="Y162" s="667"/>
      <c r="Z162" s="667"/>
      <c r="AA162" s="667"/>
      <c r="AB162" s="667"/>
      <c r="AC162" s="667"/>
      <c r="AD162" s="667"/>
      <c r="AE162" s="667"/>
      <c r="AF162" s="667"/>
      <c r="AG162" s="667"/>
      <c r="AH162" s="667"/>
      <c r="AI162" s="667"/>
      <c r="AJ162" s="667"/>
      <c r="AK162" s="667"/>
      <c r="AL162" s="667"/>
      <c r="AM162" s="667"/>
      <c r="AN162" s="667"/>
      <c r="AO162" s="667"/>
      <c r="AP162" s="667"/>
    </row>
    <row r="163" spans="2:42" x14ac:dyDescent="0.25">
      <c r="B163">
        <v>14</v>
      </c>
      <c r="C163" t="s">
        <v>162</v>
      </c>
      <c r="D163" t="s">
        <v>141</v>
      </c>
      <c r="E163" t="s">
        <v>116</v>
      </c>
      <c r="F163" s="58">
        <v>1.1959056E-6</v>
      </c>
      <c r="R163" s="667"/>
      <c r="S163" s="667"/>
      <c r="T163" s="667"/>
      <c r="U163" s="667"/>
      <c r="V163" s="667"/>
      <c r="W163" s="667"/>
      <c r="X163" s="667"/>
      <c r="Y163" s="667"/>
      <c r="Z163" s="667"/>
      <c r="AA163" s="667"/>
      <c r="AB163" s="667"/>
      <c r="AC163" s="667"/>
      <c r="AD163" s="667"/>
      <c r="AE163" s="667"/>
      <c r="AF163" s="667"/>
      <c r="AG163" s="667"/>
      <c r="AH163" s="667"/>
      <c r="AI163" s="667"/>
      <c r="AJ163" s="667"/>
      <c r="AK163" s="667"/>
      <c r="AL163" s="667"/>
      <c r="AM163" s="667"/>
      <c r="AN163" s="667"/>
      <c r="AO163" s="667"/>
      <c r="AP163" s="667"/>
    </row>
    <row r="164" spans="2:42" x14ac:dyDescent="0.25">
      <c r="B164">
        <v>15</v>
      </c>
      <c r="C164" t="s">
        <v>153</v>
      </c>
      <c r="D164" t="s">
        <v>141</v>
      </c>
      <c r="E164" t="s">
        <v>116</v>
      </c>
      <c r="F164" s="58">
        <v>1.0196027E-6</v>
      </c>
      <c r="R164" s="667"/>
      <c r="S164" s="667"/>
      <c r="T164" s="667"/>
      <c r="U164" s="667"/>
      <c r="V164" s="667"/>
      <c r="W164" s="667"/>
      <c r="X164" s="667"/>
      <c r="Y164" s="667"/>
      <c r="Z164" s="667"/>
      <c r="AA164" s="667"/>
      <c r="AB164" s="667"/>
      <c r="AC164" s="667"/>
      <c r="AD164" s="667"/>
      <c r="AE164" s="667"/>
      <c r="AF164" s="667"/>
      <c r="AG164" s="667"/>
      <c r="AH164" s="667"/>
      <c r="AI164" s="667"/>
      <c r="AJ164" s="667"/>
      <c r="AK164" s="667"/>
      <c r="AL164" s="667"/>
      <c r="AM164" s="667"/>
      <c r="AN164" s="667"/>
      <c r="AO164" s="667"/>
      <c r="AP164" s="667"/>
    </row>
    <row r="165" spans="2:42" x14ac:dyDescent="0.25">
      <c r="B165">
        <v>16</v>
      </c>
      <c r="C165" t="s">
        <v>158</v>
      </c>
      <c r="D165" t="s">
        <v>141</v>
      </c>
      <c r="E165" t="s">
        <v>116</v>
      </c>
      <c r="F165" s="58">
        <v>9.5166091000000001E-7</v>
      </c>
      <c r="R165" s="667"/>
      <c r="S165" s="667"/>
      <c r="T165" s="667"/>
      <c r="U165" s="667"/>
      <c r="V165" s="667"/>
      <c r="W165" s="667"/>
      <c r="X165" s="667"/>
      <c r="Y165" s="667"/>
      <c r="Z165" s="667"/>
      <c r="AA165" s="667"/>
      <c r="AB165" s="667"/>
      <c r="AC165" s="667"/>
      <c r="AD165" s="667"/>
      <c r="AE165" s="667"/>
      <c r="AF165" s="667"/>
      <c r="AG165" s="667"/>
      <c r="AH165" s="667"/>
      <c r="AI165" s="667"/>
      <c r="AJ165" s="667"/>
      <c r="AK165" s="667"/>
      <c r="AL165" s="667"/>
      <c r="AM165" s="667"/>
      <c r="AN165" s="667"/>
      <c r="AO165" s="667"/>
      <c r="AP165" s="667"/>
    </row>
    <row r="166" spans="2:42" x14ac:dyDescent="0.25">
      <c r="B166">
        <v>17</v>
      </c>
      <c r="C166" t="s">
        <v>168</v>
      </c>
      <c r="D166" t="s">
        <v>141</v>
      </c>
      <c r="E166" t="s">
        <v>116</v>
      </c>
      <c r="F166" s="58">
        <v>5.9552413000000003E-7</v>
      </c>
      <c r="R166" s="667"/>
      <c r="S166" s="667"/>
      <c r="T166" s="667"/>
      <c r="U166" s="667"/>
      <c r="V166" s="667"/>
      <c r="W166" s="667"/>
      <c r="X166" s="667"/>
      <c r="Y166" s="667"/>
      <c r="Z166" s="667"/>
      <c r="AA166" s="667"/>
      <c r="AB166" s="667"/>
      <c r="AC166" s="667"/>
      <c r="AD166" s="667"/>
      <c r="AE166" s="667"/>
      <c r="AF166" s="667"/>
      <c r="AG166" s="667"/>
      <c r="AH166" s="667"/>
      <c r="AI166" s="667"/>
      <c r="AJ166" s="667"/>
      <c r="AK166" s="667"/>
      <c r="AL166" s="667"/>
      <c r="AM166" s="667"/>
      <c r="AN166" s="667"/>
      <c r="AO166" s="667"/>
      <c r="AP166" s="667"/>
    </row>
    <row r="167" spans="2:42" x14ac:dyDescent="0.25">
      <c r="B167">
        <v>18</v>
      </c>
      <c r="C167" t="s">
        <v>167</v>
      </c>
      <c r="D167" t="s">
        <v>141</v>
      </c>
      <c r="E167" t="s">
        <v>116</v>
      </c>
      <c r="F167" s="58">
        <v>4.8119022000000004E-7</v>
      </c>
      <c r="R167" s="667"/>
      <c r="S167" s="667"/>
      <c r="T167" s="667"/>
      <c r="U167" s="667"/>
      <c r="V167" s="667"/>
      <c r="W167" s="667"/>
      <c r="X167" s="667"/>
      <c r="Y167" s="667"/>
      <c r="Z167" s="667"/>
      <c r="AA167" s="667"/>
      <c r="AB167" s="667"/>
      <c r="AC167" s="667"/>
      <c r="AD167" s="667"/>
      <c r="AE167" s="667"/>
      <c r="AF167" s="667"/>
      <c r="AG167" s="667"/>
      <c r="AH167" s="667"/>
      <c r="AI167" s="667"/>
      <c r="AJ167" s="667"/>
      <c r="AK167" s="667"/>
      <c r="AL167" s="667"/>
      <c r="AM167" s="667"/>
      <c r="AN167" s="667"/>
      <c r="AO167" s="667"/>
      <c r="AP167" s="667"/>
    </row>
    <row r="168" spans="2:42" x14ac:dyDescent="0.25">
      <c r="B168">
        <v>19</v>
      </c>
      <c r="C168" t="s">
        <v>147</v>
      </c>
      <c r="D168" t="s">
        <v>141</v>
      </c>
      <c r="E168" t="s">
        <v>116</v>
      </c>
      <c r="F168" s="58">
        <v>4.5352905999999999E-7</v>
      </c>
      <c r="R168" s="667"/>
      <c r="S168" s="667"/>
      <c r="T168" s="667"/>
      <c r="U168" s="667"/>
      <c r="V168" s="667"/>
      <c r="W168" s="667"/>
      <c r="X168" s="667"/>
      <c r="Y168" s="667"/>
      <c r="Z168" s="667"/>
      <c r="AA168" s="667"/>
      <c r="AB168" s="667"/>
      <c r="AC168" s="667"/>
      <c r="AD168" s="667"/>
      <c r="AE168" s="667"/>
      <c r="AF168" s="667"/>
      <c r="AG168" s="667"/>
      <c r="AH168" s="667"/>
      <c r="AI168" s="667"/>
      <c r="AJ168" s="667"/>
      <c r="AK168" s="667"/>
      <c r="AL168" s="667"/>
      <c r="AM168" s="667"/>
      <c r="AN168" s="667"/>
      <c r="AO168" s="667"/>
      <c r="AP168" s="667"/>
    </row>
    <row r="169" spans="2:42" x14ac:dyDescent="0.25">
      <c r="B169">
        <v>20</v>
      </c>
      <c r="C169" t="s">
        <v>169</v>
      </c>
      <c r="D169" t="s">
        <v>141</v>
      </c>
      <c r="E169" t="s">
        <v>116</v>
      </c>
      <c r="F169" s="58">
        <v>2.9950791999999999E-7</v>
      </c>
      <c r="R169" s="667"/>
      <c r="S169" s="667"/>
      <c r="T169" s="667"/>
      <c r="U169" s="667"/>
      <c r="V169" s="667"/>
      <c r="W169" s="667"/>
      <c r="X169" s="667"/>
      <c r="Y169" s="667"/>
      <c r="Z169" s="667"/>
      <c r="AA169" s="667"/>
      <c r="AB169" s="667"/>
      <c r="AC169" s="667"/>
      <c r="AD169" s="667"/>
      <c r="AE169" s="667"/>
      <c r="AF169" s="667"/>
      <c r="AG169" s="667"/>
      <c r="AH169" s="667"/>
      <c r="AI169" s="667"/>
      <c r="AJ169" s="667"/>
      <c r="AK169" s="667"/>
      <c r="AL169" s="667"/>
      <c r="AM169" s="667"/>
      <c r="AN169" s="667"/>
      <c r="AO169" s="667"/>
      <c r="AP169" s="667"/>
    </row>
    <row r="170" spans="2:42" x14ac:dyDescent="0.25">
      <c r="B170">
        <v>21</v>
      </c>
      <c r="C170" t="s">
        <v>166</v>
      </c>
      <c r="D170" t="s">
        <v>141</v>
      </c>
      <c r="E170" t="s">
        <v>116</v>
      </c>
      <c r="F170" s="58">
        <v>2.9941879000000002E-7</v>
      </c>
      <c r="R170" s="667"/>
      <c r="S170" s="667"/>
      <c r="T170" s="667"/>
      <c r="U170" s="667"/>
      <c r="V170" s="667"/>
      <c r="W170" s="667"/>
      <c r="X170" s="667"/>
      <c r="Y170" s="667"/>
      <c r="Z170" s="667"/>
      <c r="AA170" s="667"/>
      <c r="AB170" s="667"/>
      <c r="AC170" s="667"/>
      <c r="AD170" s="667"/>
      <c r="AE170" s="667"/>
      <c r="AF170" s="667"/>
      <c r="AG170" s="667"/>
      <c r="AH170" s="667"/>
      <c r="AI170" s="667"/>
      <c r="AJ170" s="667"/>
      <c r="AK170" s="667"/>
      <c r="AL170" s="667"/>
      <c r="AM170" s="667"/>
      <c r="AN170" s="667"/>
      <c r="AO170" s="667"/>
      <c r="AP170" s="667"/>
    </row>
    <row r="171" spans="2:42" x14ac:dyDescent="0.25">
      <c r="B171">
        <v>22</v>
      </c>
      <c r="C171" t="s">
        <v>163</v>
      </c>
      <c r="D171" t="s">
        <v>141</v>
      </c>
      <c r="E171" t="s">
        <v>116</v>
      </c>
      <c r="F171" s="58">
        <v>2.0388193000000001E-7</v>
      </c>
      <c r="R171" s="667"/>
      <c r="S171" s="667"/>
      <c r="T171" s="667"/>
      <c r="U171" s="667"/>
      <c r="V171" s="667"/>
      <c r="W171" s="667"/>
      <c r="X171" s="667"/>
      <c r="Y171" s="667"/>
      <c r="Z171" s="667"/>
      <c r="AA171" s="667"/>
      <c r="AB171" s="667"/>
      <c r="AC171" s="667"/>
      <c r="AD171" s="667"/>
      <c r="AE171" s="667"/>
      <c r="AF171" s="667"/>
      <c r="AG171" s="667"/>
      <c r="AH171" s="667"/>
      <c r="AI171" s="667"/>
      <c r="AJ171" s="667"/>
      <c r="AK171" s="667"/>
      <c r="AL171" s="667"/>
      <c r="AM171" s="667"/>
      <c r="AN171" s="667"/>
      <c r="AO171" s="667"/>
      <c r="AP171" s="667"/>
    </row>
    <row r="172" spans="2:42" x14ac:dyDescent="0.25">
      <c r="B172">
        <v>23</v>
      </c>
      <c r="C172" t="s">
        <v>149</v>
      </c>
      <c r="D172" t="s">
        <v>141</v>
      </c>
      <c r="E172" t="s">
        <v>116</v>
      </c>
      <c r="F172" s="58">
        <v>1.0623414E-7</v>
      </c>
      <c r="R172" s="667"/>
      <c r="S172" s="667"/>
      <c r="T172" s="667"/>
      <c r="U172" s="667"/>
      <c r="V172" s="667"/>
      <c r="W172" s="667"/>
      <c r="X172" s="667"/>
      <c r="Y172" s="667"/>
      <c r="Z172" s="667"/>
      <c r="AA172" s="667"/>
      <c r="AB172" s="667"/>
      <c r="AC172" s="667"/>
      <c r="AD172" s="667"/>
      <c r="AE172" s="667"/>
      <c r="AF172" s="667"/>
      <c r="AG172" s="667"/>
      <c r="AH172" s="667"/>
      <c r="AI172" s="667"/>
      <c r="AJ172" s="667"/>
      <c r="AK172" s="667"/>
      <c r="AL172" s="667"/>
      <c r="AM172" s="667"/>
      <c r="AN172" s="667"/>
      <c r="AO172" s="667"/>
      <c r="AP172" s="667"/>
    </row>
    <row r="173" spans="2:42" x14ac:dyDescent="0.25">
      <c r="B173">
        <v>24</v>
      </c>
      <c r="C173" t="s">
        <v>164</v>
      </c>
      <c r="D173" t="s">
        <v>141</v>
      </c>
      <c r="E173" t="s">
        <v>116</v>
      </c>
      <c r="F173" s="58">
        <v>9.5243549999999998E-8</v>
      </c>
      <c r="R173" s="667"/>
      <c r="S173" s="667"/>
      <c r="T173" s="667"/>
      <c r="U173" s="667"/>
      <c r="V173" s="667"/>
      <c r="W173" s="667"/>
      <c r="X173" s="667"/>
      <c r="Y173" s="667"/>
      <c r="Z173" s="667"/>
      <c r="AA173" s="667"/>
      <c r="AB173" s="667"/>
      <c r="AC173" s="667"/>
      <c r="AD173" s="667"/>
      <c r="AE173" s="667"/>
      <c r="AF173" s="667"/>
      <c r="AG173" s="667"/>
      <c r="AH173" s="667"/>
      <c r="AI173" s="667"/>
      <c r="AJ173" s="667"/>
      <c r="AK173" s="667"/>
      <c r="AL173" s="667"/>
      <c r="AM173" s="667"/>
      <c r="AN173" s="667"/>
      <c r="AO173" s="667"/>
      <c r="AP173" s="667"/>
    </row>
    <row r="174" spans="2:42" x14ac:dyDescent="0.25">
      <c r="B174">
        <v>25</v>
      </c>
      <c r="C174" t="s">
        <v>151</v>
      </c>
      <c r="D174" t="s">
        <v>141</v>
      </c>
      <c r="E174" t="s">
        <v>116</v>
      </c>
      <c r="F174" s="58">
        <v>6.8214971000000006E-8</v>
      </c>
      <c r="R174" s="667"/>
      <c r="S174" s="667"/>
      <c r="T174" s="667"/>
      <c r="U174" s="667"/>
      <c r="V174" s="667"/>
      <c r="W174" s="667"/>
      <c r="X174" s="667"/>
      <c r="Y174" s="667"/>
      <c r="Z174" s="667"/>
      <c r="AA174" s="667"/>
      <c r="AB174" s="667"/>
      <c r="AC174" s="667"/>
      <c r="AD174" s="667"/>
      <c r="AE174" s="667"/>
      <c r="AF174" s="667"/>
      <c r="AG174" s="667"/>
      <c r="AH174" s="667"/>
      <c r="AI174" s="667"/>
      <c r="AJ174" s="667"/>
      <c r="AK174" s="667"/>
      <c r="AL174" s="667"/>
      <c r="AM174" s="667"/>
      <c r="AN174" s="667"/>
      <c r="AO174" s="667"/>
      <c r="AP174" s="667"/>
    </row>
    <row r="175" spans="2:42" x14ac:dyDescent="0.25">
      <c r="B175">
        <v>26</v>
      </c>
      <c r="C175" t="s">
        <v>172</v>
      </c>
      <c r="D175" t="s">
        <v>141</v>
      </c>
      <c r="E175" t="s">
        <v>116</v>
      </c>
      <c r="F175" s="58">
        <v>5.5853718999999998E-8</v>
      </c>
      <c r="R175" s="667"/>
      <c r="S175" s="667"/>
      <c r="T175" s="667"/>
      <c r="U175" s="667"/>
      <c r="V175" s="667"/>
      <c r="W175" s="667"/>
      <c r="X175" s="667"/>
      <c r="Y175" s="667"/>
      <c r="Z175" s="667"/>
      <c r="AA175" s="667"/>
      <c r="AB175" s="667"/>
      <c r="AC175" s="667"/>
      <c r="AD175" s="667"/>
      <c r="AE175" s="667"/>
      <c r="AF175" s="667"/>
      <c r="AG175" s="667"/>
      <c r="AH175" s="667"/>
      <c r="AI175" s="667"/>
      <c r="AJ175" s="667"/>
      <c r="AK175" s="667"/>
      <c r="AL175" s="667"/>
      <c r="AM175" s="667"/>
      <c r="AN175" s="667"/>
      <c r="AO175" s="667"/>
      <c r="AP175" s="667"/>
    </row>
    <row r="176" spans="2:42" x14ac:dyDescent="0.25">
      <c r="B176">
        <v>27</v>
      </c>
      <c r="C176" t="s">
        <v>185</v>
      </c>
      <c r="D176" t="s">
        <v>141</v>
      </c>
      <c r="E176" t="s">
        <v>116</v>
      </c>
      <c r="F176" s="58">
        <v>3.9387077000000002E-8</v>
      </c>
      <c r="R176" s="667"/>
      <c r="S176" s="667"/>
      <c r="T176" s="667"/>
      <c r="U176" s="667"/>
      <c r="V176" s="667"/>
      <c r="W176" s="667"/>
      <c r="X176" s="667"/>
      <c r="Y176" s="667"/>
      <c r="Z176" s="667"/>
      <c r="AA176" s="667"/>
      <c r="AB176" s="667"/>
      <c r="AC176" s="667"/>
      <c r="AD176" s="667"/>
      <c r="AE176" s="667"/>
      <c r="AF176" s="667"/>
      <c r="AG176" s="667"/>
      <c r="AH176" s="667"/>
      <c r="AI176" s="667"/>
      <c r="AJ176" s="667"/>
      <c r="AK176" s="667"/>
      <c r="AL176" s="667"/>
      <c r="AM176" s="667"/>
      <c r="AN176" s="667"/>
      <c r="AO176" s="667"/>
      <c r="AP176" s="667"/>
    </row>
    <row r="177" spans="2:42" x14ac:dyDescent="0.25">
      <c r="B177">
        <v>28</v>
      </c>
      <c r="C177" t="s">
        <v>159</v>
      </c>
      <c r="D177" t="s">
        <v>141</v>
      </c>
      <c r="E177" t="s">
        <v>116</v>
      </c>
      <c r="F177" s="58">
        <v>3.4809435000000001E-8</v>
      </c>
      <c r="R177" s="667"/>
      <c r="S177" s="667"/>
      <c r="T177" s="667"/>
      <c r="U177" s="667"/>
      <c r="V177" s="667"/>
      <c r="W177" s="667"/>
      <c r="X177" s="667"/>
      <c r="Y177" s="667"/>
      <c r="Z177" s="667"/>
      <c r="AA177" s="667"/>
      <c r="AB177" s="667"/>
      <c r="AC177" s="667"/>
      <c r="AD177" s="667"/>
      <c r="AE177" s="667"/>
      <c r="AF177" s="667"/>
      <c r="AG177" s="667"/>
      <c r="AH177" s="667"/>
      <c r="AI177" s="667"/>
      <c r="AJ177" s="667"/>
      <c r="AK177" s="667"/>
      <c r="AL177" s="667"/>
      <c r="AM177" s="667"/>
      <c r="AN177" s="667"/>
      <c r="AO177" s="667"/>
      <c r="AP177" s="667"/>
    </row>
    <row r="178" spans="2:42" x14ac:dyDescent="0.25">
      <c r="B178">
        <v>29</v>
      </c>
      <c r="C178" t="s">
        <v>181</v>
      </c>
      <c r="D178" t="s">
        <v>141</v>
      </c>
      <c r="E178" t="s">
        <v>116</v>
      </c>
      <c r="F178" s="58">
        <v>3.0276444999999999E-8</v>
      </c>
      <c r="R178" s="667"/>
      <c r="S178" s="667"/>
      <c r="T178" s="667"/>
      <c r="U178" s="667"/>
      <c r="V178" s="667"/>
      <c r="W178" s="667"/>
      <c r="X178" s="667"/>
      <c r="Y178" s="667"/>
      <c r="Z178" s="667"/>
      <c r="AA178" s="667"/>
      <c r="AB178" s="667"/>
      <c r="AC178" s="667"/>
      <c r="AD178" s="667"/>
      <c r="AE178" s="667"/>
      <c r="AF178" s="667"/>
      <c r="AG178" s="667"/>
      <c r="AH178" s="667"/>
      <c r="AI178" s="667"/>
      <c r="AJ178" s="667"/>
      <c r="AK178" s="667"/>
      <c r="AL178" s="667"/>
      <c r="AM178" s="667"/>
      <c r="AN178" s="667"/>
      <c r="AO178" s="667"/>
      <c r="AP178" s="667"/>
    </row>
    <row r="179" spans="2:42" x14ac:dyDescent="0.25">
      <c r="B179">
        <v>30</v>
      </c>
      <c r="C179" t="s">
        <v>165</v>
      </c>
      <c r="D179" t="s">
        <v>141</v>
      </c>
      <c r="E179" t="s">
        <v>116</v>
      </c>
      <c r="F179" s="58">
        <v>2.0299580000000002E-8</v>
      </c>
      <c r="R179" s="667"/>
      <c r="S179" s="667"/>
      <c r="T179" s="667"/>
      <c r="U179" s="667"/>
      <c r="V179" s="667"/>
      <c r="W179" s="667"/>
      <c r="X179" s="667"/>
      <c r="Y179" s="667"/>
      <c r="Z179" s="667"/>
      <c r="AA179" s="667"/>
      <c r="AB179" s="667"/>
      <c r="AC179" s="667"/>
      <c r="AD179" s="667"/>
      <c r="AE179" s="667"/>
      <c r="AF179" s="667"/>
      <c r="AG179" s="667"/>
      <c r="AH179" s="667"/>
      <c r="AI179" s="667"/>
      <c r="AJ179" s="667"/>
      <c r="AK179" s="667"/>
      <c r="AL179" s="667"/>
      <c r="AM179" s="667"/>
      <c r="AN179" s="667"/>
      <c r="AO179" s="667"/>
      <c r="AP179" s="667"/>
    </row>
    <row r="180" spans="2:42" x14ac:dyDescent="0.25">
      <c r="B180">
        <v>31</v>
      </c>
      <c r="C180" t="s">
        <v>171</v>
      </c>
      <c r="D180" t="s">
        <v>141</v>
      </c>
      <c r="E180" t="s">
        <v>116</v>
      </c>
      <c r="F180" s="58">
        <v>1.8468303000000001E-8</v>
      </c>
      <c r="R180" s="667"/>
      <c r="S180" s="667"/>
      <c r="T180" s="667"/>
      <c r="U180" s="667"/>
      <c r="V180" s="667"/>
      <c r="W180" s="667"/>
      <c r="X180" s="667"/>
      <c r="Y180" s="667"/>
      <c r="Z180" s="667"/>
      <c r="AA180" s="667"/>
      <c r="AB180" s="667"/>
      <c r="AC180" s="667"/>
      <c r="AD180" s="667"/>
      <c r="AE180" s="667"/>
      <c r="AF180" s="667"/>
      <c r="AG180" s="667"/>
      <c r="AH180" s="667"/>
      <c r="AI180" s="667"/>
      <c r="AJ180" s="667"/>
      <c r="AK180" s="667"/>
      <c r="AL180" s="667"/>
      <c r="AM180" s="667"/>
      <c r="AN180" s="667"/>
      <c r="AO180" s="667"/>
      <c r="AP180" s="667"/>
    </row>
    <row r="181" spans="2:42" x14ac:dyDescent="0.25">
      <c r="B181">
        <v>32</v>
      </c>
      <c r="C181" t="s">
        <v>173</v>
      </c>
      <c r="D181" t="s">
        <v>141</v>
      </c>
      <c r="E181" t="s">
        <v>116</v>
      </c>
      <c r="F181" s="58">
        <v>1.1369441000000001E-8</v>
      </c>
      <c r="R181" s="667"/>
      <c r="S181" s="667"/>
      <c r="T181" s="667"/>
      <c r="U181" s="667"/>
      <c r="V181" s="667"/>
      <c r="W181" s="667"/>
      <c r="X181" s="667"/>
      <c r="Y181" s="667"/>
      <c r="Z181" s="667"/>
      <c r="AA181" s="667"/>
      <c r="AB181" s="667"/>
      <c r="AC181" s="667"/>
      <c r="AD181" s="667"/>
      <c r="AE181" s="667"/>
      <c r="AF181" s="667"/>
      <c r="AG181" s="667"/>
      <c r="AH181" s="667"/>
      <c r="AI181" s="667"/>
      <c r="AJ181" s="667"/>
      <c r="AK181" s="667"/>
      <c r="AL181" s="667"/>
      <c r="AM181" s="667"/>
      <c r="AN181" s="667"/>
      <c r="AO181" s="667"/>
      <c r="AP181" s="667"/>
    </row>
    <row r="182" spans="2:42" x14ac:dyDescent="0.25">
      <c r="B182">
        <v>33</v>
      </c>
      <c r="C182" t="s">
        <v>180</v>
      </c>
      <c r="D182" t="s">
        <v>141</v>
      </c>
      <c r="E182" t="s">
        <v>116</v>
      </c>
      <c r="F182" s="58">
        <v>7.0045188000000002E-9</v>
      </c>
      <c r="R182" s="667"/>
      <c r="S182" s="667"/>
      <c r="T182" s="667"/>
      <c r="U182" s="667"/>
      <c r="V182" s="667"/>
      <c r="W182" s="667"/>
      <c r="X182" s="667"/>
      <c r="Y182" s="667"/>
      <c r="Z182" s="667"/>
      <c r="AA182" s="667"/>
      <c r="AB182" s="667"/>
      <c r="AC182" s="667"/>
      <c r="AD182" s="667"/>
      <c r="AE182" s="667"/>
      <c r="AF182" s="667"/>
      <c r="AG182" s="667"/>
      <c r="AH182" s="667"/>
      <c r="AI182" s="667"/>
      <c r="AJ182" s="667"/>
      <c r="AK182" s="667"/>
      <c r="AL182" s="667"/>
      <c r="AM182" s="667"/>
      <c r="AN182" s="667"/>
      <c r="AO182" s="667"/>
      <c r="AP182" s="667"/>
    </row>
    <row r="183" spans="2:42" x14ac:dyDescent="0.25">
      <c r="B183">
        <v>34</v>
      </c>
      <c r="C183" t="s">
        <v>179</v>
      </c>
      <c r="D183" t="s">
        <v>141</v>
      </c>
      <c r="E183" t="s">
        <v>116</v>
      </c>
      <c r="F183" s="58">
        <v>6.6348651000000004E-9</v>
      </c>
      <c r="R183" s="667"/>
      <c r="S183" s="667"/>
      <c r="T183" s="667"/>
      <c r="U183" s="667"/>
      <c r="V183" s="667"/>
      <c r="W183" s="667"/>
      <c r="X183" s="667"/>
      <c r="Y183" s="667"/>
      <c r="Z183" s="667"/>
      <c r="AA183" s="667"/>
      <c r="AB183" s="667"/>
      <c r="AC183" s="667"/>
      <c r="AD183" s="667"/>
      <c r="AE183" s="667"/>
      <c r="AF183" s="667"/>
      <c r="AG183" s="667"/>
      <c r="AH183" s="667"/>
      <c r="AI183" s="667"/>
      <c r="AJ183" s="667"/>
      <c r="AK183" s="667"/>
      <c r="AL183" s="667"/>
      <c r="AM183" s="667"/>
      <c r="AN183" s="667"/>
      <c r="AO183" s="667"/>
      <c r="AP183" s="667"/>
    </row>
    <row r="184" spans="2:42" x14ac:dyDescent="0.25">
      <c r="B184">
        <v>35</v>
      </c>
      <c r="C184" t="s">
        <v>170</v>
      </c>
      <c r="D184" t="s">
        <v>141</v>
      </c>
      <c r="E184" t="s">
        <v>116</v>
      </c>
      <c r="F184" s="58">
        <v>5.2166537000000001E-9</v>
      </c>
      <c r="R184" s="667"/>
      <c r="S184" s="667"/>
      <c r="T184" s="667"/>
      <c r="U184" s="667"/>
      <c r="V184" s="667"/>
      <c r="W184" s="667"/>
      <c r="X184" s="667"/>
      <c r="Y184" s="667"/>
      <c r="Z184" s="667"/>
      <c r="AA184" s="667"/>
      <c r="AB184" s="667"/>
      <c r="AC184" s="667"/>
      <c r="AD184" s="667"/>
      <c r="AE184" s="667"/>
      <c r="AF184" s="667"/>
      <c r="AG184" s="667"/>
      <c r="AH184" s="667"/>
      <c r="AI184" s="667"/>
      <c r="AJ184" s="667"/>
      <c r="AK184" s="667"/>
      <c r="AL184" s="667"/>
      <c r="AM184" s="667"/>
      <c r="AN184" s="667"/>
      <c r="AO184" s="667"/>
      <c r="AP184" s="667"/>
    </row>
    <row r="185" spans="2:42" x14ac:dyDescent="0.25">
      <c r="B185">
        <v>36</v>
      </c>
      <c r="C185" t="s">
        <v>160</v>
      </c>
      <c r="D185" t="s">
        <v>141</v>
      </c>
      <c r="E185" t="s">
        <v>116</v>
      </c>
      <c r="F185" s="58">
        <v>3.0527729000000001E-9</v>
      </c>
      <c r="R185" s="667"/>
      <c r="S185" s="667"/>
      <c r="T185" s="667"/>
      <c r="U185" s="667"/>
      <c r="V185" s="667"/>
      <c r="W185" s="667"/>
      <c r="X185" s="667"/>
      <c r="Y185" s="667"/>
      <c r="Z185" s="667"/>
      <c r="AA185" s="667"/>
      <c r="AB185" s="667"/>
      <c r="AC185" s="667"/>
      <c r="AD185" s="667"/>
      <c r="AE185" s="667"/>
      <c r="AF185" s="667"/>
      <c r="AG185" s="667"/>
      <c r="AH185" s="667"/>
      <c r="AI185" s="667"/>
      <c r="AJ185" s="667"/>
      <c r="AK185" s="667"/>
      <c r="AL185" s="667"/>
      <c r="AM185" s="667"/>
      <c r="AN185" s="667"/>
      <c r="AO185" s="667"/>
      <c r="AP185" s="667"/>
    </row>
    <row r="186" spans="2:42" x14ac:dyDescent="0.25">
      <c r="B186">
        <v>37</v>
      </c>
      <c r="C186" t="s">
        <v>176</v>
      </c>
      <c r="D186" t="s">
        <v>141</v>
      </c>
      <c r="E186" t="s">
        <v>116</v>
      </c>
      <c r="F186" s="58">
        <v>2.7875015999999998E-9</v>
      </c>
      <c r="R186" s="667"/>
      <c r="S186" s="667"/>
      <c r="T186" s="667"/>
      <c r="U186" s="667"/>
      <c r="V186" s="667"/>
      <c r="W186" s="667"/>
      <c r="X186" s="667"/>
      <c r="Y186" s="667"/>
      <c r="Z186" s="667"/>
      <c r="AA186" s="667"/>
      <c r="AB186" s="667"/>
      <c r="AC186" s="667"/>
      <c r="AD186" s="667"/>
      <c r="AE186" s="667"/>
      <c r="AF186" s="667"/>
      <c r="AG186" s="667"/>
      <c r="AH186" s="667"/>
      <c r="AI186" s="667"/>
      <c r="AJ186" s="667"/>
      <c r="AK186" s="667"/>
      <c r="AL186" s="667"/>
      <c r="AM186" s="667"/>
      <c r="AN186" s="667"/>
      <c r="AO186" s="667"/>
      <c r="AP186" s="667"/>
    </row>
    <row r="187" spans="2:42" x14ac:dyDescent="0.25">
      <c r="B187">
        <v>38</v>
      </c>
      <c r="C187" t="s">
        <v>178</v>
      </c>
      <c r="D187" t="s">
        <v>141</v>
      </c>
      <c r="E187" t="s">
        <v>116</v>
      </c>
      <c r="F187" s="58">
        <v>2.5749017E-9</v>
      </c>
      <c r="R187" s="667"/>
      <c r="S187" s="667"/>
      <c r="T187" s="667"/>
      <c r="U187" s="667"/>
      <c r="V187" s="667"/>
      <c r="W187" s="667"/>
      <c r="X187" s="667"/>
      <c r="Y187" s="667"/>
      <c r="Z187" s="667"/>
      <c r="AA187" s="667"/>
      <c r="AB187" s="667"/>
      <c r="AC187" s="667"/>
      <c r="AD187" s="667"/>
      <c r="AE187" s="667"/>
      <c r="AF187" s="667"/>
      <c r="AG187" s="667"/>
      <c r="AH187" s="667"/>
      <c r="AI187" s="667"/>
      <c r="AJ187" s="667"/>
      <c r="AK187" s="667"/>
      <c r="AL187" s="667"/>
      <c r="AM187" s="667"/>
      <c r="AN187" s="667"/>
      <c r="AO187" s="667"/>
      <c r="AP187" s="667"/>
    </row>
    <row r="188" spans="2:42" x14ac:dyDescent="0.25">
      <c r="B188">
        <v>39</v>
      </c>
      <c r="C188" t="s">
        <v>188</v>
      </c>
      <c r="D188" t="s">
        <v>141</v>
      </c>
      <c r="E188" t="s">
        <v>116</v>
      </c>
      <c r="F188" s="58">
        <v>8.5758438999999996E-10</v>
      </c>
      <c r="R188" s="667"/>
      <c r="S188" s="667"/>
      <c r="T188" s="667"/>
      <c r="U188" s="667"/>
      <c r="V188" s="667"/>
      <c r="W188" s="667"/>
      <c r="X188" s="667"/>
      <c r="Y188" s="667"/>
      <c r="Z188" s="667"/>
      <c r="AA188" s="667"/>
      <c r="AB188" s="667"/>
      <c r="AC188" s="667"/>
      <c r="AD188" s="667"/>
      <c r="AE188" s="667"/>
      <c r="AF188" s="667"/>
      <c r="AG188" s="667"/>
      <c r="AH188" s="667"/>
      <c r="AI188" s="667"/>
      <c r="AJ188" s="667"/>
      <c r="AK188" s="667"/>
      <c r="AL188" s="667"/>
      <c r="AM188" s="667"/>
      <c r="AN188" s="667"/>
      <c r="AO188" s="667"/>
      <c r="AP188" s="667"/>
    </row>
    <row r="189" spans="2:42" x14ac:dyDescent="0.25">
      <c r="B189">
        <v>40</v>
      </c>
      <c r="C189" t="s">
        <v>175</v>
      </c>
      <c r="D189" t="s">
        <v>141</v>
      </c>
      <c r="E189" t="s">
        <v>116</v>
      </c>
      <c r="F189" s="58">
        <v>8.1234576999999997E-10</v>
      </c>
      <c r="R189" s="667"/>
      <c r="S189" s="667"/>
      <c r="T189" s="667"/>
      <c r="U189" s="667"/>
      <c r="V189" s="667"/>
      <c r="W189" s="667"/>
      <c r="X189" s="667"/>
      <c r="Y189" s="667"/>
      <c r="Z189" s="667"/>
      <c r="AA189" s="667"/>
      <c r="AB189" s="667"/>
      <c r="AC189" s="667"/>
      <c r="AD189" s="667"/>
      <c r="AE189" s="667"/>
      <c r="AF189" s="667"/>
      <c r="AG189" s="667"/>
      <c r="AH189" s="667"/>
      <c r="AI189" s="667"/>
      <c r="AJ189" s="667"/>
      <c r="AK189" s="667"/>
      <c r="AL189" s="667"/>
      <c r="AM189" s="667"/>
      <c r="AN189" s="667"/>
      <c r="AO189" s="667"/>
      <c r="AP189" s="667"/>
    </row>
    <row r="190" spans="2:42" x14ac:dyDescent="0.25">
      <c r="B190">
        <v>41</v>
      </c>
      <c r="C190" t="s">
        <v>186</v>
      </c>
      <c r="D190" t="s">
        <v>141</v>
      </c>
      <c r="E190" t="s">
        <v>116</v>
      </c>
      <c r="F190" s="58">
        <v>7.4134582000000002E-10</v>
      </c>
      <c r="R190" s="667"/>
      <c r="S190" s="667"/>
      <c r="T190" s="667"/>
      <c r="U190" s="667"/>
      <c r="V190" s="667"/>
      <c r="W190" s="667"/>
      <c r="X190" s="667"/>
      <c r="Y190" s="667"/>
      <c r="Z190" s="667"/>
      <c r="AA190" s="667"/>
      <c r="AB190" s="667"/>
      <c r="AC190" s="667"/>
      <c r="AD190" s="667"/>
      <c r="AE190" s="667"/>
      <c r="AF190" s="667"/>
      <c r="AG190" s="667"/>
      <c r="AH190" s="667"/>
      <c r="AI190" s="667"/>
      <c r="AJ190" s="667"/>
      <c r="AK190" s="667"/>
      <c r="AL190" s="667"/>
      <c r="AM190" s="667"/>
      <c r="AN190" s="667"/>
      <c r="AO190" s="667"/>
      <c r="AP190" s="667"/>
    </row>
    <row r="191" spans="2:42" x14ac:dyDescent="0.25">
      <c r="B191">
        <v>42</v>
      </c>
      <c r="C191" t="s">
        <v>174</v>
      </c>
      <c r="D191" t="s">
        <v>141</v>
      </c>
      <c r="E191" t="s">
        <v>116</v>
      </c>
      <c r="F191" s="58">
        <v>6.4909755000000001E-10</v>
      </c>
      <c r="R191" s="667"/>
      <c r="S191" s="667"/>
      <c r="T191" s="667"/>
      <c r="U191" s="667"/>
      <c r="V191" s="667"/>
      <c r="W191" s="667"/>
      <c r="X191" s="667"/>
      <c r="Y191" s="667"/>
      <c r="Z191" s="667"/>
      <c r="AA191" s="667"/>
      <c r="AB191" s="667"/>
      <c r="AC191" s="667"/>
      <c r="AD191" s="667"/>
      <c r="AE191" s="667"/>
      <c r="AF191" s="667"/>
      <c r="AG191" s="667"/>
      <c r="AH191" s="667"/>
      <c r="AI191" s="667"/>
      <c r="AJ191" s="667"/>
      <c r="AK191" s="667"/>
      <c r="AL191" s="667"/>
      <c r="AM191" s="667"/>
      <c r="AN191" s="667"/>
      <c r="AO191" s="667"/>
      <c r="AP191" s="667"/>
    </row>
    <row r="192" spans="2:42" x14ac:dyDescent="0.25">
      <c r="B192">
        <v>43</v>
      </c>
      <c r="C192" t="s">
        <v>183</v>
      </c>
      <c r="D192" t="s">
        <v>141</v>
      </c>
      <c r="E192" t="s">
        <v>116</v>
      </c>
      <c r="F192" s="58">
        <v>5.4885214000000004E-10</v>
      </c>
      <c r="R192" s="667"/>
      <c r="S192" s="667"/>
      <c r="T192" s="667"/>
      <c r="U192" s="667"/>
      <c r="V192" s="667"/>
      <c r="W192" s="667"/>
      <c r="X192" s="667"/>
      <c r="Y192" s="667"/>
      <c r="Z192" s="667"/>
      <c r="AA192" s="667"/>
      <c r="AB192" s="667"/>
      <c r="AC192" s="667"/>
      <c r="AD192" s="667"/>
      <c r="AE192" s="667"/>
      <c r="AF192" s="667"/>
      <c r="AG192" s="667"/>
      <c r="AH192" s="667"/>
      <c r="AI192" s="667"/>
      <c r="AJ192" s="667"/>
      <c r="AK192" s="667"/>
      <c r="AL192" s="667"/>
      <c r="AM192" s="667"/>
      <c r="AN192" s="667"/>
      <c r="AO192" s="667"/>
      <c r="AP192" s="667"/>
    </row>
    <row r="193" spans="2:42" x14ac:dyDescent="0.25">
      <c r="B193">
        <v>44</v>
      </c>
      <c r="C193" t="s">
        <v>182</v>
      </c>
      <c r="D193" t="s">
        <v>141</v>
      </c>
      <c r="E193" t="s">
        <v>116</v>
      </c>
      <c r="F193" s="58">
        <v>5.2169066000000003E-10</v>
      </c>
      <c r="R193" s="667"/>
      <c r="S193" s="667"/>
      <c r="T193" s="667"/>
      <c r="U193" s="667"/>
      <c r="V193" s="667"/>
      <c r="W193" s="667"/>
      <c r="X193" s="667"/>
      <c r="Y193" s="667"/>
      <c r="Z193" s="667"/>
      <c r="AA193" s="667"/>
      <c r="AB193" s="667"/>
      <c r="AC193" s="667"/>
      <c r="AD193" s="667"/>
      <c r="AE193" s="667"/>
      <c r="AF193" s="667"/>
      <c r="AG193" s="667"/>
      <c r="AH193" s="667"/>
      <c r="AI193" s="667"/>
      <c r="AJ193" s="667"/>
      <c r="AK193" s="667"/>
      <c r="AL193" s="667"/>
      <c r="AM193" s="667"/>
      <c r="AN193" s="667"/>
      <c r="AO193" s="667"/>
      <c r="AP193" s="667"/>
    </row>
    <row r="194" spans="2:42" x14ac:dyDescent="0.25">
      <c r="B194">
        <v>45</v>
      </c>
      <c r="C194" t="s">
        <v>187</v>
      </c>
      <c r="D194" t="s">
        <v>141</v>
      </c>
      <c r="E194" t="s">
        <v>116</v>
      </c>
      <c r="F194" s="58">
        <v>4.6376363E-10</v>
      </c>
      <c r="R194" s="667"/>
      <c r="S194" s="667"/>
      <c r="T194" s="667"/>
      <c r="U194" s="667"/>
      <c r="V194" s="667"/>
      <c r="W194" s="667"/>
      <c r="X194" s="667"/>
      <c r="Y194" s="667"/>
      <c r="Z194" s="667"/>
      <c r="AA194" s="667"/>
      <c r="AB194" s="667"/>
      <c r="AC194" s="667"/>
      <c r="AD194" s="667"/>
      <c r="AE194" s="667"/>
      <c r="AF194" s="667"/>
      <c r="AG194" s="667"/>
      <c r="AH194" s="667"/>
      <c r="AI194" s="667"/>
      <c r="AJ194" s="667"/>
      <c r="AK194" s="667"/>
      <c r="AL194" s="667"/>
      <c r="AM194" s="667"/>
      <c r="AN194" s="667"/>
      <c r="AO194" s="667"/>
      <c r="AP194" s="667"/>
    </row>
    <row r="195" spans="2:42" x14ac:dyDescent="0.25">
      <c r="B195">
        <v>46</v>
      </c>
      <c r="C195" t="s">
        <v>203</v>
      </c>
      <c r="D195" t="s">
        <v>141</v>
      </c>
      <c r="E195" t="s">
        <v>116</v>
      </c>
      <c r="F195" s="58">
        <v>1.2380931000000001E-10</v>
      </c>
      <c r="R195" s="667"/>
      <c r="S195" s="667"/>
      <c r="T195" s="667"/>
      <c r="U195" s="667"/>
      <c r="V195" s="667"/>
      <c r="W195" s="667"/>
      <c r="X195" s="667"/>
      <c r="Y195" s="667"/>
      <c r="Z195" s="667"/>
      <c r="AA195" s="667"/>
      <c r="AB195" s="667"/>
      <c r="AC195" s="667"/>
      <c r="AD195" s="667"/>
      <c r="AE195" s="667"/>
      <c r="AF195" s="667"/>
      <c r="AG195" s="667"/>
      <c r="AH195" s="667"/>
      <c r="AI195" s="667"/>
      <c r="AJ195" s="667"/>
      <c r="AK195" s="667"/>
      <c r="AL195" s="667"/>
      <c r="AM195" s="667"/>
      <c r="AN195" s="667"/>
      <c r="AO195" s="667"/>
      <c r="AP195" s="667"/>
    </row>
    <row r="196" spans="2:42" x14ac:dyDescent="0.25">
      <c r="B196">
        <v>47</v>
      </c>
      <c r="C196" t="s">
        <v>197</v>
      </c>
      <c r="D196" t="s">
        <v>141</v>
      </c>
      <c r="E196" t="s">
        <v>116</v>
      </c>
      <c r="F196" s="58">
        <v>9.2992792000000003E-11</v>
      </c>
      <c r="R196" s="667"/>
      <c r="S196" s="667"/>
      <c r="T196" s="667"/>
      <c r="U196" s="667"/>
      <c r="V196" s="667"/>
      <c r="W196" s="667"/>
      <c r="X196" s="667"/>
      <c r="Y196" s="667"/>
      <c r="Z196" s="667"/>
      <c r="AA196" s="667"/>
      <c r="AB196" s="667"/>
      <c r="AC196" s="667"/>
      <c r="AD196" s="667"/>
      <c r="AE196" s="667"/>
      <c r="AF196" s="667"/>
      <c r="AG196" s="667"/>
      <c r="AH196" s="667"/>
      <c r="AI196" s="667"/>
      <c r="AJ196" s="667"/>
      <c r="AK196" s="667"/>
      <c r="AL196" s="667"/>
      <c r="AM196" s="667"/>
      <c r="AN196" s="667"/>
      <c r="AO196" s="667"/>
      <c r="AP196" s="667"/>
    </row>
    <row r="197" spans="2:42" x14ac:dyDescent="0.25">
      <c r="B197">
        <v>48</v>
      </c>
      <c r="C197" t="s">
        <v>196</v>
      </c>
      <c r="D197" t="s">
        <v>141</v>
      </c>
      <c r="E197" t="s">
        <v>116</v>
      </c>
      <c r="F197" s="58">
        <v>9.0864404000000006E-11</v>
      </c>
      <c r="R197" s="667"/>
      <c r="S197" s="667"/>
      <c r="T197" s="667"/>
      <c r="U197" s="667"/>
      <c r="V197" s="667"/>
      <c r="W197" s="667"/>
      <c r="X197" s="667"/>
      <c r="Y197" s="667"/>
      <c r="Z197" s="667"/>
      <c r="AA197" s="667"/>
      <c r="AB197" s="667"/>
      <c r="AC197" s="667"/>
      <c r="AD197" s="667"/>
      <c r="AE197" s="667"/>
      <c r="AF197" s="667"/>
      <c r="AG197" s="667"/>
      <c r="AH197" s="667"/>
      <c r="AI197" s="667"/>
      <c r="AJ197" s="667"/>
      <c r="AK197" s="667"/>
      <c r="AL197" s="667"/>
      <c r="AM197" s="667"/>
      <c r="AN197" s="667"/>
      <c r="AO197" s="667"/>
      <c r="AP197" s="667"/>
    </row>
    <row r="198" spans="2:42" x14ac:dyDescent="0.25">
      <c r="B198">
        <v>49</v>
      </c>
      <c r="C198" t="s">
        <v>198</v>
      </c>
      <c r="D198" t="s">
        <v>141</v>
      </c>
      <c r="E198" t="s">
        <v>116</v>
      </c>
      <c r="F198" s="58">
        <v>8.4968678000000004E-11</v>
      </c>
      <c r="R198" s="667"/>
      <c r="S198" s="667"/>
      <c r="T198" s="667"/>
      <c r="U198" s="667"/>
      <c r="V198" s="667"/>
      <c r="W198" s="667"/>
      <c r="X198" s="667"/>
      <c r="Y198" s="667"/>
      <c r="Z198" s="667"/>
      <c r="AA198" s="667"/>
      <c r="AB198" s="667"/>
      <c r="AC198" s="667"/>
      <c r="AD198" s="667"/>
      <c r="AE198" s="667"/>
      <c r="AF198" s="667"/>
      <c r="AG198" s="667"/>
      <c r="AH198" s="667"/>
      <c r="AI198" s="667"/>
      <c r="AJ198" s="667"/>
      <c r="AK198" s="667"/>
      <c r="AL198" s="667"/>
      <c r="AM198" s="667"/>
      <c r="AN198" s="667"/>
      <c r="AO198" s="667"/>
      <c r="AP198" s="667"/>
    </row>
    <row r="199" spans="2:42" x14ac:dyDescent="0.25">
      <c r="B199">
        <v>50</v>
      </c>
      <c r="C199" t="s">
        <v>177</v>
      </c>
      <c r="D199" t="s">
        <v>141</v>
      </c>
      <c r="E199" t="s">
        <v>116</v>
      </c>
      <c r="F199" s="58">
        <v>6.3610544000000004E-11</v>
      </c>
      <c r="R199" s="667"/>
      <c r="S199" s="667"/>
      <c r="T199" s="667"/>
      <c r="U199" s="667"/>
      <c r="V199" s="667"/>
      <c r="W199" s="667"/>
      <c r="X199" s="667"/>
      <c r="Y199" s="667"/>
      <c r="Z199" s="667"/>
      <c r="AA199" s="667"/>
      <c r="AB199" s="667"/>
      <c r="AC199" s="667"/>
      <c r="AD199" s="667"/>
      <c r="AE199" s="667"/>
      <c r="AF199" s="667"/>
      <c r="AG199" s="667"/>
      <c r="AH199" s="667"/>
      <c r="AI199" s="667"/>
      <c r="AJ199" s="667"/>
      <c r="AK199" s="667"/>
      <c r="AL199" s="667"/>
      <c r="AM199" s="667"/>
      <c r="AN199" s="667"/>
      <c r="AO199" s="667"/>
      <c r="AP199" s="667"/>
    </row>
    <row r="200" spans="2:42" x14ac:dyDescent="0.25">
      <c r="B200">
        <v>51</v>
      </c>
      <c r="C200" t="s">
        <v>192</v>
      </c>
      <c r="D200" t="s">
        <v>141</v>
      </c>
      <c r="E200" t="s">
        <v>116</v>
      </c>
      <c r="F200" s="58">
        <v>5.6190061999999999E-11</v>
      </c>
      <c r="R200" s="667"/>
      <c r="S200" s="667"/>
      <c r="T200" s="667"/>
      <c r="U200" s="667"/>
      <c r="V200" s="667"/>
      <c r="W200" s="667"/>
      <c r="X200" s="667"/>
      <c r="Y200" s="667"/>
      <c r="Z200" s="667"/>
      <c r="AA200" s="667"/>
      <c r="AB200" s="667"/>
      <c r="AC200" s="667"/>
      <c r="AD200" s="667"/>
      <c r="AE200" s="667"/>
      <c r="AF200" s="667"/>
      <c r="AG200" s="667"/>
      <c r="AH200" s="667"/>
      <c r="AI200" s="667"/>
      <c r="AJ200" s="667"/>
      <c r="AK200" s="667"/>
      <c r="AL200" s="667"/>
      <c r="AM200" s="667"/>
      <c r="AN200" s="667"/>
      <c r="AO200" s="667"/>
      <c r="AP200" s="667"/>
    </row>
    <row r="201" spans="2:42" x14ac:dyDescent="0.25">
      <c r="B201">
        <v>52</v>
      </c>
      <c r="C201" t="s">
        <v>190</v>
      </c>
      <c r="D201" t="s">
        <v>141</v>
      </c>
      <c r="E201" t="s">
        <v>116</v>
      </c>
      <c r="F201" s="58">
        <v>4.7535730000000002E-11</v>
      </c>
      <c r="R201" s="667"/>
      <c r="S201" s="667"/>
      <c r="T201" s="667"/>
      <c r="U201" s="667"/>
      <c r="V201" s="667"/>
      <c r="W201" s="667"/>
      <c r="X201" s="667"/>
      <c r="Y201" s="667"/>
      <c r="Z201" s="667"/>
      <c r="AA201" s="667"/>
      <c r="AB201" s="667"/>
      <c r="AC201" s="667"/>
      <c r="AD201" s="667"/>
      <c r="AE201" s="667"/>
      <c r="AF201" s="667"/>
      <c r="AG201" s="667"/>
      <c r="AH201" s="667"/>
      <c r="AI201" s="667"/>
      <c r="AJ201" s="667"/>
      <c r="AK201" s="667"/>
      <c r="AL201" s="667"/>
      <c r="AM201" s="667"/>
      <c r="AN201" s="667"/>
      <c r="AO201" s="667"/>
      <c r="AP201" s="667"/>
    </row>
    <row r="202" spans="2:42" x14ac:dyDescent="0.25">
      <c r="B202">
        <v>53</v>
      </c>
      <c r="C202" t="s">
        <v>200</v>
      </c>
      <c r="D202" t="s">
        <v>141</v>
      </c>
      <c r="E202" t="s">
        <v>116</v>
      </c>
      <c r="F202" s="58">
        <v>4.5679359000000002E-11</v>
      </c>
      <c r="R202" s="667"/>
      <c r="S202" s="667"/>
      <c r="T202" s="667"/>
      <c r="U202" s="667"/>
      <c r="V202" s="667"/>
      <c r="W202" s="667"/>
      <c r="X202" s="667"/>
      <c r="Y202" s="667"/>
      <c r="Z202" s="667"/>
      <c r="AA202" s="667"/>
      <c r="AB202" s="667"/>
      <c r="AC202" s="667"/>
      <c r="AD202" s="667"/>
      <c r="AE202" s="667"/>
      <c r="AF202" s="667"/>
      <c r="AG202" s="667"/>
      <c r="AH202" s="667"/>
      <c r="AI202" s="667"/>
      <c r="AJ202" s="667"/>
      <c r="AK202" s="667"/>
      <c r="AL202" s="667"/>
      <c r="AM202" s="667"/>
      <c r="AN202" s="667"/>
      <c r="AO202" s="667"/>
      <c r="AP202" s="667"/>
    </row>
    <row r="203" spans="2:42" x14ac:dyDescent="0.25">
      <c r="B203">
        <v>54</v>
      </c>
      <c r="C203" t="s">
        <v>210</v>
      </c>
      <c r="D203" t="s">
        <v>141</v>
      </c>
      <c r="E203" t="s">
        <v>116</v>
      </c>
      <c r="F203" s="58">
        <v>3.5127753000000001E-11</v>
      </c>
      <c r="R203" s="667"/>
      <c r="S203" s="667"/>
      <c r="T203" s="667"/>
      <c r="U203" s="667"/>
      <c r="V203" s="667"/>
      <c r="W203" s="667"/>
      <c r="X203" s="667"/>
      <c r="Y203" s="667"/>
      <c r="Z203" s="667"/>
      <c r="AA203" s="667"/>
      <c r="AB203" s="667"/>
      <c r="AC203" s="667"/>
      <c r="AD203" s="667"/>
      <c r="AE203" s="667"/>
      <c r="AF203" s="667"/>
      <c r="AG203" s="667"/>
      <c r="AH203" s="667"/>
      <c r="AI203" s="667"/>
      <c r="AJ203" s="667"/>
      <c r="AK203" s="667"/>
      <c r="AL203" s="667"/>
      <c r="AM203" s="667"/>
      <c r="AN203" s="667"/>
      <c r="AO203" s="667"/>
      <c r="AP203" s="667"/>
    </row>
    <row r="204" spans="2:42" x14ac:dyDescent="0.25">
      <c r="B204">
        <v>55</v>
      </c>
      <c r="C204" t="s">
        <v>195</v>
      </c>
      <c r="D204" t="s">
        <v>141</v>
      </c>
      <c r="E204" t="s">
        <v>116</v>
      </c>
      <c r="F204" s="58">
        <v>3.2552261E-11</v>
      </c>
      <c r="R204" s="667"/>
      <c r="S204" s="667"/>
      <c r="T204" s="667"/>
      <c r="U204" s="667"/>
      <c r="V204" s="667"/>
      <c r="W204" s="667"/>
      <c r="X204" s="667"/>
      <c r="Y204" s="667"/>
      <c r="Z204" s="667"/>
      <c r="AA204" s="667"/>
      <c r="AB204" s="667"/>
      <c r="AC204" s="667"/>
      <c r="AD204" s="667"/>
      <c r="AE204" s="667"/>
      <c r="AF204" s="667"/>
      <c r="AG204" s="667"/>
      <c r="AH204" s="667"/>
      <c r="AI204" s="667"/>
      <c r="AJ204" s="667"/>
      <c r="AK204" s="667"/>
      <c r="AL204" s="667"/>
      <c r="AM204" s="667"/>
      <c r="AN204" s="667"/>
      <c r="AO204" s="667"/>
      <c r="AP204" s="667"/>
    </row>
    <row r="205" spans="2:42" x14ac:dyDescent="0.25">
      <c r="B205">
        <v>56</v>
      </c>
      <c r="C205" t="s">
        <v>205</v>
      </c>
      <c r="D205" t="s">
        <v>141</v>
      </c>
      <c r="E205" t="s">
        <v>116</v>
      </c>
      <c r="F205" s="58">
        <v>2.3284703E-11</v>
      </c>
      <c r="R205" s="667"/>
      <c r="S205" s="667"/>
      <c r="T205" s="667"/>
      <c r="U205" s="667"/>
      <c r="V205" s="667"/>
      <c r="W205" s="667"/>
      <c r="X205" s="667"/>
      <c r="Y205" s="667"/>
      <c r="Z205" s="667"/>
      <c r="AA205" s="667"/>
      <c r="AB205" s="667"/>
      <c r="AC205" s="667"/>
      <c r="AD205" s="667"/>
      <c r="AE205" s="667"/>
      <c r="AF205" s="667"/>
      <c r="AG205" s="667"/>
      <c r="AH205" s="667"/>
      <c r="AI205" s="667"/>
      <c r="AJ205" s="667"/>
      <c r="AK205" s="667"/>
      <c r="AL205" s="667"/>
      <c r="AM205" s="667"/>
      <c r="AN205" s="667"/>
      <c r="AO205" s="667"/>
      <c r="AP205" s="667"/>
    </row>
    <row r="206" spans="2:42" x14ac:dyDescent="0.25">
      <c r="B206">
        <v>57</v>
      </c>
      <c r="C206" t="s">
        <v>202</v>
      </c>
      <c r="D206" t="s">
        <v>141</v>
      </c>
      <c r="E206" t="s">
        <v>116</v>
      </c>
      <c r="F206" s="58">
        <v>2.1034825000000001E-11</v>
      </c>
      <c r="R206" s="667"/>
      <c r="S206" s="667"/>
      <c r="T206" s="667"/>
      <c r="U206" s="667"/>
      <c r="V206" s="667"/>
      <c r="W206" s="667"/>
      <c r="X206" s="667"/>
      <c r="Y206" s="667"/>
      <c r="Z206" s="667"/>
      <c r="AA206" s="667"/>
      <c r="AB206" s="667"/>
      <c r="AC206" s="667"/>
      <c r="AD206" s="667"/>
      <c r="AE206" s="667"/>
      <c r="AF206" s="667"/>
      <c r="AG206" s="667"/>
      <c r="AH206" s="667"/>
      <c r="AI206" s="667"/>
      <c r="AJ206" s="667"/>
      <c r="AK206" s="667"/>
      <c r="AL206" s="667"/>
      <c r="AM206" s="667"/>
      <c r="AN206" s="667"/>
      <c r="AO206" s="667"/>
      <c r="AP206" s="667"/>
    </row>
    <row r="207" spans="2:42" x14ac:dyDescent="0.25">
      <c r="B207">
        <v>58</v>
      </c>
      <c r="C207" t="s">
        <v>204</v>
      </c>
      <c r="D207" t="s">
        <v>141</v>
      </c>
      <c r="E207" t="s">
        <v>116</v>
      </c>
      <c r="F207" s="58">
        <v>1.3472253E-11</v>
      </c>
      <c r="R207" s="667"/>
      <c r="S207" s="667"/>
      <c r="T207" s="667"/>
      <c r="U207" s="667"/>
      <c r="V207" s="667"/>
      <c r="W207" s="667"/>
      <c r="X207" s="667"/>
      <c r="Y207" s="667"/>
      <c r="Z207" s="667"/>
      <c r="AA207" s="667"/>
      <c r="AB207" s="667"/>
      <c r="AC207" s="667"/>
      <c r="AD207" s="667"/>
      <c r="AE207" s="667"/>
      <c r="AF207" s="667"/>
      <c r="AG207" s="667"/>
      <c r="AH207" s="667"/>
      <c r="AI207" s="667"/>
      <c r="AJ207" s="667"/>
      <c r="AK207" s="667"/>
      <c r="AL207" s="667"/>
      <c r="AM207" s="667"/>
      <c r="AN207" s="667"/>
      <c r="AO207" s="667"/>
      <c r="AP207" s="667"/>
    </row>
    <row r="208" spans="2:42" x14ac:dyDescent="0.25">
      <c r="B208">
        <v>59</v>
      </c>
      <c r="C208" t="s">
        <v>189</v>
      </c>
      <c r="D208" t="s">
        <v>141</v>
      </c>
      <c r="E208" t="s">
        <v>116</v>
      </c>
      <c r="F208" s="58">
        <v>9.4777807999999993E-12</v>
      </c>
      <c r="R208" s="667"/>
      <c r="S208" s="667"/>
      <c r="T208" s="667"/>
      <c r="U208" s="667"/>
      <c r="V208" s="667"/>
      <c r="W208" s="667"/>
      <c r="X208" s="667"/>
      <c r="Y208" s="667"/>
      <c r="Z208" s="667"/>
      <c r="AA208" s="667"/>
      <c r="AB208" s="667"/>
      <c r="AC208" s="667"/>
      <c r="AD208" s="667"/>
      <c r="AE208" s="667"/>
      <c r="AF208" s="667"/>
      <c r="AG208" s="667"/>
      <c r="AH208" s="667"/>
      <c r="AI208" s="667"/>
      <c r="AJ208" s="667"/>
      <c r="AK208" s="667"/>
      <c r="AL208" s="667"/>
      <c r="AM208" s="667"/>
      <c r="AN208" s="667"/>
      <c r="AO208" s="667"/>
      <c r="AP208" s="667"/>
    </row>
    <row r="209" spans="2:42" x14ac:dyDescent="0.25">
      <c r="B209">
        <v>60</v>
      </c>
      <c r="C209" t="s">
        <v>193</v>
      </c>
      <c r="D209" t="s">
        <v>141</v>
      </c>
      <c r="E209" t="s">
        <v>116</v>
      </c>
      <c r="F209" s="58">
        <v>8.8114574999999995E-12</v>
      </c>
      <c r="R209" s="667"/>
      <c r="S209" s="667"/>
      <c r="T209" s="667"/>
      <c r="U209" s="667"/>
      <c r="V209" s="667"/>
      <c r="W209" s="667"/>
      <c r="X209" s="667"/>
      <c r="Y209" s="667"/>
      <c r="Z209" s="667"/>
      <c r="AA209" s="667"/>
      <c r="AB209" s="667"/>
      <c r="AC209" s="667"/>
      <c r="AD209" s="667"/>
      <c r="AE209" s="667"/>
      <c r="AF209" s="667"/>
      <c r="AG209" s="667"/>
      <c r="AH209" s="667"/>
      <c r="AI209" s="667"/>
      <c r="AJ209" s="667"/>
      <c r="AK209" s="667"/>
      <c r="AL209" s="667"/>
      <c r="AM209" s="667"/>
      <c r="AN209" s="667"/>
      <c r="AO209" s="667"/>
      <c r="AP209" s="667"/>
    </row>
    <row r="210" spans="2:42" x14ac:dyDescent="0.25">
      <c r="B210">
        <v>61</v>
      </c>
      <c r="C210" t="s">
        <v>191</v>
      </c>
      <c r="D210" t="s">
        <v>141</v>
      </c>
      <c r="E210" t="s">
        <v>116</v>
      </c>
      <c r="F210" s="58">
        <v>8.6487300999999993E-12</v>
      </c>
      <c r="R210" s="667"/>
      <c r="S210" s="667"/>
      <c r="T210" s="667"/>
      <c r="U210" s="667"/>
      <c r="V210" s="667"/>
      <c r="W210" s="667"/>
      <c r="X210" s="667"/>
      <c r="Y210" s="667"/>
      <c r="Z210" s="667"/>
      <c r="AA210" s="667"/>
      <c r="AB210" s="667"/>
      <c r="AC210" s="667"/>
      <c r="AD210" s="667"/>
      <c r="AE210" s="667"/>
      <c r="AF210" s="667"/>
      <c r="AG210" s="667"/>
      <c r="AH210" s="667"/>
      <c r="AI210" s="667"/>
      <c r="AJ210" s="667"/>
      <c r="AK210" s="667"/>
      <c r="AL210" s="667"/>
      <c r="AM210" s="667"/>
      <c r="AN210" s="667"/>
      <c r="AO210" s="667"/>
      <c r="AP210" s="667"/>
    </row>
    <row r="211" spans="2:42" x14ac:dyDescent="0.25">
      <c r="B211">
        <v>62</v>
      </c>
      <c r="C211" t="s">
        <v>209</v>
      </c>
      <c r="D211" t="s">
        <v>141</v>
      </c>
      <c r="E211" t="s">
        <v>116</v>
      </c>
      <c r="F211" s="58">
        <v>6.4606477000000002E-12</v>
      </c>
      <c r="R211" s="667"/>
      <c r="S211" s="667"/>
      <c r="T211" s="667"/>
      <c r="U211" s="667"/>
      <c r="V211" s="667"/>
      <c r="W211" s="667"/>
      <c r="X211" s="667"/>
      <c r="Y211" s="667"/>
      <c r="Z211" s="667"/>
      <c r="AA211" s="667"/>
      <c r="AB211" s="667"/>
      <c r="AC211" s="667"/>
      <c r="AD211" s="667"/>
      <c r="AE211" s="667"/>
      <c r="AF211" s="667"/>
      <c r="AG211" s="667"/>
      <c r="AH211" s="667"/>
      <c r="AI211" s="667"/>
      <c r="AJ211" s="667"/>
      <c r="AK211" s="667"/>
      <c r="AL211" s="667"/>
      <c r="AM211" s="667"/>
      <c r="AN211" s="667"/>
      <c r="AO211" s="667"/>
      <c r="AP211" s="667"/>
    </row>
    <row r="212" spans="2:42" x14ac:dyDescent="0.25">
      <c r="B212">
        <v>63</v>
      </c>
      <c r="C212" t="s">
        <v>184</v>
      </c>
      <c r="D212" t="s">
        <v>141</v>
      </c>
      <c r="E212" t="s">
        <v>116</v>
      </c>
      <c r="F212" s="58">
        <v>6.3658944999999998E-12</v>
      </c>
      <c r="R212" s="667"/>
      <c r="S212" s="667"/>
      <c r="T212" s="667"/>
      <c r="U212" s="667"/>
      <c r="V212" s="667"/>
      <c r="W212" s="667"/>
      <c r="X212" s="667"/>
      <c r="Y212" s="667"/>
      <c r="Z212" s="667"/>
      <c r="AA212" s="667"/>
      <c r="AB212" s="667"/>
      <c r="AC212" s="667"/>
      <c r="AD212" s="667"/>
      <c r="AE212" s="667"/>
      <c r="AF212" s="667"/>
      <c r="AG212" s="667"/>
      <c r="AH212" s="667"/>
      <c r="AI212" s="667"/>
      <c r="AJ212" s="667"/>
      <c r="AK212" s="667"/>
      <c r="AL212" s="667"/>
      <c r="AM212" s="667"/>
      <c r="AN212" s="667"/>
      <c r="AO212" s="667"/>
      <c r="AP212" s="667"/>
    </row>
    <row r="213" spans="2:42" x14ac:dyDescent="0.25">
      <c r="B213">
        <v>64</v>
      </c>
      <c r="C213" t="s">
        <v>194</v>
      </c>
      <c r="D213" t="s">
        <v>141</v>
      </c>
      <c r="E213" t="s">
        <v>116</v>
      </c>
      <c r="F213" s="58">
        <v>5.9341976999999998E-12</v>
      </c>
      <c r="R213" s="667"/>
      <c r="S213" s="667"/>
      <c r="T213" s="667"/>
      <c r="U213" s="667"/>
      <c r="V213" s="667"/>
      <c r="W213" s="667"/>
      <c r="X213" s="667"/>
      <c r="Y213" s="667"/>
      <c r="Z213" s="667"/>
      <c r="AA213" s="667"/>
      <c r="AB213" s="667"/>
      <c r="AC213" s="667"/>
      <c r="AD213" s="667"/>
      <c r="AE213" s="667"/>
      <c r="AF213" s="667"/>
      <c r="AG213" s="667"/>
      <c r="AH213" s="667"/>
      <c r="AI213" s="667"/>
      <c r="AJ213" s="667"/>
      <c r="AK213" s="667"/>
      <c r="AL213" s="667"/>
      <c r="AM213" s="667"/>
      <c r="AN213" s="667"/>
      <c r="AO213" s="667"/>
      <c r="AP213" s="667"/>
    </row>
    <row r="214" spans="2:42" x14ac:dyDescent="0.25">
      <c r="B214">
        <v>65</v>
      </c>
      <c r="C214" t="s">
        <v>199</v>
      </c>
      <c r="D214" t="s">
        <v>141</v>
      </c>
      <c r="E214" t="s">
        <v>116</v>
      </c>
      <c r="F214" s="58">
        <v>4.6795143000000002E-12</v>
      </c>
      <c r="R214" s="667"/>
      <c r="S214" s="667"/>
      <c r="T214" s="667"/>
      <c r="U214" s="667"/>
      <c r="V214" s="667"/>
      <c r="W214" s="667"/>
      <c r="X214" s="667"/>
      <c r="Y214" s="667"/>
      <c r="Z214" s="667"/>
      <c r="AA214" s="667"/>
      <c r="AB214" s="667"/>
      <c r="AC214" s="667"/>
      <c r="AD214" s="667"/>
      <c r="AE214" s="667"/>
      <c r="AF214" s="667"/>
      <c r="AG214" s="667"/>
      <c r="AH214" s="667"/>
      <c r="AI214" s="667"/>
      <c r="AJ214" s="667"/>
      <c r="AK214" s="667"/>
      <c r="AL214" s="667"/>
      <c r="AM214" s="667"/>
      <c r="AN214" s="667"/>
      <c r="AO214" s="667"/>
      <c r="AP214" s="667"/>
    </row>
    <row r="215" spans="2:42" x14ac:dyDescent="0.25">
      <c r="B215">
        <v>66</v>
      </c>
      <c r="C215" t="s">
        <v>215</v>
      </c>
      <c r="D215" t="s">
        <v>141</v>
      </c>
      <c r="E215" t="s">
        <v>116</v>
      </c>
      <c r="F215" s="58">
        <v>4.2932544000000002E-12</v>
      </c>
      <c r="R215" s="667"/>
      <c r="S215" s="667"/>
      <c r="T215" s="667"/>
      <c r="U215" s="667"/>
      <c r="V215" s="667"/>
      <c r="W215" s="667"/>
      <c r="X215" s="667"/>
      <c r="Y215" s="667"/>
      <c r="Z215" s="667"/>
      <c r="AA215" s="667"/>
      <c r="AB215" s="667"/>
      <c r="AC215" s="667"/>
      <c r="AD215" s="667"/>
      <c r="AE215" s="667"/>
      <c r="AF215" s="667"/>
      <c r="AG215" s="667"/>
      <c r="AH215" s="667"/>
      <c r="AI215" s="667"/>
      <c r="AJ215" s="667"/>
      <c r="AK215" s="667"/>
      <c r="AL215" s="667"/>
      <c r="AM215" s="667"/>
      <c r="AN215" s="667"/>
      <c r="AO215" s="667"/>
      <c r="AP215" s="667"/>
    </row>
    <row r="216" spans="2:42" x14ac:dyDescent="0.25">
      <c r="B216">
        <v>67</v>
      </c>
      <c r="C216" t="s">
        <v>211</v>
      </c>
      <c r="D216" t="s">
        <v>141</v>
      </c>
      <c r="E216" t="s">
        <v>116</v>
      </c>
      <c r="F216" s="58">
        <v>2.7978342E-12</v>
      </c>
      <c r="R216" s="667"/>
      <c r="S216" s="667"/>
      <c r="T216" s="667"/>
      <c r="U216" s="667"/>
      <c r="V216" s="667"/>
      <c r="W216" s="667"/>
      <c r="X216" s="667"/>
      <c r="Y216" s="667"/>
      <c r="Z216" s="667"/>
      <c r="AA216" s="667"/>
      <c r="AB216" s="667"/>
      <c r="AC216" s="667"/>
      <c r="AD216" s="667"/>
      <c r="AE216" s="667"/>
      <c r="AF216" s="667"/>
      <c r="AG216" s="667"/>
      <c r="AH216" s="667"/>
      <c r="AI216" s="667"/>
      <c r="AJ216" s="667"/>
      <c r="AK216" s="667"/>
      <c r="AL216" s="667"/>
      <c r="AM216" s="667"/>
      <c r="AN216" s="667"/>
      <c r="AO216" s="667"/>
      <c r="AP216" s="667"/>
    </row>
    <row r="217" spans="2:42" x14ac:dyDescent="0.25">
      <c r="B217">
        <v>68</v>
      </c>
      <c r="C217" t="s">
        <v>213</v>
      </c>
      <c r="D217" t="s">
        <v>141</v>
      </c>
      <c r="E217" t="s">
        <v>116</v>
      </c>
      <c r="F217" s="58">
        <v>1.6584387E-12</v>
      </c>
      <c r="R217" s="667"/>
      <c r="S217" s="667"/>
      <c r="T217" s="667"/>
      <c r="U217" s="667"/>
      <c r="V217" s="667"/>
      <c r="W217" s="667"/>
      <c r="X217" s="667"/>
      <c r="Y217" s="667"/>
      <c r="Z217" s="667"/>
      <c r="AA217" s="667"/>
      <c r="AB217" s="667"/>
      <c r="AC217" s="667"/>
      <c r="AD217" s="667"/>
      <c r="AE217" s="667"/>
      <c r="AF217" s="667"/>
      <c r="AG217" s="667"/>
      <c r="AH217" s="667"/>
      <c r="AI217" s="667"/>
      <c r="AJ217" s="667"/>
      <c r="AK217" s="667"/>
      <c r="AL217" s="667"/>
      <c r="AM217" s="667"/>
      <c r="AN217" s="667"/>
      <c r="AO217" s="667"/>
      <c r="AP217" s="667"/>
    </row>
    <row r="218" spans="2:42" x14ac:dyDescent="0.25">
      <c r="B218">
        <v>69</v>
      </c>
      <c r="C218" t="s">
        <v>214</v>
      </c>
      <c r="D218" t="s">
        <v>141</v>
      </c>
      <c r="E218" t="s">
        <v>116</v>
      </c>
      <c r="F218" s="58">
        <v>9.3098498000000002E-13</v>
      </c>
      <c r="R218" s="667"/>
      <c r="S218" s="667"/>
      <c r="T218" s="667"/>
      <c r="U218" s="667"/>
      <c r="V218" s="667"/>
      <c r="W218" s="667"/>
      <c r="X218" s="667"/>
      <c r="Y218" s="667"/>
      <c r="Z218" s="667"/>
      <c r="AA218" s="667"/>
      <c r="AB218" s="667"/>
      <c r="AC218" s="667"/>
      <c r="AD218" s="667"/>
      <c r="AE218" s="667"/>
      <c r="AF218" s="667"/>
      <c r="AG218" s="667"/>
      <c r="AH218" s="667"/>
      <c r="AI218" s="667"/>
      <c r="AJ218" s="667"/>
      <c r="AK218" s="667"/>
      <c r="AL218" s="667"/>
      <c r="AM218" s="667"/>
      <c r="AN218" s="667"/>
      <c r="AO218" s="667"/>
      <c r="AP218" s="667"/>
    </row>
    <row r="219" spans="2:42" x14ac:dyDescent="0.25">
      <c r="B219">
        <v>70</v>
      </c>
      <c r="C219" t="s">
        <v>208</v>
      </c>
      <c r="D219" t="s">
        <v>141</v>
      </c>
      <c r="E219" t="s">
        <v>116</v>
      </c>
      <c r="F219" s="58">
        <v>9.111645700000001E-13</v>
      </c>
      <c r="R219" s="667"/>
      <c r="S219" s="667"/>
      <c r="T219" s="667"/>
      <c r="U219" s="667"/>
      <c r="V219" s="667"/>
      <c r="W219" s="667"/>
      <c r="X219" s="667"/>
      <c r="Y219" s="667"/>
      <c r="Z219" s="667"/>
      <c r="AA219" s="667"/>
      <c r="AB219" s="667"/>
      <c r="AC219" s="667"/>
      <c r="AD219" s="667"/>
      <c r="AE219" s="667"/>
      <c r="AF219" s="667"/>
      <c r="AG219" s="667"/>
      <c r="AH219" s="667"/>
      <c r="AI219" s="667"/>
      <c r="AJ219" s="667"/>
      <c r="AK219" s="667"/>
      <c r="AL219" s="667"/>
      <c r="AM219" s="667"/>
      <c r="AN219" s="667"/>
      <c r="AO219" s="667"/>
      <c r="AP219" s="667"/>
    </row>
    <row r="220" spans="2:42" x14ac:dyDescent="0.25">
      <c r="B220">
        <v>71</v>
      </c>
      <c r="C220" t="s">
        <v>216</v>
      </c>
      <c r="D220" t="s">
        <v>141</v>
      </c>
      <c r="E220" t="s">
        <v>116</v>
      </c>
      <c r="F220" s="58">
        <v>7.7660817999999996E-13</v>
      </c>
      <c r="R220" s="667"/>
      <c r="S220" s="667"/>
      <c r="T220" s="667"/>
      <c r="U220" s="667"/>
      <c r="V220" s="667"/>
      <c r="W220" s="667"/>
      <c r="X220" s="667"/>
      <c r="Y220" s="667"/>
      <c r="Z220" s="667"/>
      <c r="AA220" s="667"/>
      <c r="AB220" s="667"/>
      <c r="AC220" s="667"/>
      <c r="AD220" s="667"/>
      <c r="AE220" s="667"/>
      <c r="AF220" s="667"/>
      <c r="AG220" s="667"/>
      <c r="AH220" s="667"/>
      <c r="AI220" s="667"/>
      <c r="AJ220" s="667"/>
      <c r="AK220" s="667"/>
      <c r="AL220" s="667"/>
      <c r="AM220" s="667"/>
      <c r="AN220" s="667"/>
      <c r="AO220" s="667"/>
      <c r="AP220" s="667"/>
    </row>
    <row r="221" spans="2:42" x14ac:dyDescent="0.25">
      <c r="B221">
        <v>72</v>
      </c>
      <c r="C221" t="s">
        <v>212</v>
      </c>
      <c r="D221" t="s">
        <v>141</v>
      </c>
      <c r="E221" t="s">
        <v>116</v>
      </c>
      <c r="F221" s="58">
        <v>5.8410540999999998E-13</v>
      </c>
      <c r="R221" s="667"/>
      <c r="S221" s="667"/>
      <c r="T221" s="667"/>
      <c r="U221" s="667"/>
      <c r="V221" s="667"/>
      <c r="W221" s="667"/>
      <c r="X221" s="667"/>
      <c r="Y221" s="667"/>
      <c r="Z221" s="667"/>
      <c r="AA221" s="667"/>
      <c r="AB221" s="667"/>
      <c r="AC221" s="667"/>
      <c r="AD221" s="667"/>
      <c r="AE221" s="667"/>
      <c r="AF221" s="667"/>
      <c r="AG221" s="667"/>
      <c r="AH221" s="667"/>
      <c r="AI221" s="667"/>
      <c r="AJ221" s="667"/>
      <c r="AK221" s="667"/>
      <c r="AL221" s="667"/>
      <c r="AM221" s="667"/>
      <c r="AN221" s="667"/>
      <c r="AO221" s="667"/>
      <c r="AP221" s="667"/>
    </row>
    <row r="222" spans="2:42" x14ac:dyDescent="0.25">
      <c r="B222">
        <v>73</v>
      </c>
      <c r="C222" t="s">
        <v>218</v>
      </c>
      <c r="D222" t="s">
        <v>141</v>
      </c>
      <c r="E222" t="s">
        <v>116</v>
      </c>
      <c r="F222" s="58">
        <v>3.0504450999999999E-13</v>
      </c>
      <c r="R222" s="667"/>
      <c r="S222" s="667"/>
      <c r="T222" s="667"/>
      <c r="U222" s="667"/>
      <c r="V222" s="667"/>
      <c r="W222" s="667"/>
      <c r="X222" s="667"/>
      <c r="Y222" s="667"/>
      <c r="Z222" s="667"/>
      <c r="AA222" s="667"/>
      <c r="AB222" s="667"/>
      <c r="AC222" s="667"/>
      <c r="AD222" s="667"/>
      <c r="AE222" s="667"/>
      <c r="AF222" s="667"/>
      <c r="AG222" s="667"/>
      <c r="AH222" s="667"/>
      <c r="AI222" s="667"/>
      <c r="AJ222" s="667"/>
      <c r="AK222" s="667"/>
      <c r="AL222" s="667"/>
      <c r="AM222" s="667"/>
      <c r="AN222" s="667"/>
      <c r="AO222" s="667"/>
      <c r="AP222" s="667"/>
    </row>
    <row r="223" spans="2:42" x14ac:dyDescent="0.25">
      <c r="B223">
        <v>74</v>
      </c>
      <c r="C223" t="s">
        <v>220</v>
      </c>
      <c r="D223" t="s">
        <v>141</v>
      </c>
      <c r="E223" t="s">
        <v>116</v>
      </c>
      <c r="F223" s="58">
        <v>2.9532462999999998E-13</v>
      </c>
      <c r="R223" s="667"/>
      <c r="S223" s="667"/>
      <c r="T223" s="667"/>
      <c r="U223" s="667"/>
      <c r="V223" s="667"/>
      <c r="W223" s="667"/>
      <c r="X223" s="667"/>
      <c r="Y223" s="667"/>
      <c r="Z223" s="667"/>
      <c r="AA223" s="667"/>
      <c r="AB223" s="667"/>
      <c r="AC223" s="667"/>
      <c r="AD223" s="667"/>
      <c r="AE223" s="667"/>
      <c r="AF223" s="667"/>
      <c r="AG223" s="667"/>
      <c r="AH223" s="667"/>
      <c r="AI223" s="667"/>
      <c r="AJ223" s="667"/>
      <c r="AK223" s="667"/>
      <c r="AL223" s="667"/>
      <c r="AM223" s="667"/>
      <c r="AN223" s="667"/>
      <c r="AO223" s="667"/>
      <c r="AP223" s="667"/>
    </row>
    <row r="224" spans="2:42" x14ac:dyDescent="0.25">
      <c r="B224">
        <v>75</v>
      </c>
      <c r="C224" t="s">
        <v>221</v>
      </c>
      <c r="D224" t="s">
        <v>141</v>
      </c>
      <c r="E224" t="s">
        <v>116</v>
      </c>
      <c r="F224" s="58">
        <v>2.6985745000000002E-13</v>
      </c>
      <c r="R224" s="667"/>
      <c r="S224" s="667"/>
      <c r="T224" s="667"/>
      <c r="U224" s="667"/>
      <c r="V224" s="667"/>
      <c r="W224" s="667"/>
      <c r="X224" s="667"/>
      <c r="Y224" s="667"/>
      <c r="Z224" s="667"/>
      <c r="AA224" s="667"/>
      <c r="AB224" s="667"/>
      <c r="AC224" s="667"/>
      <c r="AD224" s="667"/>
      <c r="AE224" s="667"/>
      <c r="AF224" s="667"/>
      <c r="AG224" s="667"/>
      <c r="AH224" s="667"/>
      <c r="AI224" s="667"/>
      <c r="AJ224" s="667"/>
      <c r="AK224" s="667"/>
      <c r="AL224" s="667"/>
      <c r="AM224" s="667"/>
      <c r="AN224" s="667"/>
      <c r="AO224" s="667"/>
      <c r="AP224" s="667"/>
    </row>
    <row r="225" spans="2:42" x14ac:dyDescent="0.25">
      <c r="B225">
        <v>76</v>
      </c>
      <c r="C225" t="s">
        <v>201</v>
      </c>
      <c r="D225" t="s">
        <v>141</v>
      </c>
      <c r="E225" t="s">
        <v>116</v>
      </c>
      <c r="F225" s="58">
        <v>1.6216072000000001E-13</v>
      </c>
      <c r="R225" s="667"/>
      <c r="S225" s="667"/>
      <c r="T225" s="667"/>
      <c r="U225" s="667"/>
      <c r="V225" s="667"/>
      <c r="W225" s="667"/>
      <c r="X225" s="667"/>
      <c r="Y225" s="667"/>
      <c r="Z225" s="667"/>
      <c r="AA225" s="667"/>
      <c r="AB225" s="667"/>
      <c r="AC225" s="667"/>
      <c r="AD225" s="667"/>
      <c r="AE225" s="667"/>
      <c r="AF225" s="667"/>
      <c r="AG225" s="667"/>
      <c r="AH225" s="667"/>
      <c r="AI225" s="667"/>
      <c r="AJ225" s="667"/>
      <c r="AK225" s="667"/>
      <c r="AL225" s="667"/>
      <c r="AM225" s="667"/>
      <c r="AN225" s="667"/>
      <c r="AO225" s="667"/>
      <c r="AP225" s="667"/>
    </row>
    <row r="226" spans="2:42" x14ac:dyDescent="0.25">
      <c r="B226">
        <v>77</v>
      </c>
      <c r="C226" t="s">
        <v>206</v>
      </c>
      <c r="D226" t="s">
        <v>141</v>
      </c>
      <c r="E226" t="s">
        <v>116</v>
      </c>
      <c r="F226" s="58">
        <v>1.2441372999999999E-13</v>
      </c>
      <c r="R226" s="667"/>
      <c r="S226" s="667"/>
      <c r="T226" s="667"/>
      <c r="U226" s="667"/>
      <c r="V226" s="667"/>
      <c r="W226" s="667"/>
      <c r="X226" s="667"/>
      <c r="Y226" s="667"/>
      <c r="Z226" s="667"/>
      <c r="AA226" s="667"/>
      <c r="AB226" s="667"/>
      <c r="AC226" s="667"/>
      <c r="AD226" s="667"/>
      <c r="AE226" s="667"/>
      <c r="AF226" s="667"/>
      <c r="AG226" s="667"/>
      <c r="AH226" s="667"/>
      <c r="AI226" s="667"/>
      <c r="AJ226" s="667"/>
      <c r="AK226" s="667"/>
      <c r="AL226" s="667"/>
      <c r="AM226" s="667"/>
      <c r="AN226" s="667"/>
      <c r="AO226" s="667"/>
      <c r="AP226" s="667"/>
    </row>
    <row r="227" spans="2:42" x14ac:dyDescent="0.25">
      <c r="B227">
        <v>78</v>
      </c>
      <c r="C227" t="s">
        <v>217</v>
      </c>
      <c r="D227" t="s">
        <v>141</v>
      </c>
      <c r="E227" t="s">
        <v>116</v>
      </c>
      <c r="F227" s="58">
        <v>5.2226771000000003E-14</v>
      </c>
      <c r="R227" s="667"/>
      <c r="S227" s="667"/>
      <c r="T227" s="667"/>
      <c r="U227" s="667"/>
      <c r="V227" s="667"/>
      <c r="W227" s="667"/>
      <c r="X227" s="667"/>
      <c r="Y227" s="667"/>
      <c r="Z227" s="667"/>
      <c r="AA227" s="667"/>
      <c r="AB227" s="667"/>
      <c r="AC227" s="667"/>
      <c r="AD227" s="667"/>
      <c r="AE227" s="667"/>
      <c r="AF227" s="667"/>
      <c r="AG227" s="667"/>
      <c r="AH227" s="667"/>
      <c r="AI227" s="667"/>
      <c r="AJ227" s="667"/>
      <c r="AK227" s="667"/>
      <c r="AL227" s="667"/>
      <c r="AM227" s="667"/>
      <c r="AN227" s="667"/>
      <c r="AO227" s="667"/>
      <c r="AP227" s="667"/>
    </row>
    <row r="228" spans="2:42" x14ac:dyDescent="0.25">
      <c r="B228">
        <v>79</v>
      </c>
      <c r="C228" t="s">
        <v>207</v>
      </c>
      <c r="D228" t="s">
        <v>141</v>
      </c>
      <c r="E228" t="s">
        <v>116</v>
      </c>
      <c r="F228" s="58">
        <v>5.0728707000000001E-14</v>
      </c>
      <c r="R228" s="667"/>
      <c r="S228" s="667"/>
      <c r="T228" s="667"/>
      <c r="U228" s="667"/>
      <c r="V228" s="667"/>
      <c r="W228" s="667"/>
      <c r="X228" s="667"/>
      <c r="Y228" s="667"/>
      <c r="Z228" s="667"/>
      <c r="AA228" s="667"/>
      <c r="AB228" s="667"/>
      <c r="AC228" s="667"/>
      <c r="AD228" s="667"/>
      <c r="AE228" s="667"/>
      <c r="AF228" s="667"/>
      <c r="AG228" s="667"/>
      <c r="AH228" s="667"/>
      <c r="AI228" s="667"/>
      <c r="AJ228" s="667"/>
      <c r="AK228" s="667"/>
      <c r="AL228" s="667"/>
      <c r="AM228" s="667"/>
      <c r="AN228" s="667"/>
      <c r="AO228" s="667"/>
      <c r="AP228" s="667"/>
    </row>
    <row r="229" spans="2:42" x14ac:dyDescent="0.25">
      <c r="B229">
        <v>80</v>
      </c>
      <c r="C229" t="s">
        <v>223</v>
      </c>
      <c r="D229" t="s">
        <v>141</v>
      </c>
      <c r="E229" t="s">
        <v>116</v>
      </c>
      <c r="F229" s="58">
        <v>1.0917152000000001E-14</v>
      </c>
      <c r="R229" s="667"/>
      <c r="S229" s="667"/>
      <c r="T229" s="667"/>
      <c r="U229" s="667"/>
      <c r="V229" s="667"/>
      <c r="W229" s="667"/>
      <c r="X229" s="667"/>
      <c r="Y229" s="667"/>
      <c r="Z229" s="667"/>
      <c r="AA229" s="667"/>
      <c r="AB229" s="667"/>
      <c r="AC229" s="667"/>
      <c r="AD229" s="667"/>
      <c r="AE229" s="667"/>
      <c r="AF229" s="667"/>
      <c r="AG229" s="667"/>
      <c r="AH229" s="667"/>
      <c r="AI229" s="667"/>
      <c r="AJ229" s="667"/>
      <c r="AK229" s="667"/>
      <c r="AL229" s="667"/>
      <c r="AM229" s="667"/>
      <c r="AN229" s="667"/>
      <c r="AO229" s="667"/>
      <c r="AP229" s="667"/>
    </row>
    <row r="230" spans="2:42" x14ac:dyDescent="0.25">
      <c r="B230">
        <v>81</v>
      </c>
      <c r="C230" t="s">
        <v>227</v>
      </c>
      <c r="D230" t="s">
        <v>141</v>
      </c>
      <c r="E230" t="s">
        <v>116</v>
      </c>
      <c r="F230" s="58">
        <v>7.5747991000000001E-15</v>
      </c>
      <c r="R230" s="667"/>
      <c r="S230" s="667"/>
      <c r="T230" s="667"/>
      <c r="U230" s="667"/>
      <c r="V230" s="667"/>
      <c r="W230" s="667"/>
      <c r="X230" s="667"/>
      <c r="Y230" s="667"/>
      <c r="Z230" s="667"/>
      <c r="AA230" s="667"/>
      <c r="AB230" s="667"/>
      <c r="AC230" s="667"/>
      <c r="AD230" s="667"/>
      <c r="AE230" s="667"/>
      <c r="AF230" s="667"/>
      <c r="AG230" s="667"/>
      <c r="AH230" s="667"/>
      <c r="AI230" s="667"/>
      <c r="AJ230" s="667"/>
      <c r="AK230" s="667"/>
      <c r="AL230" s="667"/>
      <c r="AM230" s="667"/>
      <c r="AN230" s="667"/>
      <c r="AO230" s="667"/>
      <c r="AP230" s="667"/>
    </row>
    <row r="231" spans="2:42" x14ac:dyDescent="0.25">
      <c r="B231">
        <v>82</v>
      </c>
      <c r="C231" t="s">
        <v>226</v>
      </c>
      <c r="D231" t="s">
        <v>141</v>
      </c>
      <c r="E231" t="s">
        <v>116</v>
      </c>
      <c r="F231" s="58">
        <v>5.2829183999999998E-15</v>
      </c>
      <c r="R231" s="667"/>
      <c r="S231" s="667"/>
      <c r="T231" s="667"/>
      <c r="U231" s="667"/>
      <c r="V231" s="667"/>
      <c r="W231" s="667"/>
      <c r="X231" s="667"/>
      <c r="Y231" s="667"/>
      <c r="Z231" s="667"/>
      <c r="AA231" s="667"/>
      <c r="AB231" s="667"/>
      <c r="AC231" s="667"/>
      <c r="AD231" s="667"/>
      <c r="AE231" s="667"/>
      <c r="AF231" s="667"/>
      <c r="AG231" s="667"/>
      <c r="AH231" s="667"/>
      <c r="AI231" s="667"/>
      <c r="AJ231" s="667"/>
      <c r="AK231" s="667"/>
      <c r="AL231" s="667"/>
      <c r="AM231" s="667"/>
      <c r="AN231" s="667"/>
      <c r="AO231" s="667"/>
      <c r="AP231" s="667"/>
    </row>
    <row r="232" spans="2:42" x14ac:dyDescent="0.25">
      <c r="B232">
        <v>83</v>
      </c>
      <c r="C232" t="s">
        <v>219</v>
      </c>
      <c r="D232" t="s">
        <v>141</v>
      </c>
      <c r="E232" t="s">
        <v>116</v>
      </c>
      <c r="F232" s="58">
        <v>3.4985797000000002E-15</v>
      </c>
      <c r="R232" s="667"/>
      <c r="S232" s="667"/>
      <c r="T232" s="667"/>
      <c r="U232" s="667"/>
      <c r="V232" s="667"/>
      <c r="W232" s="667"/>
      <c r="X232" s="667"/>
      <c r="Y232" s="667"/>
      <c r="Z232" s="667"/>
      <c r="AA232" s="667"/>
      <c r="AB232" s="667"/>
      <c r="AC232" s="667"/>
      <c r="AD232" s="667"/>
      <c r="AE232" s="667"/>
      <c r="AF232" s="667"/>
      <c r="AG232" s="667"/>
      <c r="AH232" s="667"/>
      <c r="AI232" s="667"/>
      <c r="AJ232" s="667"/>
      <c r="AK232" s="667"/>
      <c r="AL232" s="667"/>
      <c r="AM232" s="667"/>
      <c r="AN232" s="667"/>
      <c r="AO232" s="667"/>
      <c r="AP232" s="667"/>
    </row>
    <row r="233" spans="2:42" x14ac:dyDescent="0.25">
      <c r="B233">
        <v>84</v>
      </c>
      <c r="C233" t="s">
        <v>229</v>
      </c>
      <c r="D233" t="s">
        <v>141</v>
      </c>
      <c r="E233" t="s">
        <v>116</v>
      </c>
      <c r="F233" s="58">
        <v>1.6407223999999999E-15</v>
      </c>
      <c r="R233" s="667"/>
      <c r="S233" s="667"/>
      <c r="T233" s="667"/>
      <c r="U233" s="667"/>
      <c r="V233" s="667"/>
      <c r="W233" s="667"/>
      <c r="X233" s="667"/>
      <c r="Y233" s="667"/>
      <c r="Z233" s="667"/>
      <c r="AA233" s="667"/>
      <c r="AB233" s="667"/>
      <c r="AC233" s="667"/>
      <c r="AD233" s="667"/>
      <c r="AE233" s="667"/>
      <c r="AF233" s="667"/>
      <c r="AG233" s="667"/>
      <c r="AH233" s="667"/>
      <c r="AI233" s="667"/>
      <c r="AJ233" s="667"/>
      <c r="AK233" s="667"/>
      <c r="AL233" s="667"/>
      <c r="AM233" s="667"/>
      <c r="AN233" s="667"/>
      <c r="AO233" s="667"/>
      <c r="AP233" s="667"/>
    </row>
    <row r="234" spans="2:42" x14ac:dyDescent="0.25">
      <c r="B234">
        <v>85</v>
      </c>
      <c r="C234" t="s">
        <v>225</v>
      </c>
      <c r="D234" t="s">
        <v>141</v>
      </c>
      <c r="E234" t="s">
        <v>116</v>
      </c>
      <c r="F234" s="58">
        <v>1.285907E-15</v>
      </c>
      <c r="R234" s="667"/>
      <c r="S234" s="667"/>
      <c r="T234" s="667"/>
      <c r="U234" s="667"/>
      <c r="V234" s="667"/>
      <c r="W234" s="667"/>
      <c r="X234" s="667"/>
      <c r="Y234" s="667"/>
      <c r="Z234" s="667"/>
      <c r="AA234" s="667"/>
      <c r="AB234" s="667"/>
      <c r="AC234" s="667"/>
      <c r="AD234" s="667"/>
      <c r="AE234" s="667"/>
      <c r="AF234" s="667"/>
      <c r="AG234" s="667"/>
      <c r="AH234" s="667"/>
      <c r="AI234" s="667"/>
      <c r="AJ234" s="667"/>
      <c r="AK234" s="667"/>
      <c r="AL234" s="667"/>
      <c r="AM234" s="667"/>
      <c r="AN234" s="667"/>
      <c r="AO234" s="667"/>
      <c r="AP234" s="667"/>
    </row>
    <row r="235" spans="2:42" x14ac:dyDescent="0.25">
      <c r="B235">
        <v>86</v>
      </c>
      <c r="C235" t="s">
        <v>222</v>
      </c>
      <c r="D235" t="s">
        <v>141</v>
      </c>
      <c r="E235" t="s">
        <v>116</v>
      </c>
      <c r="F235" s="58">
        <v>1.1164493999999999E-15</v>
      </c>
      <c r="R235" s="667"/>
      <c r="S235" s="667"/>
      <c r="T235" s="667"/>
      <c r="U235" s="667"/>
      <c r="V235" s="667"/>
      <c r="W235" s="667"/>
      <c r="X235" s="667"/>
      <c r="Y235" s="667"/>
      <c r="Z235" s="667"/>
      <c r="AA235" s="667"/>
      <c r="AB235" s="667"/>
      <c r="AC235" s="667"/>
      <c r="AD235" s="667"/>
      <c r="AE235" s="667"/>
      <c r="AF235" s="667"/>
      <c r="AG235" s="667"/>
      <c r="AH235" s="667"/>
      <c r="AI235" s="667"/>
      <c r="AJ235" s="667"/>
      <c r="AK235" s="667"/>
      <c r="AL235" s="667"/>
      <c r="AM235" s="667"/>
      <c r="AN235" s="667"/>
      <c r="AO235" s="667"/>
      <c r="AP235" s="667"/>
    </row>
    <row r="236" spans="2:42" x14ac:dyDescent="0.25">
      <c r="B236">
        <v>87</v>
      </c>
      <c r="C236" t="s">
        <v>228</v>
      </c>
      <c r="D236" t="s">
        <v>141</v>
      </c>
      <c r="E236" t="s">
        <v>116</v>
      </c>
      <c r="F236" s="58">
        <v>8.3197740000000004E-16</v>
      </c>
      <c r="R236" s="667"/>
      <c r="S236" s="667"/>
      <c r="T236" s="667"/>
      <c r="U236" s="667"/>
      <c r="V236" s="667"/>
      <c r="W236" s="667"/>
      <c r="X236" s="667"/>
      <c r="Y236" s="667"/>
      <c r="Z236" s="667"/>
      <c r="AA236" s="667"/>
      <c r="AB236" s="667"/>
      <c r="AC236" s="667"/>
      <c r="AD236" s="667"/>
      <c r="AE236" s="667"/>
      <c r="AF236" s="667"/>
      <c r="AG236" s="667"/>
      <c r="AH236" s="667"/>
      <c r="AI236" s="667"/>
      <c r="AJ236" s="667"/>
      <c r="AK236" s="667"/>
      <c r="AL236" s="667"/>
      <c r="AM236" s="667"/>
      <c r="AN236" s="667"/>
      <c r="AO236" s="667"/>
      <c r="AP236" s="667"/>
    </row>
    <row r="237" spans="2:42" x14ac:dyDescent="0.25">
      <c r="B237">
        <v>88</v>
      </c>
      <c r="C237" t="s">
        <v>224</v>
      </c>
      <c r="D237" t="s">
        <v>141</v>
      </c>
      <c r="E237" t="s">
        <v>116</v>
      </c>
      <c r="F237" s="58">
        <v>1.9588402000000001E-16</v>
      </c>
      <c r="R237" s="667"/>
      <c r="S237" s="667"/>
      <c r="T237" s="667"/>
      <c r="U237" s="667"/>
      <c r="V237" s="667"/>
      <c r="W237" s="667"/>
      <c r="X237" s="667"/>
      <c r="Y237" s="667"/>
      <c r="Z237" s="667"/>
      <c r="AA237" s="667"/>
      <c r="AB237" s="667"/>
      <c r="AC237" s="667"/>
      <c r="AD237" s="667"/>
      <c r="AE237" s="667"/>
      <c r="AF237" s="667"/>
      <c r="AG237" s="667"/>
      <c r="AH237" s="667"/>
      <c r="AI237" s="667"/>
      <c r="AJ237" s="667"/>
      <c r="AK237" s="667"/>
      <c r="AL237" s="667"/>
      <c r="AM237" s="667"/>
      <c r="AN237" s="667"/>
      <c r="AO237" s="667"/>
      <c r="AP237" s="667"/>
    </row>
    <row r="238" spans="2:42" x14ac:dyDescent="0.25">
      <c r="B238">
        <v>89</v>
      </c>
      <c r="C238" t="s">
        <v>230</v>
      </c>
      <c r="D238" t="s">
        <v>141</v>
      </c>
      <c r="E238" t="s">
        <v>116</v>
      </c>
      <c r="F238" s="58">
        <v>1.4402683E-20</v>
      </c>
      <c r="R238" s="667"/>
      <c r="S238" s="667"/>
      <c r="T238" s="667"/>
      <c r="U238" s="667"/>
      <c r="V238" s="667"/>
      <c r="W238" s="667"/>
      <c r="X238" s="667"/>
      <c r="Y238" s="667"/>
      <c r="Z238" s="667"/>
      <c r="AA238" s="667"/>
      <c r="AB238" s="667"/>
      <c r="AC238" s="667"/>
      <c r="AD238" s="667"/>
      <c r="AE238" s="667"/>
      <c r="AF238" s="667"/>
      <c r="AG238" s="667"/>
      <c r="AH238" s="667"/>
      <c r="AI238" s="667"/>
      <c r="AJ238" s="667"/>
      <c r="AK238" s="667"/>
      <c r="AL238" s="667"/>
      <c r="AM238" s="667"/>
      <c r="AN238" s="667"/>
      <c r="AO238" s="667"/>
      <c r="AP238" s="667"/>
    </row>
    <row r="239" spans="2:42" x14ac:dyDescent="0.25">
      <c r="B239">
        <v>90</v>
      </c>
      <c r="C239" t="s">
        <v>231</v>
      </c>
      <c r="D239" t="s">
        <v>141</v>
      </c>
      <c r="E239" t="s">
        <v>116</v>
      </c>
      <c r="F239" s="58">
        <v>1.2592615E-20</v>
      </c>
      <c r="R239" s="667"/>
      <c r="S239" s="667"/>
      <c r="T239" s="667"/>
      <c r="U239" s="667"/>
      <c r="V239" s="667"/>
      <c r="W239" s="667"/>
      <c r="X239" s="667"/>
      <c r="Y239" s="667"/>
      <c r="Z239" s="667"/>
      <c r="AA239" s="667"/>
      <c r="AB239" s="667"/>
      <c r="AC239" s="667"/>
      <c r="AD239" s="667"/>
      <c r="AE239" s="667"/>
      <c r="AF239" s="667"/>
      <c r="AG239" s="667"/>
      <c r="AH239" s="667"/>
      <c r="AI239" s="667"/>
      <c r="AJ239" s="667"/>
      <c r="AK239" s="667"/>
      <c r="AL239" s="667"/>
      <c r="AM239" s="667"/>
      <c r="AN239" s="667"/>
      <c r="AO239" s="667"/>
      <c r="AP239" s="667"/>
    </row>
    <row r="240" spans="2:42" x14ac:dyDescent="0.25">
      <c r="B240">
        <v>91</v>
      </c>
      <c r="C240" t="s">
        <v>232</v>
      </c>
      <c r="D240" t="s">
        <v>233</v>
      </c>
      <c r="E240" t="s">
        <v>116</v>
      </c>
      <c r="F240" s="58">
        <v>-3.4954872999999999E-5</v>
      </c>
      <c r="R240" s="667"/>
      <c r="S240" s="667"/>
      <c r="T240" s="667"/>
      <c r="U240" s="667"/>
      <c r="V240" s="667"/>
      <c r="W240" s="667"/>
      <c r="X240" s="667"/>
      <c r="Y240" s="667"/>
      <c r="Z240" s="667"/>
      <c r="AA240" s="667"/>
      <c r="AB240" s="667"/>
      <c r="AC240" s="667"/>
      <c r="AD240" s="667"/>
      <c r="AE240" s="667"/>
      <c r="AF240" s="667"/>
      <c r="AG240" s="667"/>
      <c r="AH240" s="667"/>
      <c r="AI240" s="667"/>
      <c r="AJ240" s="667"/>
      <c r="AK240" s="667"/>
      <c r="AL240" s="667"/>
      <c r="AM240" s="667"/>
      <c r="AN240" s="667"/>
      <c r="AO240" s="667"/>
      <c r="AP240" s="667"/>
    </row>
    <row r="241" spans="2:42" x14ac:dyDescent="0.25">
      <c r="R241" s="667"/>
      <c r="S241" s="667"/>
      <c r="T241" s="667"/>
      <c r="U241" s="667"/>
      <c r="V241" s="667"/>
      <c r="W241" s="667"/>
      <c r="X241" s="667"/>
      <c r="Y241" s="667"/>
      <c r="Z241" s="667"/>
      <c r="AA241" s="667"/>
      <c r="AB241" s="667"/>
      <c r="AC241" s="667"/>
      <c r="AD241" s="667"/>
      <c r="AE241" s="667"/>
      <c r="AF241" s="667"/>
      <c r="AG241" s="667"/>
      <c r="AH241" s="667"/>
      <c r="AI241" s="667"/>
      <c r="AJ241" s="667"/>
      <c r="AK241" s="667"/>
      <c r="AL241" s="667"/>
      <c r="AM241" s="667"/>
      <c r="AN241" s="667"/>
      <c r="AO241" s="667"/>
      <c r="AP241" s="667"/>
    </row>
    <row r="242" spans="2:42" x14ac:dyDescent="0.25">
      <c r="R242" s="667"/>
      <c r="S242" s="667"/>
      <c r="T242" s="667"/>
      <c r="U242" s="667"/>
      <c r="V242" s="667"/>
      <c r="W242" s="667"/>
      <c r="X242" s="667"/>
      <c r="Y242" s="667"/>
      <c r="Z242" s="667"/>
      <c r="AA242" s="667"/>
      <c r="AB242" s="667"/>
      <c r="AC242" s="667"/>
      <c r="AD242" s="667"/>
      <c r="AE242" s="667"/>
      <c r="AF242" s="667"/>
      <c r="AG242" s="667"/>
      <c r="AH242" s="667"/>
      <c r="AI242" s="667"/>
      <c r="AJ242" s="667"/>
      <c r="AK242" s="667"/>
      <c r="AL242" s="667"/>
      <c r="AM242" s="667"/>
      <c r="AN242" s="667"/>
      <c r="AO242" s="667"/>
      <c r="AP242" s="667"/>
    </row>
    <row r="243" spans="2:42" x14ac:dyDescent="0.25">
      <c r="B243" s="669" t="s">
        <v>810</v>
      </c>
      <c r="C243" s="668"/>
      <c r="D243" s="668"/>
      <c r="E243" s="668"/>
      <c r="F243" s="668"/>
      <c r="G243" s="668"/>
      <c r="H243" s="668"/>
      <c r="I243" s="668"/>
      <c r="J243" s="668"/>
      <c r="K243" s="668"/>
      <c r="L243" s="668"/>
      <c r="M243" s="668"/>
      <c r="R243" s="667"/>
      <c r="S243" s="667"/>
      <c r="T243" s="667"/>
      <c r="U243" s="667"/>
      <c r="V243" s="667"/>
      <c r="W243" s="667"/>
      <c r="X243" s="667"/>
      <c r="Y243" s="667"/>
      <c r="Z243" s="667"/>
      <c r="AA243" s="667"/>
      <c r="AB243" s="667"/>
      <c r="AC243" s="667"/>
      <c r="AD243" s="667"/>
      <c r="AE243" s="667"/>
      <c r="AF243" s="667"/>
      <c r="AG243" s="667"/>
      <c r="AH243" s="667"/>
      <c r="AI243" s="667"/>
      <c r="AJ243" s="667"/>
      <c r="AK243" s="667"/>
      <c r="AL243" s="667"/>
      <c r="AM243" s="667"/>
      <c r="AN243" s="667"/>
      <c r="AO243" s="667"/>
      <c r="AP243" s="667"/>
    </row>
    <row r="244" spans="2:42" x14ac:dyDescent="0.25">
      <c r="R244" s="667"/>
      <c r="S244" s="667"/>
      <c r="T244" s="667"/>
      <c r="U244" s="667"/>
      <c r="V244" s="667"/>
      <c r="W244" s="667"/>
      <c r="X244" s="667"/>
      <c r="Y244" s="667"/>
      <c r="Z244" s="667"/>
      <c r="AA244" s="667"/>
      <c r="AB244" s="667"/>
      <c r="AC244" s="667"/>
      <c r="AD244" s="667"/>
      <c r="AE244" s="667"/>
      <c r="AF244" s="667"/>
      <c r="AG244" s="667"/>
      <c r="AH244" s="667"/>
      <c r="AI244" s="667"/>
      <c r="AJ244" s="667"/>
      <c r="AK244" s="667"/>
      <c r="AL244" s="667"/>
      <c r="AM244" s="667"/>
      <c r="AN244" s="667"/>
      <c r="AO244" s="667"/>
      <c r="AP244" s="667"/>
    </row>
    <row r="245" spans="2:42" x14ac:dyDescent="0.25">
      <c r="G245" s="26"/>
      <c r="H245" s="26"/>
      <c r="Z245" s="667"/>
      <c r="AA245" s="667"/>
      <c r="AB245" s="667"/>
      <c r="AC245" s="667"/>
      <c r="AD245" s="667"/>
      <c r="AE245" s="667"/>
      <c r="AF245" s="667"/>
      <c r="AG245" s="667"/>
      <c r="AH245" s="667"/>
      <c r="AI245" s="667"/>
      <c r="AJ245" s="667"/>
      <c r="AK245" s="667"/>
      <c r="AL245" s="667"/>
      <c r="AM245" s="667"/>
      <c r="AN245" s="667"/>
      <c r="AO245" s="667"/>
      <c r="AP245" s="667"/>
    </row>
    <row r="246" spans="2:42" x14ac:dyDescent="0.25">
      <c r="B246" t="s">
        <v>105</v>
      </c>
      <c r="C246" t="s">
        <v>106</v>
      </c>
      <c r="G246" s="26"/>
      <c r="H246" s="26"/>
      <c r="Z246" s="667"/>
      <c r="AA246" s="667"/>
      <c r="AB246" s="667"/>
      <c r="AC246" s="667"/>
      <c r="AD246" s="667"/>
      <c r="AE246" s="667"/>
      <c r="AF246" s="667"/>
      <c r="AG246" s="667"/>
      <c r="AH246" s="667"/>
      <c r="AI246" s="667"/>
      <c r="AJ246" s="667"/>
      <c r="AK246" s="667"/>
      <c r="AL246" s="667"/>
      <c r="AM246" s="667"/>
      <c r="AN246" s="667"/>
      <c r="AO246" s="667"/>
      <c r="AP246" s="667"/>
    </row>
    <row r="247" spans="2:42" x14ac:dyDescent="0.25">
      <c r="B247" t="s">
        <v>107</v>
      </c>
      <c r="C247" t="s">
        <v>108</v>
      </c>
      <c r="G247" s="26"/>
      <c r="H247" s="26"/>
      <c r="Z247" s="667"/>
      <c r="AA247" s="667"/>
      <c r="AB247" s="667"/>
      <c r="AC247" s="667"/>
      <c r="AD247" s="667"/>
      <c r="AE247" s="667"/>
      <c r="AF247" s="667"/>
      <c r="AG247" s="667"/>
      <c r="AH247" s="667"/>
      <c r="AI247" s="667"/>
      <c r="AJ247" s="667"/>
      <c r="AK247" s="667"/>
      <c r="AL247" s="667"/>
      <c r="AM247" s="667"/>
      <c r="AN247" s="667"/>
      <c r="AO247" s="667"/>
      <c r="AP247" s="667"/>
    </row>
    <row r="248" spans="2:42" x14ac:dyDescent="0.25">
      <c r="B248" s="40" t="s">
        <v>109</v>
      </c>
      <c r="C248" s="40" t="s">
        <v>110</v>
      </c>
      <c r="D248" s="40"/>
      <c r="E248" s="40"/>
      <c r="F248" s="40"/>
      <c r="G248" s="40"/>
      <c r="H248" s="40"/>
      <c r="I248" s="40"/>
      <c r="J248" s="40"/>
      <c r="K248" s="40"/>
      <c r="L248" s="40"/>
      <c r="M248" s="40"/>
      <c r="N248" s="40"/>
      <c r="O248" s="40"/>
      <c r="P248" s="40"/>
      <c r="Q248" s="40"/>
      <c r="R248" s="40"/>
      <c r="S248" s="40"/>
      <c r="Z248" s="667"/>
      <c r="AA248" s="667"/>
      <c r="AB248" s="667"/>
      <c r="AC248" s="667"/>
      <c r="AD248" s="667"/>
      <c r="AE248" s="667"/>
      <c r="AF248" s="667"/>
      <c r="AG248" s="667"/>
      <c r="AH248" s="667"/>
      <c r="AI248" s="667"/>
      <c r="AJ248" s="667"/>
      <c r="AK248" s="667"/>
      <c r="AL248" s="667"/>
      <c r="AM248" s="667"/>
      <c r="AN248" s="667"/>
      <c r="AO248" s="667"/>
      <c r="AP248" s="667"/>
    </row>
    <row r="249" spans="2:42" x14ac:dyDescent="0.25">
      <c r="B249" t="s">
        <v>111</v>
      </c>
      <c r="C249" t="s">
        <v>112</v>
      </c>
      <c r="G249" s="26"/>
      <c r="H249" s="26"/>
      <c r="Z249" s="667"/>
      <c r="AA249" s="667"/>
      <c r="AB249" s="667"/>
      <c r="AC249" s="667"/>
      <c r="AD249" s="667"/>
      <c r="AE249" s="667"/>
      <c r="AF249" s="667"/>
      <c r="AG249" s="667"/>
      <c r="AH249" s="667"/>
      <c r="AI249" s="667"/>
      <c r="AJ249" s="667"/>
      <c r="AK249" s="667"/>
      <c r="AL249" s="667"/>
      <c r="AM249" s="667"/>
      <c r="AN249" s="667"/>
      <c r="AO249" s="667"/>
      <c r="AP249" s="667"/>
    </row>
    <row r="250" spans="2:42" ht="15.75" thickBot="1" x14ac:dyDescent="0.3">
      <c r="B250" t="s">
        <v>113</v>
      </c>
      <c r="C250" t="s">
        <v>114</v>
      </c>
      <c r="G250" s="26"/>
      <c r="H250" s="26"/>
      <c r="Z250" s="667"/>
      <c r="AA250" s="667"/>
      <c r="AB250" s="667"/>
      <c r="AC250" s="667"/>
      <c r="AD250" s="667"/>
      <c r="AE250" s="667"/>
      <c r="AF250" s="667"/>
      <c r="AG250" s="667"/>
      <c r="AH250" s="667"/>
      <c r="AI250" s="667"/>
      <c r="AJ250" s="667"/>
      <c r="AK250" s="667"/>
      <c r="AL250" s="667"/>
      <c r="AM250" s="667"/>
      <c r="AN250" s="667"/>
      <c r="AO250" s="667"/>
      <c r="AP250" s="667"/>
    </row>
    <row r="251" spans="2:42" x14ac:dyDescent="0.25">
      <c r="B251" t="s">
        <v>115</v>
      </c>
      <c r="C251" t="s">
        <v>116</v>
      </c>
      <c r="G251" s="55" t="s">
        <v>236</v>
      </c>
      <c r="H251" s="48"/>
      <c r="I251" s="48"/>
      <c r="J251" s="49"/>
      <c r="Z251" s="667"/>
      <c r="AA251" s="667"/>
      <c r="AB251" s="667"/>
      <c r="AC251" s="667"/>
      <c r="AD251" s="667"/>
      <c r="AE251" s="667"/>
      <c r="AF251" s="667"/>
      <c r="AG251" s="667"/>
      <c r="AH251" s="667"/>
      <c r="AI251" s="667"/>
      <c r="AJ251" s="667"/>
      <c r="AK251" s="667"/>
      <c r="AL251" s="667"/>
      <c r="AM251" s="667"/>
      <c r="AN251" s="667"/>
      <c r="AO251" s="667"/>
      <c r="AP251" s="667"/>
    </row>
    <row r="252" spans="2:42" x14ac:dyDescent="0.25">
      <c r="B252" t="s">
        <v>117</v>
      </c>
      <c r="C252" t="s">
        <v>118</v>
      </c>
      <c r="G252" s="47" t="s">
        <v>234</v>
      </c>
      <c r="H252" s="28">
        <v>23</v>
      </c>
      <c r="I252" s="28" t="s">
        <v>235</v>
      </c>
      <c r="J252" s="43"/>
      <c r="Z252" s="667"/>
      <c r="AA252" s="667"/>
      <c r="AB252" s="667"/>
      <c r="AC252" s="667"/>
      <c r="AD252" s="667"/>
      <c r="AE252" s="667"/>
      <c r="AF252" s="667"/>
      <c r="AG252" s="667"/>
      <c r="AH252" s="667"/>
      <c r="AI252" s="667"/>
      <c r="AJ252" s="667"/>
      <c r="AK252" s="667"/>
      <c r="AL252" s="667"/>
      <c r="AM252" s="667"/>
      <c r="AN252" s="667"/>
      <c r="AO252" s="667"/>
      <c r="AP252" s="667"/>
    </row>
    <row r="253" spans="2:42" x14ac:dyDescent="0.25">
      <c r="B253" s="40" t="s">
        <v>119</v>
      </c>
      <c r="C253" s="40" t="s">
        <v>120</v>
      </c>
      <c r="G253" s="47" t="s">
        <v>237</v>
      </c>
      <c r="H253" s="28">
        <v>296</v>
      </c>
      <c r="I253" s="28" t="s">
        <v>235</v>
      </c>
      <c r="J253" s="43"/>
      <c r="Z253" s="667"/>
      <c r="AA253" s="667"/>
      <c r="AB253" s="667"/>
      <c r="AC253" s="667"/>
      <c r="AD253" s="667"/>
      <c r="AE253" s="667"/>
      <c r="AF253" s="667"/>
      <c r="AG253" s="667"/>
      <c r="AH253" s="667"/>
      <c r="AI253" s="667"/>
      <c r="AJ253" s="667"/>
      <c r="AK253" s="667"/>
      <c r="AL253" s="667"/>
      <c r="AM253" s="667"/>
      <c r="AN253" s="667"/>
      <c r="AO253" s="667"/>
      <c r="AP253" s="667"/>
    </row>
    <row r="254" spans="2:42" ht="15.75" thickBot="1" x14ac:dyDescent="0.3">
      <c r="B254" t="s">
        <v>121</v>
      </c>
      <c r="C254" s="41">
        <v>0</v>
      </c>
      <c r="G254" s="59" t="s">
        <v>238</v>
      </c>
      <c r="H254" s="45">
        <v>1</v>
      </c>
      <c r="I254" s="45" t="s">
        <v>235</v>
      </c>
      <c r="J254" s="46"/>
      <c r="Z254" s="667"/>
      <c r="AA254" s="667"/>
      <c r="AB254" s="667"/>
      <c r="AC254" s="667"/>
      <c r="AD254" s="667"/>
      <c r="AE254" s="667"/>
      <c r="AF254" s="667"/>
      <c r="AG254" s="667"/>
      <c r="AH254" s="667"/>
      <c r="AI254" s="667"/>
      <c r="AJ254" s="667"/>
      <c r="AK254" s="667"/>
      <c r="AL254" s="667"/>
      <c r="AM254" s="667"/>
      <c r="AN254" s="667"/>
      <c r="AO254" s="667"/>
      <c r="AP254" s="667"/>
    </row>
    <row r="255" spans="2:42" x14ac:dyDescent="0.25">
      <c r="B255" t="s">
        <v>122</v>
      </c>
      <c r="C255" t="s">
        <v>123</v>
      </c>
      <c r="G255" s="74" t="s">
        <v>248</v>
      </c>
      <c r="H255" s="75">
        <v>0.18859999999999999</v>
      </c>
      <c r="I255" s="76" t="s">
        <v>249</v>
      </c>
      <c r="J255" s="77" t="s">
        <v>250</v>
      </c>
      <c r="Z255" s="667"/>
      <c r="AA255" s="667"/>
      <c r="AB255" s="667"/>
      <c r="AC255" s="667"/>
      <c r="AD255" s="667"/>
      <c r="AE255" s="667"/>
      <c r="AF255" s="667"/>
      <c r="AG255" s="667"/>
      <c r="AH255" s="667"/>
      <c r="AI255" s="667"/>
      <c r="AJ255" s="667"/>
      <c r="AK255" s="667"/>
      <c r="AL255" s="667"/>
      <c r="AM255" s="667"/>
      <c r="AN255" s="667"/>
      <c r="AO255" s="667"/>
      <c r="AP255" s="667"/>
    </row>
    <row r="256" spans="2:42" ht="15.75" thickBot="1" x14ac:dyDescent="0.3">
      <c r="B256" t="s">
        <v>124</v>
      </c>
      <c r="C256" t="s">
        <v>123</v>
      </c>
      <c r="G256" s="26"/>
      <c r="H256" s="26"/>
      <c r="Z256" s="667"/>
      <c r="AA256" s="667"/>
      <c r="AB256" s="667"/>
      <c r="AC256" s="667"/>
      <c r="AD256" s="667"/>
      <c r="AE256" s="667"/>
      <c r="AF256" s="667"/>
      <c r="AG256" s="667"/>
      <c r="AH256" s="667"/>
      <c r="AI256" s="667"/>
      <c r="AJ256" s="667"/>
      <c r="AK256" s="667"/>
      <c r="AL256" s="667"/>
      <c r="AM256" s="667"/>
      <c r="AN256" s="667"/>
      <c r="AO256" s="667"/>
      <c r="AP256" s="667"/>
    </row>
    <row r="257" spans="2:42" x14ac:dyDescent="0.25">
      <c r="B257" t="s">
        <v>125</v>
      </c>
      <c r="C257" t="s">
        <v>126</v>
      </c>
      <c r="G257" s="26"/>
      <c r="H257" s="26"/>
      <c r="L257" s="26"/>
      <c r="M257" s="26"/>
      <c r="N257" s="26"/>
      <c r="O257" s="55" t="s">
        <v>2</v>
      </c>
      <c r="P257" s="63" t="s">
        <v>126</v>
      </c>
      <c r="Z257" s="667"/>
      <c r="AA257" s="667"/>
      <c r="AB257" s="667"/>
      <c r="AC257" s="667"/>
      <c r="AD257" s="667"/>
      <c r="AE257" s="667"/>
      <c r="AF257" s="667"/>
      <c r="AG257" s="667"/>
      <c r="AH257" s="667"/>
      <c r="AI257" s="667"/>
      <c r="AJ257" s="667"/>
      <c r="AK257" s="667"/>
      <c r="AL257" s="667"/>
      <c r="AM257" s="667"/>
      <c r="AN257" s="667"/>
      <c r="AO257" s="667"/>
      <c r="AP257" s="667"/>
    </row>
    <row r="258" spans="2:42" ht="15.75" thickBot="1" x14ac:dyDescent="0.3">
      <c r="B258" t="s">
        <v>127</v>
      </c>
      <c r="C258" t="s">
        <v>128</v>
      </c>
      <c r="G258" s="26"/>
      <c r="H258" s="26"/>
      <c r="L258" s="40" t="s">
        <v>247</v>
      </c>
      <c r="M258" s="50" t="s">
        <v>251</v>
      </c>
      <c r="N258" s="40">
        <v>1.6800000000000001E-3</v>
      </c>
      <c r="O258" s="67" t="s">
        <v>253</v>
      </c>
      <c r="P258" s="71">
        <f>N258/H255</f>
        <v>8.9077412513255579E-3</v>
      </c>
      <c r="Z258" s="667"/>
      <c r="AA258" s="667"/>
      <c r="AB258" s="667"/>
      <c r="AC258" s="667"/>
      <c r="AD258" s="667"/>
      <c r="AE258" s="667"/>
      <c r="AF258" s="667"/>
      <c r="AG258" s="667"/>
      <c r="AH258" s="667"/>
      <c r="AI258" s="667"/>
      <c r="AJ258" s="667"/>
      <c r="AK258" s="667"/>
      <c r="AL258" s="667"/>
      <c r="AM258" s="667"/>
      <c r="AN258" s="667"/>
      <c r="AO258" s="667"/>
      <c r="AP258" s="667"/>
    </row>
    <row r="259" spans="2:42" x14ac:dyDescent="0.25">
      <c r="G259" s="60"/>
      <c r="H259" s="42"/>
      <c r="Z259" s="667"/>
      <c r="AA259" s="667"/>
      <c r="AB259" s="667"/>
      <c r="AC259" s="667"/>
      <c r="AD259" s="667"/>
      <c r="AE259" s="667"/>
      <c r="AF259" s="667"/>
      <c r="AG259" s="667"/>
      <c r="AH259" s="667"/>
      <c r="AI259" s="667"/>
      <c r="AJ259" s="667"/>
      <c r="AK259" s="667"/>
      <c r="AL259" s="667"/>
      <c r="AM259" s="667"/>
      <c r="AN259" s="667"/>
      <c r="AO259" s="667"/>
      <c r="AP259" s="667"/>
    </row>
    <row r="260" spans="2:42" x14ac:dyDescent="0.25">
      <c r="B260" t="s">
        <v>123</v>
      </c>
      <c r="C260" t="s">
        <v>129</v>
      </c>
      <c r="D260" t="s">
        <v>130</v>
      </c>
      <c r="E260" t="s">
        <v>2</v>
      </c>
      <c r="F260" t="s">
        <v>126</v>
      </c>
      <c r="G260" s="61" t="s">
        <v>2</v>
      </c>
      <c r="H260" s="62" t="s">
        <v>126</v>
      </c>
      <c r="I260" t="s">
        <v>131</v>
      </c>
      <c r="J260" t="s">
        <v>132</v>
      </c>
      <c r="K260" t="s">
        <v>133</v>
      </c>
      <c r="L260" t="s">
        <v>134</v>
      </c>
      <c r="M260" t="s">
        <v>135</v>
      </c>
      <c r="N260" t="s">
        <v>136</v>
      </c>
      <c r="O260" t="s">
        <v>137</v>
      </c>
      <c r="P260" t="s">
        <v>138</v>
      </c>
      <c r="Z260" s="667"/>
      <c r="AA260" s="667"/>
      <c r="AB260" s="667"/>
      <c r="AC260" s="667"/>
      <c r="AD260" s="667"/>
      <c r="AE260" s="667"/>
      <c r="AF260" s="667"/>
      <c r="AG260" s="667"/>
      <c r="AH260" s="667"/>
      <c r="AI260" s="667"/>
      <c r="AJ260" s="667"/>
      <c r="AK260" s="667"/>
      <c r="AL260" s="667"/>
      <c r="AM260" s="667"/>
      <c r="AN260" s="667"/>
      <c r="AO260" s="667"/>
      <c r="AP260" s="667"/>
    </row>
    <row r="261" spans="2:42" x14ac:dyDescent="0.25">
      <c r="C261" s="1" t="s">
        <v>126</v>
      </c>
      <c r="D261" s="1"/>
      <c r="E261" s="1" t="s">
        <v>116</v>
      </c>
      <c r="F261" s="1">
        <v>7.3127272000000003</v>
      </c>
      <c r="G261" s="61"/>
      <c r="H261" s="62"/>
      <c r="I261" t="s">
        <v>139</v>
      </c>
      <c r="J261">
        <v>3.0097564999999999E-3</v>
      </c>
      <c r="K261">
        <v>9.4685294000000003E-2</v>
      </c>
      <c r="L261">
        <v>5.2151337999999998E-2</v>
      </c>
      <c r="M261">
        <v>1.1733913</v>
      </c>
      <c r="N261">
        <v>5.7071002999999996</v>
      </c>
      <c r="O261">
        <v>1.1901159E-2</v>
      </c>
      <c r="P261">
        <v>0.27048807000000002</v>
      </c>
      <c r="Z261" s="667"/>
      <c r="AA261" s="667"/>
      <c r="AB261" s="667"/>
      <c r="AC261" s="667"/>
      <c r="AD261" s="667"/>
      <c r="AE261" s="667"/>
      <c r="AF261" s="667"/>
      <c r="AG261" s="667"/>
      <c r="AH261" s="667"/>
      <c r="AI261" s="667"/>
      <c r="AJ261" s="667"/>
      <c r="AK261" s="667"/>
      <c r="AL261" s="667"/>
      <c r="AM261" s="667"/>
      <c r="AN261" s="667"/>
      <c r="AO261" s="667"/>
      <c r="AP261" s="667"/>
    </row>
    <row r="262" spans="2:42" x14ac:dyDescent="0.25">
      <c r="B262">
        <v>1</v>
      </c>
      <c r="C262" s="40" t="s">
        <v>140</v>
      </c>
      <c r="D262" t="s">
        <v>141</v>
      </c>
      <c r="E262" t="s">
        <v>116</v>
      </c>
      <c r="F262">
        <v>4.1442392999999997</v>
      </c>
      <c r="G262" s="66" t="s">
        <v>239</v>
      </c>
      <c r="H262" s="68">
        <f>F262/H253</f>
        <v>1.4000808445945945E-2</v>
      </c>
      <c r="I262" t="s">
        <v>142</v>
      </c>
      <c r="J262" s="58">
        <v>6.4748240999999997E-5</v>
      </c>
      <c r="K262">
        <v>7.2619437999999999E-4</v>
      </c>
      <c r="L262">
        <v>4.8588468000000001E-4</v>
      </c>
      <c r="M262">
        <v>4.0981875999999999E-3</v>
      </c>
      <c r="N262">
        <v>4.1366170000000002</v>
      </c>
      <c r="O262">
        <v>1.4198088999999999E-4</v>
      </c>
      <c r="P262">
        <v>2.1053049E-3</v>
      </c>
      <c r="Z262" s="667"/>
      <c r="AA262" s="667"/>
      <c r="AB262" s="667"/>
      <c r="AC262" s="667"/>
      <c r="AD262" s="667"/>
      <c r="AE262" s="667"/>
      <c r="AF262" s="667"/>
      <c r="AG262" s="667"/>
      <c r="AH262" s="667"/>
      <c r="AI262" s="667"/>
      <c r="AJ262" s="667"/>
      <c r="AK262" s="667"/>
      <c r="AL262" s="667"/>
      <c r="AM262" s="667"/>
      <c r="AN262" s="667"/>
      <c r="AO262" s="667"/>
      <c r="AP262" s="667"/>
    </row>
    <row r="263" spans="2:42" x14ac:dyDescent="0.25">
      <c r="B263">
        <v>2</v>
      </c>
      <c r="C263" s="40" t="s">
        <v>143</v>
      </c>
      <c r="D263" t="s">
        <v>141</v>
      </c>
      <c r="E263" t="s">
        <v>116</v>
      </c>
      <c r="F263">
        <v>3.0034448</v>
      </c>
      <c r="G263" s="66" t="s">
        <v>240</v>
      </c>
      <c r="H263" s="68">
        <f>F263/H254</f>
        <v>3.0034448</v>
      </c>
      <c r="I263" t="s">
        <v>142</v>
      </c>
      <c r="J263">
        <v>2.8719968000000002E-3</v>
      </c>
      <c r="K263">
        <v>8.9956025999999994E-2</v>
      </c>
      <c r="L263">
        <v>4.9448156E-2</v>
      </c>
      <c r="M263">
        <v>1.1058129999999999</v>
      </c>
      <c r="N263">
        <v>1.4938871</v>
      </c>
      <c r="O263">
        <v>1.1360479E-2</v>
      </c>
      <c r="P263">
        <v>0.25010803999999998</v>
      </c>
      <c r="Z263" s="667"/>
      <c r="AA263" s="667"/>
      <c r="AB263" s="667"/>
      <c r="AC263" s="667"/>
      <c r="AD263" s="667"/>
      <c r="AE263" s="667"/>
      <c r="AF263" s="667"/>
      <c r="AG263" s="667"/>
      <c r="AH263" s="667"/>
      <c r="AI263" s="667"/>
      <c r="AJ263" s="667"/>
      <c r="AK263" s="667"/>
      <c r="AL263" s="667"/>
      <c r="AM263" s="667"/>
      <c r="AN263" s="667"/>
      <c r="AO263" s="667"/>
      <c r="AP263" s="667"/>
    </row>
    <row r="264" spans="2:42" x14ac:dyDescent="0.25">
      <c r="B264">
        <v>3</v>
      </c>
      <c r="C264" s="40" t="s">
        <v>144</v>
      </c>
      <c r="D264" t="s">
        <v>141</v>
      </c>
      <c r="E264" t="s">
        <v>116</v>
      </c>
      <c r="F264">
        <v>0.14746485000000001</v>
      </c>
      <c r="G264" s="66" t="s">
        <v>241</v>
      </c>
      <c r="H264" s="68">
        <f>F264/H252</f>
        <v>6.4115152173913051E-3</v>
      </c>
      <c r="I264" t="s">
        <v>142</v>
      </c>
      <c r="J264" s="58">
        <v>5.0632573E-5</v>
      </c>
      <c r="K264">
        <v>3.1522086999999999E-3</v>
      </c>
      <c r="L264">
        <v>1.6754175E-3</v>
      </c>
      <c r="M264">
        <v>5.9903857999999997E-2</v>
      </c>
      <c r="N264">
        <v>6.9107176000000006E-2</v>
      </c>
      <c r="O264">
        <v>3.0114721000000001E-4</v>
      </c>
      <c r="P264">
        <v>1.3274411999999999E-2</v>
      </c>
      <c r="Z264" s="667"/>
      <c r="AA264" s="667"/>
      <c r="AB264" s="667"/>
      <c r="AC264" s="667"/>
      <c r="AD264" s="667"/>
      <c r="AE264" s="667"/>
      <c r="AF264" s="667"/>
      <c r="AG264" s="667"/>
      <c r="AH264" s="667"/>
      <c r="AI264" s="667"/>
      <c r="AJ264" s="667"/>
      <c r="AK264" s="667"/>
      <c r="AL264" s="667"/>
      <c r="AM264" s="667"/>
      <c r="AN264" s="667"/>
      <c r="AO264" s="667"/>
      <c r="AP264" s="667"/>
    </row>
    <row r="265" spans="2:42" ht="15.75" thickBot="1" x14ac:dyDescent="0.3">
      <c r="B265">
        <v>4</v>
      </c>
      <c r="C265" s="40" t="s">
        <v>145</v>
      </c>
      <c r="D265" t="s">
        <v>141</v>
      </c>
      <c r="E265" t="s">
        <v>116</v>
      </c>
      <c r="F265">
        <v>3.7619183E-2</v>
      </c>
      <c r="G265" s="67" t="s">
        <v>240</v>
      </c>
      <c r="H265" s="69">
        <f>F265/H254</f>
        <v>3.7619183E-2</v>
      </c>
      <c r="I265" t="s">
        <v>142</v>
      </c>
      <c r="J265" s="58">
        <v>1.4483131E-5</v>
      </c>
      <c r="K265">
        <v>1.7102496E-3</v>
      </c>
      <c r="L265">
        <v>1.2945109000000001E-4</v>
      </c>
      <c r="M265">
        <v>3.9066040999999998E-3</v>
      </c>
      <c r="N265">
        <v>1.511476E-2</v>
      </c>
      <c r="O265" s="58">
        <v>8.3797318999999997E-5</v>
      </c>
      <c r="P265">
        <v>1.6659838E-2</v>
      </c>
      <c r="Z265" s="667"/>
      <c r="AA265" s="667"/>
      <c r="AB265" s="667"/>
      <c r="AC265" s="667"/>
      <c r="AD265" s="667"/>
      <c r="AE265" s="667"/>
      <c r="AF265" s="667"/>
      <c r="AG265" s="667"/>
      <c r="AH265" s="667"/>
      <c r="AI265" s="667"/>
      <c r="AJ265" s="667"/>
      <c r="AK265" s="667"/>
      <c r="AL265" s="667"/>
      <c r="AM265" s="667"/>
      <c r="AN265" s="667"/>
      <c r="AO265" s="667"/>
      <c r="AP265" s="667"/>
    </row>
    <row r="266" spans="2:42" x14ac:dyDescent="0.25">
      <c r="B266">
        <v>5</v>
      </c>
      <c r="C266" t="s">
        <v>146</v>
      </c>
      <c r="D266" t="s">
        <v>141</v>
      </c>
      <c r="E266" t="s">
        <v>116</v>
      </c>
      <c r="F266">
        <v>9.5260294000000002E-3</v>
      </c>
      <c r="G266" s="26"/>
      <c r="H266" s="26"/>
      <c r="I266" t="s">
        <v>142</v>
      </c>
      <c r="J266" s="58">
        <v>8.8574463999999999E-6</v>
      </c>
      <c r="K266">
        <v>5.1624359999999998E-4</v>
      </c>
      <c r="L266">
        <v>2.7822261000000001E-4</v>
      </c>
      <c r="M266">
        <v>1.2547853999999999E-3</v>
      </c>
      <c r="N266">
        <v>3.7753321000000002E-3</v>
      </c>
      <c r="O266" s="58">
        <v>3.9392981999999998E-5</v>
      </c>
      <c r="P266">
        <v>3.6531952000000002E-3</v>
      </c>
      <c r="Z266" s="667"/>
      <c r="AA266" s="667"/>
      <c r="AB266" s="667"/>
      <c r="AC266" s="667"/>
      <c r="AD266" s="667"/>
      <c r="AE266" s="667"/>
      <c r="AF266" s="667"/>
      <c r="AG266" s="667"/>
      <c r="AH266" s="667"/>
      <c r="AI266" s="667"/>
      <c r="AJ266" s="667"/>
      <c r="AK266" s="667"/>
      <c r="AL266" s="667"/>
      <c r="AM266" s="667"/>
      <c r="AN266" s="667"/>
      <c r="AO266" s="667"/>
      <c r="AP266" s="667"/>
    </row>
    <row r="267" spans="2:42" x14ac:dyDescent="0.25">
      <c r="B267">
        <v>6</v>
      </c>
      <c r="C267" t="s">
        <v>147</v>
      </c>
      <c r="D267" t="s">
        <v>141</v>
      </c>
      <c r="E267" t="s">
        <v>116</v>
      </c>
      <c r="F267">
        <v>4.4418334999999998E-3</v>
      </c>
      <c r="G267" s="26"/>
      <c r="H267" s="26"/>
      <c r="I267" t="s">
        <v>142</v>
      </c>
      <c r="J267" s="58">
        <v>1.7127516E-7</v>
      </c>
      <c r="K267">
        <v>1.3668166000000001E-4</v>
      </c>
      <c r="L267" s="58">
        <v>4.7539374999999999E-5</v>
      </c>
      <c r="M267">
        <v>3.6414115000000001E-4</v>
      </c>
      <c r="N267">
        <v>1.7239372000000001E-3</v>
      </c>
      <c r="O267" s="58">
        <v>7.3297826000000001E-6</v>
      </c>
      <c r="P267">
        <v>2.1620329999999998E-3</v>
      </c>
      <c r="Z267" s="667"/>
      <c r="AA267" s="667"/>
      <c r="AB267" s="667"/>
      <c r="AC267" s="667"/>
      <c r="AD267" s="667"/>
      <c r="AE267" s="667"/>
      <c r="AF267" s="667"/>
      <c r="AG267" s="667"/>
      <c r="AH267" s="667"/>
      <c r="AI267" s="667"/>
      <c r="AJ267" s="667"/>
      <c r="AK267" s="667"/>
      <c r="AL267" s="667"/>
      <c r="AM267" s="667"/>
      <c r="AN267" s="667"/>
      <c r="AO267" s="667"/>
      <c r="AP267" s="667"/>
    </row>
    <row r="268" spans="2:42" x14ac:dyDescent="0.25">
      <c r="B268">
        <v>7</v>
      </c>
      <c r="C268" t="s">
        <v>148</v>
      </c>
      <c r="D268" t="s">
        <v>141</v>
      </c>
      <c r="E268" t="s">
        <v>116</v>
      </c>
      <c r="F268">
        <v>3.6150111E-3</v>
      </c>
      <c r="G268" s="26"/>
      <c r="H268" s="26"/>
      <c r="I268" t="s">
        <v>142</v>
      </c>
      <c r="J268" s="58">
        <v>8.0114361999999992E-6</v>
      </c>
      <c r="K268">
        <v>1.5692473999999999E-4</v>
      </c>
      <c r="L268">
        <v>1.8914212999999999E-4</v>
      </c>
      <c r="M268">
        <v>1.1771018999999999E-3</v>
      </c>
      <c r="N268">
        <v>1.6941948000000001E-3</v>
      </c>
      <c r="O268" s="58">
        <v>3.3934306999999997E-5</v>
      </c>
      <c r="P268">
        <v>3.5570177E-4</v>
      </c>
      <c r="Z268" s="667"/>
      <c r="AA268" s="667"/>
      <c r="AB268" s="667"/>
      <c r="AC268" s="667"/>
      <c r="AD268" s="667"/>
      <c r="AE268" s="667"/>
      <c r="AF268" s="667"/>
      <c r="AG268" s="667"/>
      <c r="AH268" s="667"/>
      <c r="AI268" s="667"/>
      <c r="AJ268" s="667"/>
      <c r="AK268" s="667"/>
      <c r="AL268" s="667"/>
      <c r="AM268" s="667"/>
      <c r="AN268" s="667"/>
      <c r="AO268" s="667"/>
      <c r="AP268" s="667"/>
    </row>
    <row r="269" spans="2:42" x14ac:dyDescent="0.25">
      <c r="B269">
        <v>8</v>
      </c>
      <c r="C269" t="s">
        <v>149</v>
      </c>
      <c r="D269" t="s">
        <v>141</v>
      </c>
      <c r="E269" t="s">
        <v>116</v>
      </c>
      <c r="F269">
        <v>1.2002873000000001E-3</v>
      </c>
      <c r="G269" s="26"/>
      <c r="H269" s="26"/>
      <c r="I269" t="s">
        <v>142</v>
      </c>
      <c r="J269" s="58">
        <v>4.0265837000000002E-8</v>
      </c>
      <c r="K269" s="58">
        <v>3.1749787000000003E-5</v>
      </c>
      <c r="L269" s="58">
        <v>1.1723533000000001E-5</v>
      </c>
      <c r="M269" s="58">
        <v>9.8588222000000006E-5</v>
      </c>
      <c r="N269">
        <v>4.6756742000000001E-4</v>
      </c>
      <c r="O269" s="58">
        <v>1.7057433999999999E-6</v>
      </c>
      <c r="P269">
        <v>5.8891228999999995E-4</v>
      </c>
      <c r="Z269" s="667"/>
      <c r="AA269" s="667"/>
      <c r="AB269" s="667"/>
      <c r="AC269" s="667"/>
      <c r="AD269" s="667"/>
      <c r="AE269" s="667"/>
      <c r="AF269" s="667"/>
      <c r="AG269" s="667"/>
      <c r="AH269" s="667"/>
      <c r="AI269" s="667"/>
      <c r="AJ269" s="667"/>
      <c r="AK269" s="667"/>
      <c r="AL269" s="667"/>
      <c r="AM269" s="667"/>
      <c r="AN269" s="667"/>
      <c r="AO269" s="667"/>
      <c r="AP269" s="667"/>
    </row>
    <row r="270" spans="2:42" x14ac:dyDescent="0.25">
      <c r="B270">
        <v>9</v>
      </c>
      <c r="C270" t="s">
        <v>150</v>
      </c>
      <c r="D270" t="s">
        <v>141</v>
      </c>
      <c r="E270" t="s">
        <v>116</v>
      </c>
      <c r="F270">
        <v>1.0512345E-3</v>
      </c>
      <c r="G270" s="26"/>
      <c r="H270" s="26"/>
      <c r="I270" t="s">
        <v>142</v>
      </c>
      <c r="J270" s="58">
        <v>9.3735736000000003E-7</v>
      </c>
      <c r="K270">
        <v>1.147182E-4</v>
      </c>
      <c r="L270" s="58">
        <v>1.0782019E-5</v>
      </c>
      <c r="M270">
        <v>1.6443210000000001E-4</v>
      </c>
      <c r="N270">
        <v>4.4690065000000003E-4</v>
      </c>
      <c r="O270" s="58">
        <v>1.4716864E-5</v>
      </c>
      <c r="P270">
        <v>2.9874729000000001E-4</v>
      </c>
      <c r="Z270" s="667"/>
      <c r="AA270" s="667"/>
      <c r="AB270" s="667"/>
      <c r="AC270" s="667"/>
      <c r="AD270" s="667"/>
      <c r="AE270" s="667"/>
      <c r="AF270" s="667"/>
      <c r="AG270" s="667"/>
      <c r="AH270" s="667"/>
      <c r="AI270" s="667"/>
      <c r="AJ270" s="667"/>
      <c r="AK270" s="667"/>
      <c r="AL270" s="667"/>
      <c r="AM270" s="667"/>
      <c r="AN270" s="667"/>
      <c r="AO270" s="667"/>
      <c r="AP270" s="667"/>
    </row>
    <row r="271" spans="2:42" x14ac:dyDescent="0.25">
      <c r="B271">
        <v>10</v>
      </c>
      <c r="C271" t="s">
        <v>151</v>
      </c>
      <c r="D271" t="s">
        <v>141</v>
      </c>
      <c r="E271" t="s">
        <v>116</v>
      </c>
      <c r="F271">
        <v>5.8675866999999997E-4</v>
      </c>
      <c r="G271" s="26"/>
      <c r="H271" s="26"/>
      <c r="I271" t="s">
        <v>142</v>
      </c>
      <c r="J271" s="58">
        <v>2.5553375000000001E-8</v>
      </c>
      <c r="K271" s="58">
        <v>1.81171E-5</v>
      </c>
      <c r="L271" s="58">
        <v>6.1944712000000003E-6</v>
      </c>
      <c r="M271" s="58">
        <v>4.8353224999999998E-5</v>
      </c>
      <c r="N271">
        <v>2.2791746000000001E-4</v>
      </c>
      <c r="O271" s="58">
        <v>9.7019468000000002E-7</v>
      </c>
      <c r="P271">
        <v>2.8518066999999998E-4</v>
      </c>
      <c r="Z271" s="667"/>
      <c r="AA271" s="667"/>
      <c r="AB271" s="667"/>
      <c r="AC271" s="667"/>
      <c r="AD271" s="667"/>
      <c r="AE271" s="667"/>
      <c r="AF271" s="667"/>
      <c r="AG271" s="667"/>
      <c r="AH271" s="667"/>
      <c r="AI271" s="667"/>
      <c r="AJ271" s="667"/>
      <c r="AK271" s="667"/>
      <c r="AL271" s="667"/>
      <c r="AM271" s="667"/>
      <c r="AN271" s="667"/>
      <c r="AO271" s="667"/>
      <c r="AP271" s="667"/>
    </row>
    <row r="272" spans="2:42" x14ac:dyDescent="0.25">
      <c r="B272">
        <v>11</v>
      </c>
      <c r="C272" t="s">
        <v>152</v>
      </c>
      <c r="D272" t="s">
        <v>141</v>
      </c>
      <c r="E272" t="s">
        <v>116</v>
      </c>
      <c r="F272">
        <v>4.7504174000000002E-4</v>
      </c>
      <c r="G272" s="26"/>
      <c r="H272" s="26"/>
      <c r="I272" t="s">
        <v>142</v>
      </c>
      <c r="J272" s="58">
        <v>6.6450719999999994E-8</v>
      </c>
      <c r="K272" s="58">
        <v>4.5731833999999996E-6</v>
      </c>
      <c r="L272" s="58">
        <v>1.1570012E-6</v>
      </c>
      <c r="M272">
        <v>2.2697232999999999E-4</v>
      </c>
      <c r="N272">
        <v>2.2732194000000001E-4</v>
      </c>
      <c r="O272" s="58">
        <v>3.4304542999999998E-7</v>
      </c>
      <c r="P272" s="58">
        <v>1.4607788E-5</v>
      </c>
      <c r="Z272" s="667"/>
      <c r="AA272" s="667"/>
      <c r="AB272" s="667"/>
      <c r="AC272" s="667"/>
      <c r="AD272" s="667"/>
      <c r="AE272" s="667"/>
      <c r="AF272" s="667"/>
      <c r="AG272" s="667"/>
      <c r="AH272" s="667"/>
      <c r="AI272" s="667"/>
      <c r="AJ272" s="667"/>
      <c r="AK272" s="667"/>
      <c r="AL272" s="667"/>
      <c r="AM272" s="667"/>
      <c r="AN272" s="667"/>
      <c r="AO272" s="667"/>
      <c r="AP272" s="667"/>
    </row>
    <row r="273" spans="2:42" x14ac:dyDescent="0.25">
      <c r="B273">
        <v>12</v>
      </c>
      <c r="C273" t="s">
        <v>153</v>
      </c>
      <c r="D273" t="s">
        <v>141</v>
      </c>
      <c r="E273" t="s">
        <v>116</v>
      </c>
      <c r="F273">
        <v>3.7313728999999998E-4</v>
      </c>
      <c r="G273" s="26"/>
      <c r="H273" s="26"/>
      <c r="I273" t="s">
        <v>142</v>
      </c>
      <c r="J273" s="58">
        <v>1.7154221000000001E-7</v>
      </c>
      <c r="K273" s="58">
        <v>2.9680091999999999E-5</v>
      </c>
      <c r="L273" s="58">
        <v>2.4941147999999999E-6</v>
      </c>
      <c r="M273" s="58">
        <v>9.8098456000000002E-5</v>
      </c>
      <c r="N273">
        <v>1.6721522000000001E-4</v>
      </c>
      <c r="O273" s="58">
        <v>2.0286724999999999E-6</v>
      </c>
      <c r="P273" s="58">
        <v>7.3449194000000005E-5</v>
      </c>
      <c r="Z273" s="667"/>
      <c r="AA273" s="667"/>
      <c r="AB273" s="667"/>
      <c r="AC273" s="667"/>
      <c r="AD273" s="667"/>
      <c r="AE273" s="667"/>
      <c r="AF273" s="667"/>
      <c r="AG273" s="667"/>
      <c r="AH273" s="667"/>
      <c r="AI273" s="667"/>
      <c r="AJ273" s="667"/>
      <c r="AK273" s="667"/>
      <c r="AL273" s="667"/>
      <c r="AM273" s="667"/>
      <c r="AN273" s="667"/>
      <c r="AO273" s="667"/>
      <c r="AP273" s="667"/>
    </row>
    <row r="274" spans="2:42" x14ac:dyDescent="0.25">
      <c r="B274">
        <v>13</v>
      </c>
      <c r="C274" t="s">
        <v>154</v>
      </c>
      <c r="D274" t="s">
        <v>141</v>
      </c>
      <c r="E274" t="s">
        <v>116</v>
      </c>
      <c r="F274">
        <v>2.8402940000000002E-4</v>
      </c>
      <c r="G274" s="26"/>
      <c r="H274" s="26"/>
      <c r="I274" t="s">
        <v>142</v>
      </c>
      <c r="J274" s="58">
        <v>1.4872285999999999E-8</v>
      </c>
      <c r="K274" s="58">
        <v>2.3615245000000001E-6</v>
      </c>
      <c r="L274" s="58">
        <v>2.5254881999999998E-7</v>
      </c>
      <c r="M274">
        <v>1.3397533999999999E-4</v>
      </c>
      <c r="N274">
        <v>1.3388939000000001E-4</v>
      </c>
      <c r="O274" s="58">
        <v>1.1605639E-7</v>
      </c>
      <c r="P274" s="58">
        <v>1.3419666999999999E-5</v>
      </c>
      <c r="Z274" s="667"/>
      <c r="AA274" s="667"/>
      <c r="AB274" s="667"/>
      <c r="AC274" s="667"/>
      <c r="AD274" s="667"/>
      <c r="AE274" s="667"/>
      <c r="AF274" s="667"/>
      <c r="AG274" s="667"/>
      <c r="AH274" s="667"/>
      <c r="AI274" s="667"/>
      <c r="AJ274" s="667"/>
      <c r="AK274" s="667"/>
      <c r="AL274" s="667"/>
      <c r="AM274" s="667"/>
      <c r="AN274" s="667"/>
      <c r="AO274" s="667"/>
      <c r="AP274" s="667"/>
    </row>
    <row r="275" spans="2:42" x14ac:dyDescent="0.25">
      <c r="B275">
        <v>14</v>
      </c>
      <c r="C275" t="s">
        <v>155</v>
      </c>
      <c r="D275" t="s">
        <v>141</v>
      </c>
      <c r="E275" t="s">
        <v>116</v>
      </c>
      <c r="F275">
        <v>2.2740358E-4</v>
      </c>
      <c r="G275" s="26"/>
      <c r="H275" s="26"/>
      <c r="I275" t="s">
        <v>142</v>
      </c>
      <c r="J275" s="58">
        <v>1.3485355000000001E-7</v>
      </c>
      <c r="K275" s="58">
        <v>3.1302428999999999E-6</v>
      </c>
      <c r="L275" s="58">
        <v>2.8286590000000001E-6</v>
      </c>
      <c r="M275" s="58">
        <v>9.8627112999999999E-5</v>
      </c>
      <c r="N275">
        <v>1.1456436999999999E-4</v>
      </c>
      <c r="O275" s="58">
        <v>5.7802791999999997E-7</v>
      </c>
      <c r="P275" s="58">
        <v>7.5403134999999999E-6</v>
      </c>
      <c r="Z275" s="667"/>
      <c r="AA275" s="667"/>
      <c r="AB275" s="667"/>
      <c r="AC275" s="667"/>
      <c r="AD275" s="667"/>
      <c r="AE275" s="667"/>
      <c r="AF275" s="667"/>
      <c r="AG275" s="667"/>
      <c r="AH275" s="667"/>
      <c r="AI275" s="667"/>
      <c r="AJ275" s="667"/>
      <c r="AK275" s="667"/>
      <c r="AL275" s="667"/>
      <c r="AM275" s="667"/>
      <c r="AN275" s="667"/>
      <c r="AO275" s="667"/>
      <c r="AP275" s="667"/>
    </row>
    <row r="276" spans="2:42" x14ac:dyDescent="0.25">
      <c r="B276">
        <v>15</v>
      </c>
      <c r="C276" t="s">
        <v>156</v>
      </c>
      <c r="D276" t="s">
        <v>141</v>
      </c>
      <c r="E276" t="s">
        <v>116</v>
      </c>
      <c r="F276">
        <v>2.0446048000000001E-4</v>
      </c>
      <c r="G276" s="26"/>
      <c r="H276" s="26"/>
      <c r="I276" t="s">
        <v>142</v>
      </c>
      <c r="J276" s="58">
        <v>1.6041463999999999E-7</v>
      </c>
      <c r="K276" s="58">
        <v>3.2050852000000001E-6</v>
      </c>
      <c r="L276" s="58">
        <v>3.4927447999999999E-6</v>
      </c>
      <c r="M276" s="58">
        <v>8.2155886999999995E-5</v>
      </c>
      <c r="N276">
        <v>1.0437202E-4</v>
      </c>
      <c r="O276" s="58">
        <v>7.1962355000000005E-7</v>
      </c>
      <c r="P276" s="58">
        <v>1.0354706000000001E-5</v>
      </c>
      <c r="Z276" s="667"/>
      <c r="AA276" s="667"/>
      <c r="AB276" s="667"/>
      <c r="AC276" s="667"/>
      <c r="AD276" s="667"/>
      <c r="AE276" s="667"/>
      <c r="AF276" s="667"/>
      <c r="AG276" s="667"/>
      <c r="AH276" s="667"/>
      <c r="AI276" s="667"/>
      <c r="AJ276" s="667"/>
      <c r="AK276" s="667"/>
      <c r="AL276" s="667"/>
      <c r="AM276" s="667"/>
      <c r="AN276" s="667"/>
      <c r="AO276" s="667"/>
      <c r="AP276" s="667"/>
    </row>
    <row r="277" spans="2:42" x14ac:dyDescent="0.25">
      <c r="B277">
        <v>16</v>
      </c>
      <c r="C277" t="s">
        <v>157</v>
      </c>
      <c r="D277" t="s">
        <v>141</v>
      </c>
      <c r="E277" t="s">
        <v>116</v>
      </c>
      <c r="F277">
        <v>1.5724671999999999E-4</v>
      </c>
      <c r="G277" s="26"/>
      <c r="H277" s="26"/>
      <c r="I277" t="s">
        <v>142</v>
      </c>
      <c r="J277" s="58">
        <v>1.2952447E-7</v>
      </c>
      <c r="K277" s="58">
        <v>2.5351343E-6</v>
      </c>
      <c r="L277" s="58">
        <v>2.7671776E-6</v>
      </c>
      <c r="M277" s="58">
        <v>6.5111582999999995E-5</v>
      </c>
      <c r="N277" s="58">
        <v>8.1116614999999996E-5</v>
      </c>
      <c r="O277" s="58">
        <v>6.1890528000000001E-7</v>
      </c>
      <c r="P277" s="58">
        <v>4.9677843000000003E-6</v>
      </c>
      <c r="Z277" s="667"/>
      <c r="AA277" s="667"/>
      <c r="AB277" s="667"/>
      <c r="AC277" s="667"/>
      <c r="AD277" s="667"/>
      <c r="AE277" s="667"/>
      <c r="AF277" s="667"/>
      <c r="AG277" s="667"/>
      <c r="AH277" s="667"/>
      <c r="AI277" s="667"/>
      <c r="AJ277" s="667"/>
      <c r="AK277" s="667"/>
      <c r="AL277" s="667"/>
      <c r="AM277" s="667"/>
      <c r="AN277" s="667"/>
      <c r="AO277" s="667"/>
      <c r="AP277" s="667"/>
    </row>
    <row r="278" spans="2:42" x14ac:dyDescent="0.25">
      <c r="B278">
        <v>17</v>
      </c>
      <c r="C278" t="s">
        <v>158</v>
      </c>
      <c r="D278" t="s">
        <v>141</v>
      </c>
      <c r="E278" t="s">
        <v>116</v>
      </c>
      <c r="F278">
        <v>1.0311561999999999E-4</v>
      </c>
      <c r="G278" s="26"/>
      <c r="H278" s="26"/>
      <c r="I278" t="s">
        <v>142</v>
      </c>
      <c r="J278" s="58">
        <v>7.3768647999999997E-8</v>
      </c>
      <c r="K278" s="58">
        <v>2.7810035000000001E-6</v>
      </c>
      <c r="L278" s="58">
        <v>9.1479621999999996E-7</v>
      </c>
      <c r="M278" s="58">
        <v>2.7692862E-5</v>
      </c>
      <c r="N278" s="58">
        <v>4.8152728000000001E-5</v>
      </c>
      <c r="O278" s="58">
        <v>2.5313180999999999E-7</v>
      </c>
      <c r="P278" s="58">
        <v>2.3247332000000001E-5</v>
      </c>
      <c r="Z278" s="667"/>
      <c r="AA278" s="667"/>
      <c r="AB278" s="667"/>
      <c r="AC278" s="667"/>
      <c r="AD278" s="667"/>
      <c r="AE278" s="667"/>
      <c r="AF278" s="667"/>
      <c r="AG278" s="667"/>
      <c r="AH278" s="667"/>
      <c r="AI278" s="667"/>
      <c r="AJ278" s="667"/>
      <c r="AK278" s="667"/>
      <c r="AL278" s="667"/>
      <c r="AM278" s="667"/>
      <c r="AN278" s="667"/>
      <c r="AO278" s="667"/>
      <c r="AP278" s="667"/>
    </row>
    <row r="279" spans="2:42" x14ac:dyDescent="0.25">
      <c r="B279">
        <v>18</v>
      </c>
      <c r="C279" t="s">
        <v>159</v>
      </c>
      <c r="D279" t="s">
        <v>141</v>
      </c>
      <c r="E279" t="s">
        <v>116</v>
      </c>
      <c r="F279">
        <v>1.0034344E-4</v>
      </c>
      <c r="G279" s="26"/>
      <c r="H279" s="26"/>
      <c r="I279" t="s">
        <v>142</v>
      </c>
      <c r="J279" s="58">
        <v>1.7123472E-7</v>
      </c>
      <c r="K279" s="58">
        <v>2.5107299999999999E-6</v>
      </c>
      <c r="L279" s="58">
        <v>4.6860478000000003E-6</v>
      </c>
      <c r="M279" s="58">
        <v>3.2104041000000002E-5</v>
      </c>
      <c r="N279" s="58">
        <v>5.5996082000000002E-5</v>
      </c>
      <c r="O279" s="58">
        <v>7.8783116999999999E-7</v>
      </c>
      <c r="P279" s="58">
        <v>4.0874733000000004E-6</v>
      </c>
      <c r="Z279" s="667"/>
      <c r="AA279" s="667"/>
      <c r="AB279" s="667"/>
      <c r="AC279" s="667"/>
      <c r="AD279" s="667"/>
      <c r="AE279" s="667"/>
      <c r="AF279" s="667"/>
      <c r="AG279" s="667"/>
      <c r="AH279" s="667"/>
      <c r="AI279" s="667"/>
      <c r="AJ279" s="667"/>
      <c r="AK279" s="667"/>
      <c r="AL279" s="667"/>
      <c r="AM279" s="667"/>
      <c r="AN279" s="667"/>
      <c r="AO279" s="667"/>
      <c r="AP279" s="667"/>
    </row>
    <row r="280" spans="2:42" x14ac:dyDescent="0.25">
      <c r="B280">
        <v>19</v>
      </c>
      <c r="C280" t="s">
        <v>160</v>
      </c>
      <c r="D280" t="s">
        <v>141</v>
      </c>
      <c r="E280" t="s">
        <v>116</v>
      </c>
      <c r="F280" s="58">
        <v>9.0350496999999993E-5</v>
      </c>
      <c r="G280" s="58"/>
      <c r="H280" s="58"/>
      <c r="I280" t="s">
        <v>142</v>
      </c>
      <c r="J280" s="58">
        <v>1.7536524E-9</v>
      </c>
      <c r="K280" s="58">
        <v>7.4221110000000002E-8</v>
      </c>
      <c r="L280" s="58">
        <v>3.4459931E-8</v>
      </c>
      <c r="M280" s="58">
        <v>5.2298718999999998E-6</v>
      </c>
      <c r="N280" s="58">
        <v>8.4576037999999995E-5</v>
      </c>
      <c r="O280" s="58">
        <v>5.1572036999999999E-9</v>
      </c>
      <c r="P280" s="58">
        <v>4.2899504999999998E-7</v>
      </c>
      <c r="Z280" s="667"/>
      <c r="AA280" s="667"/>
      <c r="AB280" s="667"/>
      <c r="AC280" s="667"/>
      <c r="AD280" s="667"/>
      <c r="AE280" s="667"/>
      <c r="AF280" s="667"/>
      <c r="AG280" s="667"/>
      <c r="AH280" s="667"/>
      <c r="AI280" s="667"/>
      <c r="AJ280" s="667"/>
      <c r="AK280" s="667"/>
      <c r="AL280" s="667"/>
      <c r="AM280" s="667"/>
      <c r="AN280" s="667"/>
      <c r="AO280" s="667"/>
      <c r="AP280" s="667"/>
    </row>
    <row r="281" spans="2:42" x14ac:dyDescent="0.25">
      <c r="B281">
        <v>20</v>
      </c>
      <c r="C281" t="s">
        <v>161</v>
      </c>
      <c r="D281" t="s">
        <v>141</v>
      </c>
      <c r="E281" t="s">
        <v>116</v>
      </c>
      <c r="F281" s="58">
        <v>5.9750999000000002E-5</v>
      </c>
      <c r="G281" s="58"/>
      <c r="H281" s="58"/>
      <c r="I281" t="s">
        <v>142</v>
      </c>
      <c r="J281" s="58">
        <v>2.5565601000000001E-9</v>
      </c>
      <c r="K281" s="58">
        <v>3.8045883999999998E-7</v>
      </c>
      <c r="L281" s="58">
        <v>3.8064195999999999E-8</v>
      </c>
      <c r="M281" s="58">
        <v>2.9533695000000001E-5</v>
      </c>
      <c r="N281" s="58">
        <v>2.8424105000000002E-5</v>
      </c>
      <c r="O281" s="58">
        <v>1.8050828999999999E-8</v>
      </c>
      <c r="P281" s="58">
        <v>1.3540685999999999E-6</v>
      </c>
      <c r="Z281" s="667"/>
      <c r="AA281" s="667"/>
      <c r="AB281" s="667"/>
      <c r="AC281" s="667"/>
      <c r="AD281" s="667"/>
      <c r="AE281" s="667"/>
      <c r="AF281" s="667"/>
      <c r="AG281" s="667"/>
      <c r="AH281" s="667"/>
      <c r="AI281" s="667"/>
      <c r="AJ281" s="667"/>
      <c r="AK281" s="667"/>
      <c r="AL281" s="667"/>
      <c r="AM281" s="667"/>
      <c r="AN281" s="667"/>
      <c r="AO281" s="667"/>
      <c r="AP281" s="667"/>
    </row>
    <row r="282" spans="2:42" x14ac:dyDescent="0.25">
      <c r="B282">
        <v>21</v>
      </c>
      <c r="C282" t="s">
        <v>162</v>
      </c>
      <c r="D282" t="s">
        <v>141</v>
      </c>
      <c r="E282" t="s">
        <v>116</v>
      </c>
      <c r="F282" s="58">
        <v>5.1845229999999998E-5</v>
      </c>
      <c r="G282" s="58"/>
      <c r="H282" s="58"/>
      <c r="I282" t="s">
        <v>142</v>
      </c>
      <c r="J282" s="58">
        <v>5.3120580000000001E-8</v>
      </c>
      <c r="K282" s="58">
        <v>2.6232795000000001E-6</v>
      </c>
      <c r="L282" s="58">
        <v>3.9077100000000003E-7</v>
      </c>
      <c r="M282" s="58">
        <v>2.0695508000000001E-5</v>
      </c>
      <c r="N282" s="58">
        <v>2.4131919E-5</v>
      </c>
      <c r="O282" s="58">
        <v>9.8505959999999996E-8</v>
      </c>
      <c r="P282" s="58">
        <v>3.8521265999999999E-6</v>
      </c>
      <c r="Z282" s="667"/>
      <c r="AA282" s="667"/>
      <c r="AB282" s="667"/>
      <c r="AC282" s="667"/>
      <c r="AD282" s="667"/>
      <c r="AE282" s="667"/>
      <c r="AF282" s="667"/>
      <c r="AG282" s="667"/>
      <c r="AH282" s="667"/>
      <c r="AI282" s="667"/>
      <c r="AJ282" s="667"/>
      <c r="AK282" s="667"/>
      <c r="AL282" s="667"/>
      <c r="AM282" s="667"/>
      <c r="AN282" s="667"/>
      <c r="AO282" s="667"/>
      <c r="AP282" s="667"/>
    </row>
    <row r="283" spans="2:42" x14ac:dyDescent="0.25">
      <c r="B283">
        <v>22</v>
      </c>
      <c r="C283" t="s">
        <v>163</v>
      </c>
      <c r="D283" t="s">
        <v>141</v>
      </c>
      <c r="E283" t="s">
        <v>116</v>
      </c>
      <c r="F283" s="58">
        <v>4.3777542E-5</v>
      </c>
      <c r="G283" s="58"/>
      <c r="H283" s="58"/>
      <c r="I283" t="s">
        <v>142</v>
      </c>
      <c r="J283" s="58">
        <v>2.8843364999999999E-8</v>
      </c>
      <c r="K283" s="58">
        <v>4.095086E-6</v>
      </c>
      <c r="L283" s="58">
        <v>5.8002746000000004E-7</v>
      </c>
      <c r="M283" s="58">
        <v>7.8625325000000003E-6</v>
      </c>
      <c r="N283" s="58">
        <v>1.8646621999999999E-5</v>
      </c>
      <c r="O283" s="58">
        <v>3.1463825000000002E-7</v>
      </c>
      <c r="P283" s="58">
        <v>1.2249792000000001E-5</v>
      </c>
      <c r="Z283" s="667"/>
      <c r="AA283" s="667"/>
      <c r="AB283" s="667"/>
      <c r="AC283" s="667"/>
      <c r="AD283" s="667"/>
      <c r="AE283" s="667"/>
      <c r="AF283" s="667"/>
      <c r="AG283" s="667"/>
      <c r="AH283" s="667"/>
      <c r="AI283" s="667"/>
      <c r="AJ283" s="667"/>
      <c r="AK283" s="667"/>
      <c r="AL283" s="667"/>
      <c r="AM283" s="667"/>
      <c r="AN283" s="667"/>
      <c r="AO283" s="667"/>
      <c r="AP283" s="667"/>
    </row>
    <row r="284" spans="2:42" x14ac:dyDescent="0.25">
      <c r="B284">
        <v>23</v>
      </c>
      <c r="C284" t="s">
        <v>164</v>
      </c>
      <c r="D284" t="s">
        <v>141</v>
      </c>
      <c r="E284" t="s">
        <v>116</v>
      </c>
      <c r="F284" s="58">
        <v>4.3181232E-5</v>
      </c>
      <c r="G284" s="58"/>
      <c r="H284" s="58"/>
      <c r="I284" t="s">
        <v>142</v>
      </c>
      <c r="J284" s="58">
        <v>3.5246288000000003E-8</v>
      </c>
      <c r="K284" s="58">
        <v>6.4681194E-6</v>
      </c>
      <c r="L284" s="58">
        <v>6.9237942999999995E-7</v>
      </c>
      <c r="M284" s="58">
        <v>5.7575325000000001E-6</v>
      </c>
      <c r="N284" s="58">
        <v>1.6871243999999999E-5</v>
      </c>
      <c r="O284" s="58">
        <v>1.5537401E-6</v>
      </c>
      <c r="P284" s="58">
        <v>1.180297E-5</v>
      </c>
      <c r="Z284" s="667"/>
      <c r="AA284" s="667"/>
      <c r="AB284" s="667"/>
      <c r="AC284" s="667"/>
      <c r="AD284" s="667"/>
      <c r="AE284" s="667"/>
      <c r="AF284" s="667"/>
      <c r="AG284" s="667"/>
      <c r="AH284" s="667"/>
      <c r="AI284" s="667"/>
      <c r="AJ284" s="667"/>
      <c r="AK284" s="667"/>
      <c r="AL284" s="667"/>
      <c r="AM284" s="667"/>
      <c r="AN284" s="667"/>
      <c r="AO284" s="667"/>
      <c r="AP284" s="667"/>
    </row>
    <row r="285" spans="2:42" x14ac:dyDescent="0.25">
      <c r="B285">
        <v>24</v>
      </c>
      <c r="C285" t="s">
        <v>165</v>
      </c>
      <c r="D285" t="s">
        <v>141</v>
      </c>
      <c r="E285" t="s">
        <v>116</v>
      </c>
      <c r="F285" s="58">
        <v>3.8477343000000003E-5</v>
      </c>
      <c r="G285" s="58"/>
      <c r="H285" s="58"/>
      <c r="I285" t="s">
        <v>142</v>
      </c>
      <c r="J285" s="58">
        <v>6.4666073000000005E-8</v>
      </c>
      <c r="K285" s="58">
        <v>1.3367824E-6</v>
      </c>
      <c r="L285" s="58">
        <v>1.3590325999999999E-6</v>
      </c>
      <c r="M285" s="58">
        <v>1.1962685E-5</v>
      </c>
      <c r="N285" s="58">
        <v>2.1217135999999999E-5</v>
      </c>
      <c r="O285" s="58">
        <v>2.7046546999999999E-7</v>
      </c>
      <c r="P285" s="58">
        <v>2.2665762000000001E-6</v>
      </c>
      <c r="Z285" s="667"/>
      <c r="AA285" s="667"/>
      <c r="AB285" s="667"/>
      <c r="AC285" s="667"/>
      <c r="AD285" s="667"/>
      <c r="AE285" s="667"/>
      <c r="AF285" s="667"/>
      <c r="AG285" s="667"/>
      <c r="AH285" s="667"/>
      <c r="AI285" s="667"/>
      <c r="AJ285" s="667"/>
      <c r="AK285" s="667"/>
      <c r="AL285" s="667"/>
      <c r="AM285" s="667"/>
      <c r="AN285" s="667"/>
      <c r="AO285" s="667"/>
      <c r="AP285" s="667"/>
    </row>
    <row r="286" spans="2:42" x14ac:dyDescent="0.25">
      <c r="B286">
        <v>25</v>
      </c>
      <c r="C286" t="s">
        <v>166</v>
      </c>
      <c r="D286" t="s">
        <v>141</v>
      </c>
      <c r="E286" t="s">
        <v>116</v>
      </c>
      <c r="F286" s="58">
        <v>3.8166168E-5</v>
      </c>
      <c r="G286" s="58"/>
      <c r="H286" s="58"/>
      <c r="I286" t="s">
        <v>142</v>
      </c>
      <c r="J286" s="58">
        <v>2.7749010999999999E-9</v>
      </c>
      <c r="K286" s="58">
        <v>6.1601577999999997E-7</v>
      </c>
      <c r="L286" s="58">
        <v>2.2241579E-6</v>
      </c>
      <c r="M286" s="58">
        <v>1.1828718999999999E-5</v>
      </c>
      <c r="N286" s="58">
        <v>1.9124037E-5</v>
      </c>
      <c r="O286" s="58">
        <v>2.5113985999999998E-7</v>
      </c>
      <c r="P286" s="58">
        <v>4.1193240000000003E-6</v>
      </c>
      <c r="Z286" s="667"/>
      <c r="AA286" s="667"/>
      <c r="AB286" s="667"/>
      <c r="AC286" s="667"/>
      <c r="AD286" s="667"/>
      <c r="AE286" s="667"/>
      <c r="AF286" s="667"/>
      <c r="AG286" s="667"/>
      <c r="AH286" s="667"/>
      <c r="AI286" s="667"/>
      <c r="AJ286" s="667"/>
      <c r="AK286" s="667"/>
      <c r="AL286" s="667"/>
      <c r="AM286" s="667"/>
      <c r="AN286" s="667"/>
      <c r="AO286" s="667"/>
      <c r="AP286" s="667"/>
    </row>
    <row r="287" spans="2:42" x14ac:dyDescent="0.25">
      <c r="B287">
        <v>26</v>
      </c>
      <c r="C287" t="s">
        <v>167</v>
      </c>
      <c r="D287" t="s">
        <v>141</v>
      </c>
      <c r="E287" t="s">
        <v>116</v>
      </c>
      <c r="F287" s="58">
        <v>3.4747589000000002E-5</v>
      </c>
      <c r="G287" s="58"/>
      <c r="H287" s="58"/>
      <c r="I287" t="s">
        <v>142</v>
      </c>
      <c r="J287" s="58">
        <v>9.4526546999999995E-9</v>
      </c>
      <c r="K287" s="58">
        <v>7.1267004000000003E-7</v>
      </c>
      <c r="L287" s="58">
        <v>2.5156344999999998E-7</v>
      </c>
      <c r="M287" s="58">
        <v>1.0508253E-5</v>
      </c>
      <c r="N287" s="58">
        <v>1.6085240999999999E-5</v>
      </c>
      <c r="O287" s="58">
        <v>4.1152744999999999E-8</v>
      </c>
      <c r="P287" s="58">
        <v>7.1392554000000004E-6</v>
      </c>
      <c r="Z287" s="667"/>
      <c r="AA287" s="667"/>
      <c r="AB287" s="667"/>
      <c r="AC287" s="667"/>
      <c r="AD287" s="667"/>
      <c r="AE287" s="667"/>
      <c r="AF287" s="667"/>
      <c r="AG287" s="667"/>
      <c r="AH287" s="667"/>
      <c r="AI287" s="667"/>
      <c r="AJ287" s="667"/>
      <c r="AK287" s="667"/>
      <c r="AL287" s="667"/>
      <c r="AM287" s="667"/>
      <c r="AN287" s="667"/>
      <c r="AO287" s="667"/>
      <c r="AP287" s="667"/>
    </row>
    <row r="288" spans="2:42" x14ac:dyDescent="0.25">
      <c r="B288">
        <v>27</v>
      </c>
      <c r="C288" t="s">
        <v>168</v>
      </c>
      <c r="D288" t="s">
        <v>141</v>
      </c>
      <c r="E288" t="s">
        <v>116</v>
      </c>
      <c r="F288" s="58">
        <v>3.0900025000000001E-5</v>
      </c>
      <c r="G288" s="58"/>
      <c r="H288" s="58"/>
      <c r="I288" t="s">
        <v>142</v>
      </c>
      <c r="J288" s="58">
        <v>3.3716045999999997E-8</v>
      </c>
      <c r="K288" s="58">
        <v>1.1308912000000001E-6</v>
      </c>
      <c r="L288" s="58">
        <v>4.4652473000000001E-7</v>
      </c>
      <c r="M288" s="58">
        <v>1.260093E-5</v>
      </c>
      <c r="N288" s="58">
        <v>1.5413839000000001E-5</v>
      </c>
      <c r="O288" s="58">
        <v>8.9777056000000002E-8</v>
      </c>
      <c r="P288" s="58">
        <v>1.1843467E-6</v>
      </c>
      <c r="Z288" s="667"/>
      <c r="AA288" s="667"/>
      <c r="AB288" s="667"/>
      <c r="AC288" s="667"/>
      <c r="AD288" s="667"/>
      <c r="AE288" s="667"/>
      <c r="AF288" s="667"/>
      <c r="AG288" s="667"/>
      <c r="AH288" s="667"/>
      <c r="AI288" s="667"/>
      <c r="AJ288" s="667"/>
      <c r="AK288" s="667"/>
      <c r="AL288" s="667"/>
      <c r="AM288" s="667"/>
      <c r="AN288" s="667"/>
      <c r="AO288" s="667"/>
      <c r="AP288" s="667"/>
    </row>
    <row r="289" spans="2:42" x14ac:dyDescent="0.25">
      <c r="B289">
        <v>28</v>
      </c>
      <c r="C289" t="s">
        <v>169</v>
      </c>
      <c r="D289" t="s">
        <v>141</v>
      </c>
      <c r="E289" t="s">
        <v>116</v>
      </c>
      <c r="F289" s="58">
        <v>2.5954431000000002E-5</v>
      </c>
      <c r="G289" s="58"/>
      <c r="H289" s="58"/>
      <c r="I289" t="s">
        <v>142</v>
      </c>
      <c r="J289" s="58">
        <v>2.3402774000000001E-9</v>
      </c>
      <c r="K289" s="58">
        <v>1.7280614E-7</v>
      </c>
      <c r="L289" s="58">
        <v>5.4505778000000001E-8</v>
      </c>
      <c r="M289" s="58">
        <v>1.0523959000000001E-5</v>
      </c>
      <c r="N289" s="58">
        <v>1.4530763E-5</v>
      </c>
      <c r="O289" s="58">
        <v>8.4197697999999997E-9</v>
      </c>
      <c r="P289" s="58">
        <v>6.6163695000000004E-7</v>
      </c>
      <c r="Z289" s="667"/>
      <c r="AA289" s="667"/>
      <c r="AB289" s="667"/>
      <c r="AC289" s="667"/>
      <c r="AD289" s="667"/>
      <c r="AE289" s="667"/>
      <c r="AF289" s="667"/>
      <c r="AG289" s="667"/>
      <c r="AH289" s="667"/>
      <c r="AI289" s="667"/>
      <c r="AJ289" s="667"/>
      <c r="AK289" s="667"/>
      <c r="AL289" s="667"/>
      <c r="AM289" s="667"/>
      <c r="AN289" s="667"/>
      <c r="AO289" s="667"/>
      <c r="AP289" s="667"/>
    </row>
    <row r="290" spans="2:42" x14ac:dyDescent="0.25">
      <c r="B290">
        <v>29</v>
      </c>
      <c r="C290" t="s">
        <v>170</v>
      </c>
      <c r="D290" t="s">
        <v>141</v>
      </c>
      <c r="E290" t="s">
        <v>116</v>
      </c>
      <c r="F290" s="58">
        <v>1.6477625000000001E-5</v>
      </c>
      <c r="G290" s="58"/>
      <c r="H290" s="58"/>
      <c r="I290" t="s">
        <v>142</v>
      </c>
      <c r="J290" s="58">
        <v>2.8492592999999998E-8</v>
      </c>
      <c r="K290" s="58">
        <v>4.0933977999999998E-7</v>
      </c>
      <c r="L290" s="58">
        <v>6.2260693999999995E-7</v>
      </c>
      <c r="M290" s="58">
        <v>5.3736750999999998E-6</v>
      </c>
      <c r="N290" s="58">
        <v>9.3015938999999995E-6</v>
      </c>
      <c r="O290" s="58">
        <v>1.1593124E-7</v>
      </c>
      <c r="P290" s="58">
        <v>6.2598567000000003E-7</v>
      </c>
      <c r="Z290" s="667"/>
      <c r="AA290" s="667"/>
      <c r="AB290" s="667"/>
      <c r="AC290" s="667"/>
      <c r="AD290" s="667"/>
      <c r="AE290" s="667"/>
      <c r="AF290" s="667"/>
      <c r="AG290" s="667"/>
      <c r="AH290" s="667"/>
      <c r="AI290" s="667"/>
      <c r="AJ290" s="667"/>
      <c r="AK290" s="667"/>
      <c r="AL290" s="667"/>
      <c r="AM290" s="667"/>
      <c r="AN290" s="667"/>
      <c r="AO290" s="667"/>
      <c r="AP290" s="667"/>
    </row>
    <row r="291" spans="2:42" x14ac:dyDescent="0.25">
      <c r="B291">
        <v>30</v>
      </c>
      <c r="C291" t="s">
        <v>171</v>
      </c>
      <c r="D291" t="s">
        <v>141</v>
      </c>
      <c r="E291" t="s">
        <v>116</v>
      </c>
      <c r="F291" s="58">
        <v>1.5602007999999999E-5</v>
      </c>
      <c r="G291" s="58"/>
      <c r="H291" s="58"/>
      <c r="I291" t="s">
        <v>142</v>
      </c>
      <c r="J291" s="58">
        <v>3.1739758999999998E-8</v>
      </c>
      <c r="K291" s="58">
        <v>1.8311844000000001E-6</v>
      </c>
      <c r="L291" s="58">
        <v>5.4186462999999997E-7</v>
      </c>
      <c r="M291" s="58">
        <v>3.2471728E-6</v>
      </c>
      <c r="N291" s="58">
        <v>7.1577469000000004E-6</v>
      </c>
      <c r="O291" s="58">
        <v>8.4485103999999999E-8</v>
      </c>
      <c r="P291" s="58">
        <v>2.7078140000000001E-6</v>
      </c>
      <c r="Z291" s="667"/>
      <c r="AA291" s="667"/>
      <c r="AB291" s="667"/>
      <c r="AC291" s="667"/>
      <c r="AD291" s="667"/>
      <c r="AE291" s="667"/>
      <c r="AF291" s="667"/>
      <c r="AG291" s="667"/>
      <c r="AH291" s="667"/>
      <c r="AI291" s="667"/>
      <c r="AJ291" s="667"/>
      <c r="AK291" s="667"/>
      <c r="AL291" s="667"/>
      <c r="AM291" s="667"/>
      <c r="AN291" s="667"/>
      <c r="AO291" s="667"/>
      <c r="AP291" s="667"/>
    </row>
    <row r="292" spans="2:42" x14ac:dyDescent="0.25">
      <c r="B292">
        <v>31</v>
      </c>
      <c r="C292" t="s">
        <v>172</v>
      </c>
      <c r="D292" t="s">
        <v>141</v>
      </c>
      <c r="E292" t="s">
        <v>116</v>
      </c>
      <c r="F292" s="58">
        <v>1.3123514000000001E-5</v>
      </c>
      <c r="G292" s="58"/>
      <c r="H292" s="58"/>
      <c r="I292" t="s">
        <v>142</v>
      </c>
      <c r="J292" s="58">
        <v>1.4090303E-10</v>
      </c>
      <c r="K292" s="58">
        <v>1.7811369000000002E-8</v>
      </c>
      <c r="L292" s="58">
        <v>2.4411595E-8</v>
      </c>
      <c r="M292" s="58">
        <v>4.0910010999999996E-6</v>
      </c>
      <c r="N292" s="58">
        <v>6.0750893000000002E-6</v>
      </c>
      <c r="O292" s="58">
        <v>9.6396575000000002E-10</v>
      </c>
      <c r="P292" s="58">
        <v>2.9140955999999999E-6</v>
      </c>
      <c r="Z292" s="667"/>
      <c r="AA292" s="667"/>
      <c r="AB292" s="667"/>
      <c r="AC292" s="667"/>
      <c r="AD292" s="667"/>
      <c r="AE292" s="667"/>
      <c r="AF292" s="667"/>
      <c r="AG292" s="667"/>
      <c r="AH292" s="667"/>
      <c r="AI292" s="667"/>
      <c r="AJ292" s="667"/>
      <c r="AK292" s="667"/>
      <c r="AL292" s="667"/>
      <c r="AM292" s="667"/>
      <c r="AN292" s="667"/>
      <c r="AO292" s="667"/>
      <c r="AP292" s="667"/>
    </row>
    <row r="293" spans="2:42" x14ac:dyDescent="0.25">
      <c r="B293">
        <v>32</v>
      </c>
      <c r="C293" t="s">
        <v>173</v>
      </c>
      <c r="D293" t="s">
        <v>141</v>
      </c>
      <c r="E293" t="s">
        <v>116</v>
      </c>
      <c r="F293" s="58">
        <v>1.2572236999999999E-5</v>
      </c>
      <c r="G293" s="58"/>
      <c r="H293" s="58"/>
      <c r="I293" t="s">
        <v>142</v>
      </c>
      <c r="J293" s="58">
        <v>1.0288658000000001E-8</v>
      </c>
      <c r="K293" s="58">
        <v>4.1041424000000001E-7</v>
      </c>
      <c r="L293" s="58">
        <v>2.4082931E-7</v>
      </c>
      <c r="M293" s="58">
        <v>1.9918156E-6</v>
      </c>
      <c r="N293" s="58">
        <v>5.5030764999999998E-6</v>
      </c>
      <c r="O293" s="58">
        <v>4.1313772000000002E-8</v>
      </c>
      <c r="P293" s="58">
        <v>4.3744992999999998E-6</v>
      </c>
      <c r="Z293" s="667"/>
      <c r="AA293" s="667"/>
      <c r="AB293" s="667"/>
      <c r="AC293" s="667"/>
      <c r="AD293" s="667"/>
      <c r="AE293" s="667"/>
      <c r="AF293" s="667"/>
      <c r="AG293" s="667"/>
      <c r="AH293" s="667"/>
      <c r="AI293" s="667"/>
      <c r="AJ293" s="667"/>
      <c r="AK293" s="667"/>
      <c r="AL293" s="667"/>
      <c r="AM293" s="667"/>
      <c r="AN293" s="667"/>
      <c r="AO293" s="667"/>
      <c r="AP293" s="667"/>
    </row>
    <row r="294" spans="2:42" x14ac:dyDescent="0.25">
      <c r="B294">
        <v>33</v>
      </c>
      <c r="C294" t="s">
        <v>174</v>
      </c>
      <c r="D294" t="s">
        <v>141</v>
      </c>
      <c r="E294" t="s">
        <v>116</v>
      </c>
      <c r="F294" s="58">
        <v>8.2605944000000002E-6</v>
      </c>
      <c r="G294" s="58"/>
      <c r="H294" s="58"/>
      <c r="I294" t="s">
        <v>142</v>
      </c>
      <c r="J294" s="58">
        <v>3.1052458000000001E-10</v>
      </c>
      <c r="K294" s="58">
        <v>3.5307455000000003E-8</v>
      </c>
      <c r="L294" s="58">
        <v>1.9590582999999999E-8</v>
      </c>
      <c r="M294" s="58">
        <v>1.8557408000000001E-6</v>
      </c>
      <c r="N294" s="58">
        <v>4.1618743000000003E-6</v>
      </c>
      <c r="O294" s="58">
        <v>1.9259885999999998E-9</v>
      </c>
      <c r="P294" s="58">
        <v>2.1858446999999998E-6</v>
      </c>
      <c r="Z294" s="667"/>
      <c r="AA294" s="667"/>
      <c r="AB294" s="667"/>
      <c r="AC294" s="667"/>
      <c r="AD294" s="667"/>
      <c r="AE294" s="667"/>
      <c r="AF294" s="667"/>
      <c r="AG294" s="667"/>
      <c r="AH294" s="667"/>
      <c r="AI294" s="667"/>
      <c r="AJ294" s="667"/>
      <c r="AK294" s="667"/>
      <c r="AL294" s="667"/>
      <c r="AM294" s="667"/>
      <c r="AN294" s="667"/>
      <c r="AO294" s="667"/>
      <c r="AP294" s="667"/>
    </row>
    <row r="295" spans="2:42" x14ac:dyDescent="0.25">
      <c r="B295">
        <v>34</v>
      </c>
      <c r="C295" t="s">
        <v>175</v>
      </c>
      <c r="D295" t="s">
        <v>141</v>
      </c>
      <c r="E295" t="s">
        <v>116</v>
      </c>
      <c r="F295" s="58">
        <v>8.2153750999999992E-6</v>
      </c>
      <c r="G295" s="58"/>
      <c r="H295" s="58"/>
      <c r="I295" t="s">
        <v>142</v>
      </c>
      <c r="J295" s="58">
        <v>4.7222109999999999E-10</v>
      </c>
      <c r="K295" s="58">
        <v>5.0091688000000003E-8</v>
      </c>
      <c r="L295" s="58">
        <v>4.1569535999999997E-9</v>
      </c>
      <c r="M295" s="58">
        <v>3.0213671000000001E-6</v>
      </c>
      <c r="N295" s="58">
        <v>5.0158739000000003E-6</v>
      </c>
      <c r="O295" s="58">
        <v>1.7448797E-9</v>
      </c>
      <c r="P295" s="58">
        <v>1.2166839000000001E-7</v>
      </c>
      <c r="Z295" s="667"/>
      <c r="AA295" s="667"/>
      <c r="AB295" s="667"/>
      <c r="AC295" s="667"/>
      <c r="AD295" s="667"/>
      <c r="AE295" s="667"/>
      <c r="AF295" s="667"/>
      <c r="AG295" s="667"/>
      <c r="AH295" s="667"/>
      <c r="AI295" s="667"/>
      <c r="AJ295" s="667"/>
      <c r="AK295" s="667"/>
      <c r="AL295" s="667"/>
      <c r="AM295" s="667"/>
      <c r="AN295" s="667"/>
      <c r="AO295" s="667"/>
      <c r="AP295" s="667"/>
    </row>
    <row r="296" spans="2:42" x14ac:dyDescent="0.25">
      <c r="B296">
        <v>35</v>
      </c>
      <c r="C296" t="s">
        <v>176</v>
      </c>
      <c r="D296" t="s">
        <v>141</v>
      </c>
      <c r="E296" t="s">
        <v>116</v>
      </c>
      <c r="F296" s="58">
        <v>5.6290102000000004E-6</v>
      </c>
      <c r="G296" s="58"/>
      <c r="H296" s="58"/>
      <c r="I296" t="s">
        <v>142</v>
      </c>
      <c r="J296" s="58">
        <v>5.1005687999999995E-10</v>
      </c>
      <c r="K296" s="58">
        <v>1.1524099E-7</v>
      </c>
      <c r="L296" s="58">
        <v>7.9441894999999999E-7</v>
      </c>
      <c r="M296" s="58">
        <v>1.5845785E-6</v>
      </c>
      <c r="N296" s="58">
        <v>2.9206781E-6</v>
      </c>
      <c r="O296" s="58">
        <v>4.2045617000000003E-9</v>
      </c>
      <c r="P296" s="58">
        <v>2.0937902999999999E-7</v>
      </c>
      <c r="Z296" s="667"/>
      <c r="AA296" s="667"/>
      <c r="AB296" s="667"/>
      <c r="AC296" s="667"/>
      <c r="AD296" s="667"/>
      <c r="AE296" s="667"/>
      <c r="AF296" s="667"/>
      <c r="AG296" s="667"/>
      <c r="AH296" s="667"/>
      <c r="AI296" s="667"/>
      <c r="AJ296" s="667"/>
      <c r="AK296" s="667"/>
      <c r="AL296" s="667"/>
      <c r="AM296" s="667"/>
      <c r="AN296" s="667"/>
      <c r="AO296" s="667"/>
      <c r="AP296" s="667"/>
    </row>
    <row r="297" spans="2:42" x14ac:dyDescent="0.25">
      <c r="B297">
        <v>36</v>
      </c>
      <c r="C297" t="s">
        <v>177</v>
      </c>
      <c r="D297" t="s">
        <v>141</v>
      </c>
      <c r="E297" t="s">
        <v>116</v>
      </c>
      <c r="F297" s="58">
        <v>5.1696329999999999E-6</v>
      </c>
      <c r="G297" s="58"/>
      <c r="H297" s="58"/>
      <c r="I297" t="s">
        <v>142</v>
      </c>
      <c r="J297" s="58">
        <v>2.7964481999999999E-11</v>
      </c>
      <c r="K297" s="58">
        <v>3.3837721E-9</v>
      </c>
      <c r="L297" s="58">
        <v>2.1254952999999999E-8</v>
      </c>
      <c r="M297" s="58">
        <v>4.3035968E-7</v>
      </c>
      <c r="N297" s="58">
        <v>2.0588250000000001E-6</v>
      </c>
      <c r="O297" s="58">
        <v>3.6125923999999998E-10</v>
      </c>
      <c r="P297" s="58">
        <v>2.6554203999999999E-6</v>
      </c>
      <c r="Z297" s="667"/>
      <c r="AA297" s="667"/>
      <c r="AB297" s="667"/>
      <c r="AC297" s="667"/>
      <c r="AD297" s="667"/>
      <c r="AE297" s="667"/>
      <c r="AF297" s="667"/>
      <c r="AG297" s="667"/>
      <c r="AH297" s="667"/>
      <c r="AI297" s="667"/>
      <c r="AJ297" s="667"/>
      <c r="AK297" s="667"/>
      <c r="AL297" s="667"/>
      <c r="AM297" s="667"/>
      <c r="AN297" s="667"/>
      <c r="AO297" s="667"/>
      <c r="AP297" s="667"/>
    </row>
    <row r="298" spans="2:42" x14ac:dyDescent="0.25">
      <c r="B298">
        <v>37</v>
      </c>
      <c r="C298" t="s">
        <v>178</v>
      </c>
      <c r="D298" t="s">
        <v>141</v>
      </c>
      <c r="E298" t="s">
        <v>116</v>
      </c>
      <c r="F298" s="58">
        <v>4.6370146000000003E-6</v>
      </c>
      <c r="G298" s="58"/>
      <c r="H298" s="58"/>
      <c r="I298" t="s">
        <v>142</v>
      </c>
      <c r="J298" s="58">
        <v>6.3089099999999999E-9</v>
      </c>
      <c r="K298" s="58">
        <v>1.3022274E-7</v>
      </c>
      <c r="L298" s="58">
        <v>1.5920206999999999E-7</v>
      </c>
      <c r="M298" s="58">
        <v>1.2244683000000001E-6</v>
      </c>
      <c r="N298" s="58">
        <v>2.3950598E-6</v>
      </c>
      <c r="O298" s="58">
        <v>2.6232931999999999E-8</v>
      </c>
      <c r="P298" s="58">
        <v>6.9551989E-7</v>
      </c>
      <c r="Z298" s="667"/>
      <c r="AA298" s="667"/>
      <c r="AB298" s="667"/>
      <c r="AC298" s="667"/>
      <c r="AD298" s="667"/>
      <c r="AE298" s="667"/>
      <c r="AF298" s="667"/>
      <c r="AG298" s="667"/>
      <c r="AH298" s="667"/>
      <c r="AI298" s="667"/>
      <c r="AJ298" s="667"/>
      <c r="AK298" s="667"/>
      <c r="AL298" s="667"/>
      <c r="AM298" s="667"/>
      <c r="AN298" s="667"/>
      <c r="AO298" s="667"/>
      <c r="AP298" s="667"/>
    </row>
    <row r="299" spans="2:42" x14ac:dyDescent="0.25">
      <c r="B299">
        <v>38</v>
      </c>
      <c r="C299" t="s">
        <v>179</v>
      </c>
      <c r="D299" t="s">
        <v>141</v>
      </c>
      <c r="E299" t="s">
        <v>116</v>
      </c>
      <c r="F299" s="58">
        <v>4.5748506000000004E-6</v>
      </c>
      <c r="G299" s="58"/>
      <c r="H299" s="58"/>
      <c r="I299" t="s">
        <v>142</v>
      </c>
      <c r="J299" s="58">
        <v>2.1633777000000001E-9</v>
      </c>
      <c r="K299" s="58">
        <v>3.7500023E-7</v>
      </c>
      <c r="L299" s="58">
        <v>2.4139050999999998E-8</v>
      </c>
      <c r="M299" s="58">
        <v>8.8623256999999997E-7</v>
      </c>
      <c r="N299" s="58">
        <v>2.1119816E-6</v>
      </c>
      <c r="O299" s="58">
        <v>1.5376280000000001E-8</v>
      </c>
      <c r="P299" s="58">
        <v>1.1599574999999999E-6</v>
      </c>
      <c r="Z299" s="667"/>
      <c r="AA299" s="667"/>
      <c r="AB299" s="667"/>
      <c r="AC299" s="667"/>
      <c r="AD299" s="667"/>
      <c r="AE299" s="667"/>
      <c r="AF299" s="667"/>
      <c r="AG299" s="667"/>
      <c r="AH299" s="667"/>
      <c r="AI299" s="667"/>
      <c r="AJ299" s="667"/>
      <c r="AK299" s="667"/>
      <c r="AL299" s="667"/>
      <c r="AM299" s="667"/>
      <c r="AN299" s="667"/>
      <c r="AO299" s="667"/>
      <c r="AP299" s="667"/>
    </row>
    <row r="300" spans="2:42" x14ac:dyDescent="0.25">
      <c r="B300">
        <v>39</v>
      </c>
      <c r="C300" t="s">
        <v>180</v>
      </c>
      <c r="D300" t="s">
        <v>141</v>
      </c>
      <c r="E300" t="s">
        <v>116</v>
      </c>
      <c r="F300" s="58">
        <v>3.8599657999999999E-6</v>
      </c>
      <c r="G300" s="58"/>
      <c r="H300" s="58"/>
      <c r="I300" t="s">
        <v>142</v>
      </c>
      <c r="J300" s="58">
        <v>1.6525462999999999E-9</v>
      </c>
      <c r="K300" s="58">
        <v>6.1916538000000003E-8</v>
      </c>
      <c r="L300" s="58">
        <v>6.0436611000000006E-8</v>
      </c>
      <c r="M300" s="58">
        <v>4.9037651000000002E-7</v>
      </c>
      <c r="N300" s="58">
        <v>1.59287E-6</v>
      </c>
      <c r="O300" s="58">
        <v>9.8724195000000004E-9</v>
      </c>
      <c r="P300" s="58">
        <v>1.6428411999999999E-6</v>
      </c>
      <c r="Z300" s="667"/>
      <c r="AA300" s="667"/>
      <c r="AB300" s="667"/>
      <c r="AC300" s="667"/>
      <c r="AD300" s="667"/>
      <c r="AE300" s="667"/>
      <c r="AF300" s="667"/>
      <c r="AG300" s="667"/>
      <c r="AH300" s="667"/>
      <c r="AI300" s="667"/>
      <c r="AJ300" s="667"/>
      <c r="AK300" s="667"/>
      <c r="AL300" s="667"/>
      <c r="AM300" s="667"/>
      <c r="AN300" s="667"/>
      <c r="AO300" s="667"/>
      <c r="AP300" s="667"/>
    </row>
    <row r="301" spans="2:42" x14ac:dyDescent="0.25">
      <c r="B301">
        <v>40</v>
      </c>
      <c r="C301" t="s">
        <v>181</v>
      </c>
      <c r="D301" t="s">
        <v>141</v>
      </c>
      <c r="E301" t="s">
        <v>116</v>
      </c>
      <c r="F301" s="58">
        <v>2.0619391000000001E-6</v>
      </c>
      <c r="G301" s="58"/>
      <c r="H301" s="58"/>
      <c r="I301" t="s">
        <v>142</v>
      </c>
      <c r="J301" s="58">
        <v>3.3045279999999999E-10</v>
      </c>
      <c r="K301" s="58">
        <v>4.5803961000000002E-8</v>
      </c>
      <c r="L301" s="58">
        <v>1.9113205E-8</v>
      </c>
      <c r="M301" s="58">
        <v>5.5472758999999998E-7</v>
      </c>
      <c r="N301" s="58">
        <v>8.8723087000000002E-7</v>
      </c>
      <c r="O301" s="58">
        <v>6.4590355999999999E-9</v>
      </c>
      <c r="P301" s="58">
        <v>5.4827398999999999E-7</v>
      </c>
      <c r="Z301" s="667"/>
      <c r="AA301" s="667"/>
      <c r="AB301" s="667"/>
      <c r="AC301" s="667"/>
      <c r="AD301" s="667"/>
      <c r="AE301" s="667"/>
      <c r="AF301" s="667"/>
      <c r="AG301" s="667"/>
      <c r="AH301" s="667"/>
      <c r="AI301" s="667"/>
      <c r="AJ301" s="667"/>
      <c r="AK301" s="667"/>
      <c r="AL301" s="667"/>
      <c r="AM301" s="667"/>
      <c r="AN301" s="667"/>
      <c r="AO301" s="667"/>
      <c r="AP301" s="667"/>
    </row>
    <row r="302" spans="2:42" x14ac:dyDescent="0.25">
      <c r="B302">
        <v>41</v>
      </c>
      <c r="C302" t="s">
        <v>182</v>
      </c>
      <c r="D302" t="s">
        <v>141</v>
      </c>
      <c r="E302" t="s">
        <v>116</v>
      </c>
      <c r="F302" s="58">
        <v>1.6686891000000001E-6</v>
      </c>
      <c r="G302" s="58"/>
      <c r="H302" s="58"/>
      <c r="I302" t="s">
        <v>142</v>
      </c>
      <c r="J302" s="58">
        <v>2.8493374E-9</v>
      </c>
      <c r="K302" s="58">
        <v>4.0946611999999998E-8</v>
      </c>
      <c r="L302" s="58">
        <v>6.2294975000000005E-8</v>
      </c>
      <c r="M302" s="58">
        <v>5.4405442000000005E-7</v>
      </c>
      <c r="N302" s="58">
        <v>9.4002799E-7</v>
      </c>
      <c r="O302" s="58">
        <v>1.1593701E-8</v>
      </c>
      <c r="P302" s="58">
        <v>6.6922053000000002E-8</v>
      </c>
      <c r="Z302" s="667"/>
      <c r="AA302" s="667"/>
      <c r="AB302" s="667"/>
      <c r="AC302" s="667"/>
      <c r="AD302" s="667"/>
      <c r="AE302" s="667"/>
      <c r="AF302" s="667"/>
      <c r="AG302" s="667"/>
      <c r="AH302" s="667"/>
      <c r="AI302" s="667"/>
      <c r="AJ302" s="667"/>
      <c r="AK302" s="667"/>
      <c r="AL302" s="667"/>
      <c r="AM302" s="667"/>
      <c r="AN302" s="667"/>
      <c r="AO302" s="667"/>
      <c r="AP302" s="667"/>
    </row>
    <row r="303" spans="2:42" x14ac:dyDescent="0.25">
      <c r="B303">
        <v>42</v>
      </c>
      <c r="C303" t="s">
        <v>183</v>
      </c>
      <c r="D303" t="s">
        <v>141</v>
      </c>
      <c r="E303" t="s">
        <v>116</v>
      </c>
      <c r="F303" s="58">
        <v>1.6669318E-6</v>
      </c>
      <c r="G303" s="58"/>
      <c r="H303" s="58"/>
      <c r="I303" t="s">
        <v>142</v>
      </c>
      <c r="J303" s="58">
        <v>2.8589097999999999E-9</v>
      </c>
      <c r="K303" s="58">
        <v>4.2244041999999998E-8</v>
      </c>
      <c r="L303" s="58">
        <v>6.2475821999999999E-8</v>
      </c>
      <c r="M303" s="58">
        <v>5.3964788000000003E-7</v>
      </c>
      <c r="N303" s="58">
        <v>9.3791748999999997E-7</v>
      </c>
      <c r="O303" s="58">
        <v>1.1657916000000001E-8</v>
      </c>
      <c r="P303" s="58">
        <v>7.0129733999999995E-8</v>
      </c>
      <c r="Z303" s="667"/>
      <c r="AA303" s="667"/>
      <c r="AB303" s="667"/>
      <c r="AC303" s="667"/>
      <c r="AD303" s="667"/>
      <c r="AE303" s="667"/>
      <c r="AF303" s="667"/>
      <c r="AG303" s="667"/>
      <c r="AH303" s="667"/>
      <c r="AI303" s="667"/>
      <c r="AJ303" s="667"/>
      <c r="AK303" s="667"/>
      <c r="AL303" s="667"/>
      <c r="AM303" s="667"/>
      <c r="AN303" s="667"/>
      <c r="AO303" s="667"/>
      <c r="AP303" s="667"/>
    </row>
    <row r="304" spans="2:42" x14ac:dyDescent="0.25">
      <c r="B304">
        <v>43</v>
      </c>
      <c r="C304" t="s">
        <v>184</v>
      </c>
      <c r="D304" t="s">
        <v>141</v>
      </c>
      <c r="E304" t="s">
        <v>116</v>
      </c>
      <c r="F304" s="58">
        <v>1.2426502999999999E-6</v>
      </c>
      <c r="G304" s="58"/>
      <c r="H304" s="58"/>
      <c r="I304" t="s">
        <v>142</v>
      </c>
      <c r="J304" s="58">
        <v>3.5087402E-12</v>
      </c>
      <c r="K304" s="58">
        <v>2.4728236000000002E-10</v>
      </c>
      <c r="L304" s="58">
        <v>5.0862043999999998E-9</v>
      </c>
      <c r="M304" s="58">
        <v>1.0322366E-7</v>
      </c>
      <c r="N304" s="58">
        <v>4.9485900000000005E-7</v>
      </c>
      <c r="O304" s="58">
        <v>3.2909130000000001E-11</v>
      </c>
      <c r="P304" s="58">
        <v>6.3919774000000001E-7</v>
      </c>
      <c r="Z304" s="667"/>
      <c r="AA304" s="667"/>
      <c r="AB304" s="667"/>
      <c r="AC304" s="667"/>
      <c r="AD304" s="667"/>
      <c r="AE304" s="667"/>
      <c r="AF304" s="667"/>
      <c r="AG304" s="667"/>
      <c r="AH304" s="667"/>
      <c r="AI304" s="667"/>
      <c r="AJ304" s="667"/>
      <c r="AK304" s="667"/>
      <c r="AL304" s="667"/>
      <c r="AM304" s="667"/>
      <c r="AN304" s="667"/>
      <c r="AO304" s="667"/>
      <c r="AP304" s="667"/>
    </row>
    <row r="305" spans="2:42" x14ac:dyDescent="0.25">
      <c r="B305">
        <v>44</v>
      </c>
      <c r="C305" t="s">
        <v>185</v>
      </c>
      <c r="D305" t="s">
        <v>141</v>
      </c>
      <c r="E305" t="s">
        <v>116</v>
      </c>
      <c r="F305" s="58">
        <v>1.1579445E-6</v>
      </c>
      <c r="G305" s="58"/>
      <c r="H305" s="58"/>
      <c r="I305" t="s">
        <v>142</v>
      </c>
      <c r="J305" s="58">
        <v>3.9657287E-11</v>
      </c>
      <c r="K305" s="58">
        <v>6.4649481000000003E-9</v>
      </c>
      <c r="L305" s="58">
        <v>5.9418829999999997E-10</v>
      </c>
      <c r="M305" s="58">
        <v>5.7790648000000001E-7</v>
      </c>
      <c r="N305" s="58">
        <v>5.5174584E-7</v>
      </c>
      <c r="O305" s="58">
        <v>2.3385712999999999E-10</v>
      </c>
      <c r="P305" s="58">
        <v>2.095951E-8</v>
      </c>
      <c r="Z305" s="667"/>
      <c r="AA305" s="667"/>
      <c r="AB305" s="667"/>
      <c r="AC305" s="667"/>
      <c r="AD305" s="667"/>
      <c r="AE305" s="667"/>
      <c r="AF305" s="667"/>
      <c r="AG305" s="667"/>
      <c r="AH305" s="667"/>
      <c r="AI305" s="667"/>
      <c r="AJ305" s="667"/>
      <c r="AK305" s="667"/>
      <c r="AL305" s="667"/>
      <c r="AM305" s="667"/>
      <c r="AN305" s="667"/>
      <c r="AO305" s="667"/>
      <c r="AP305" s="667"/>
    </row>
    <row r="306" spans="2:42" x14ac:dyDescent="0.25">
      <c r="B306">
        <v>45</v>
      </c>
      <c r="C306" t="s">
        <v>186</v>
      </c>
      <c r="D306" t="s">
        <v>141</v>
      </c>
      <c r="E306" t="s">
        <v>116</v>
      </c>
      <c r="F306" s="58">
        <v>9.4884165999999995E-7</v>
      </c>
      <c r="G306" s="58"/>
      <c r="H306" s="58"/>
      <c r="I306" t="s">
        <v>142</v>
      </c>
      <c r="J306" s="58">
        <v>2.6930005000000001E-10</v>
      </c>
      <c r="K306" s="58">
        <v>4.9197664E-8</v>
      </c>
      <c r="L306" s="58">
        <v>7.4182108E-9</v>
      </c>
      <c r="M306" s="58">
        <v>9.5895957000000003E-8</v>
      </c>
      <c r="N306" s="58">
        <v>3.7638684000000002E-7</v>
      </c>
      <c r="O306" s="58">
        <v>1.0389707E-8</v>
      </c>
      <c r="P306" s="58">
        <v>4.0928397000000002E-7</v>
      </c>
      <c r="Z306" s="667"/>
      <c r="AA306" s="667"/>
      <c r="AB306" s="667"/>
      <c r="AC306" s="667"/>
      <c r="AD306" s="667"/>
      <c r="AE306" s="667"/>
      <c r="AF306" s="667"/>
      <c r="AG306" s="667"/>
      <c r="AH306" s="667"/>
      <c r="AI306" s="667"/>
      <c r="AJ306" s="667"/>
      <c r="AK306" s="667"/>
      <c r="AL306" s="667"/>
      <c r="AM306" s="667"/>
      <c r="AN306" s="667"/>
      <c r="AO306" s="667"/>
      <c r="AP306" s="667"/>
    </row>
    <row r="307" spans="2:42" x14ac:dyDescent="0.25">
      <c r="B307">
        <v>46</v>
      </c>
      <c r="C307" t="s">
        <v>187</v>
      </c>
      <c r="D307" t="s">
        <v>141</v>
      </c>
      <c r="E307" t="s">
        <v>116</v>
      </c>
      <c r="F307" s="58">
        <v>5.8059905999999998E-7</v>
      </c>
      <c r="G307" s="58"/>
      <c r="H307" s="58"/>
      <c r="I307" t="s">
        <v>142</v>
      </c>
      <c r="J307" s="58">
        <v>1.8693946E-10</v>
      </c>
      <c r="K307" s="58">
        <v>1.7641371999999998E-8</v>
      </c>
      <c r="L307" s="58">
        <v>4.4598115000000002E-9</v>
      </c>
      <c r="M307" s="58">
        <v>5.4968291000000003E-8</v>
      </c>
      <c r="N307" s="58">
        <v>2.2844389E-7</v>
      </c>
      <c r="O307" s="58">
        <v>1.1850359E-9</v>
      </c>
      <c r="P307" s="58">
        <v>2.7371371999999998E-7</v>
      </c>
      <c r="Z307" s="667"/>
      <c r="AA307" s="667"/>
      <c r="AB307" s="667"/>
      <c r="AC307" s="667"/>
      <c r="AD307" s="667"/>
      <c r="AE307" s="667"/>
      <c r="AF307" s="667"/>
      <c r="AG307" s="667"/>
      <c r="AH307" s="667"/>
      <c r="AI307" s="667"/>
      <c r="AJ307" s="667"/>
      <c r="AK307" s="667"/>
      <c r="AL307" s="667"/>
      <c r="AM307" s="667"/>
      <c r="AN307" s="667"/>
      <c r="AO307" s="667"/>
      <c r="AP307" s="667"/>
    </row>
    <row r="308" spans="2:42" x14ac:dyDescent="0.25">
      <c r="B308">
        <v>47</v>
      </c>
      <c r="C308" t="s">
        <v>188</v>
      </c>
      <c r="D308" t="s">
        <v>141</v>
      </c>
      <c r="E308" t="s">
        <v>116</v>
      </c>
      <c r="F308" s="58">
        <v>5.7622795000000005E-7</v>
      </c>
      <c r="G308" s="58"/>
      <c r="H308" s="58"/>
      <c r="I308" t="s">
        <v>142</v>
      </c>
      <c r="J308" s="58">
        <v>4.7319346E-10</v>
      </c>
      <c r="K308" s="58">
        <v>1.0542362000000001E-8</v>
      </c>
      <c r="L308" s="58">
        <v>1.9453584E-8</v>
      </c>
      <c r="M308" s="58">
        <v>7.9940895000000004E-8</v>
      </c>
      <c r="N308" s="58">
        <v>2.3980826000000002E-7</v>
      </c>
      <c r="O308" s="58">
        <v>1.2592322000000001E-9</v>
      </c>
      <c r="P308" s="58">
        <v>2.2475042000000001E-7</v>
      </c>
      <c r="Z308" s="667"/>
      <c r="AA308" s="667"/>
      <c r="AB308" s="667"/>
      <c r="AC308" s="667"/>
      <c r="AD308" s="667"/>
      <c r="AE308" s="667"/>
      <c r="AF308" s="667"/>
      <c r="AG308" s="667"/>
      <c r="AH308" s="667"/>
      <c r="AI308" s="667"/>
      <c r="AJ308" s="667"/>
      <c r="AK308" s="667"/>
      <c r="AL308" s="667"/>
      <c r="AM308" s="667"/>
      <c r="AN308" s="667"/>
      <c r="AO308" s="667"/>
      <c r="AP308" s="667"/>
    </row>
    <row r="309" spans="2:42" x14ac:dyDescent="0.25">
      <c r="B309">
        <v>48</v>
      </c>
      <c r="C309" t="s">
        <v>189</v>
      </c>
      <c r="D309" t="s">
        <v>141</v>
      </c>
      <c r="E309" t="s">
        <v>116</v>
      </c>
      <c r="F309" s="58">
        <v>4.6811448000000003E-7</v>
      </c>
      <c r="G309" s="58"/>
      <c r="H309" s="58"/>
      <c r="I309" t="s">
        <v>142</v>
      </c>
      <c r="J309" s="58">
        <v>8.0206681999999998E-12</v>
      </c>
      <c r="K309" s="58">
        <v>5.4127801999999999E-10</v>
      </c>
      <c r="L309" s="58">
        <v>2.0083487E-9</v>
      </c>
      <c r="M309" s="58">
        <v>3.9014432E-8</v>
      </c>
      <c r="N309" s="58">
        <v>1.8636313999999999E-7</v>
      </c>
      <c r="O309" s="58">
        <v>7.6100096000000005E-11</v>
      </c>
      <c r="P309" s="58">
        <v>2.4010316000000001E-7</v>
      </c>
      <c r="Z309" s="667"/>
      <c r="AA309" s="667"/>
      <c r="AB309" s="667"/>
      <c r="AC309" s="667"/>
      <c r="AD309" s="667"/>
      <c r="AE309" s="667"/>
      <c r="AF309" s="667"/>
      <c r="AG309" s="667"/>
      <c r="AH309" s="667"/>
      <c r="AI309" s="667"/>
      <c r="AJ309" s="667"/>
      <c r="AK309" s="667"/>
      <c r="AL309" s="667"/>
      <c r="AM309" s="667"/>
      <c r="AN309" s="667"/>
      <c r="AO309" s="667"/>
      <c r="AP309" s="667"/>
    </row>
    <row r="310" spans="2:42" x14ac:dyDescent="0.25">
      <c r="B310">
        <v>49</v>
      </c>
      <c r="C310" t="s">
        <v>190</v>
      </c>
      <c r="D310" t="s">
        <v>141</v>
      </c>
      <c r="E310" t="s">
        <v>116</v>
      </c>
      <c r="F310" s="58">
        <v>3.9141150000000002E-7</v>
      </c>
      <c r="G310" s="58"/>
      <c r="H310" s="58"/>
      <c r="I310" t="s">
        <v>142</v>
      </c>
      <c r="J310" s="58">
        <v>6.4222483000000004E-11</v>
      </c>
      <c r="K310" s="58">
        <v>2.6661221000000001E-9</v>
      </c>
      <c r="L310" s="58">
        <v>2.6826944000000001E-9</v>
      </c>
      <c r="M310" s="58">
        <v>3.5138082999999997E-8</v>
      </c>
      <c r="N310" s="58">
        <v>1.5589102E-7</v>
      </c>
      <c r="O310" s="58">
        <v>2.0998473000000001E-10</v>
      </c>
      <c r="P310" s="58">
        <v>1.9475938000000001E-7</v>
      </c>
      <c r="Z310" s="667"/>
      <c r="AA310" s="667"/>
      <c r="AB310" s="667"/>
      <c r="AC310" s="667"/>
      <c r="AD310" s="667"/>
      <c r="AE310" s="667"/>
      <c r="AF310" s="667"/>
      <c r="AG310" s="667"/>
      <c r="AH310" s="667"/>
      <c r="AI310" s="667"/>
      <c r="AJ310" s="667"/>
      <c r="AK310" s="667"/>
      <c r="AL310" s="667"/>
      <c r="AM310" s="667"/>
      <c r="AN310" s="667"/>
      <c r="AO310" s="667"/>
      <c r="AP310" s="667"/>
    </row>
    <row r="311" spans="2:42" x14ac:dyDescent="0.25">
      <c r="B311">
        <v>50</v>
      </c>
      <c r="C311" t="s">
        <v>191</v>
      </c>
      <c r="D311" t="s">
        <v>141</v>
      </c>
      <c r="E311" t="s">
        <v>116</v>
      </c>
      <c r="F311" s="58">
        <v>1.1459125E-7</v>
      </c>
      <c r="G311" s="58"/>
      <c r="H311" s="58"/>
      <c r="I311" t="s">
        <v>142</v>
      </c>
      <c r="J311" s="58">
        <v>3.5314983999999999E-12</v>
      </c>
      <c r="K311" s="58">
        <v>6.0833362E-10</v>
      </c>
      <c r="L311" s="58">
        <v>5.3034492000000005E-10</v>
      </c>
      <c r="M311" s="58">
        <v>9.6947552999999999E-9</v>
      </c>
      <c r="N311" s="58">
        <v>4.5569930000000001E-8</v>
      </c>
      <c r="O311" s="58">
        <v>1.9117408E-10</v>
      </c>
      <c r="P311" s="58">
        <v>5.7993184000000001E-8</v>
      </c>
      <c r="Z311" s="667"/>
      <c r="AA311" s="667"/>
      <c r="AB311" s="667"/>
      <c r="AC311" s="667"/>
      <c r="AD311" s="667"/>
      <c r="AE311" s="667"/>
      <c r="AF311" s="667"/>
      <c r="AG311" s="667"/>
      <c r="AH311" s="667"/>
      <c r="AI311" s="667"/>
      <c r="AJ311" s="667"/>
      <c r="AK311" s="667"/>
      <c r="AL311" s="667"/>
      <c r="AM311" s="667"/>
      <c r="AN311" s="667"/>
      <c r="AO311" s="667"/>
      <c r="AP311" s="667"/>
    </row>
    <row r="312" spans="2:42" x14ac:dyDescent="0.25">
      <c r="B312">
        <v>51</v>
      </c>
      <c r="C312" t="s">
        <v>192</v>
      </c>
      <c r="D312" t="s">
        <v>141</v>
      </c>
      <c r="E312" t="s">
        <v>116</v>
      </c>
      <c r="F312" s="58">
        <v>1.126768E-7</v>
      </c>
      <c r="G312" s="58"/>
      <c r="H312" s="58"/>
      <c r="I312" t="s">
        <v>142</v>
      </c>
      <c r="J312" s="58">
        <v>1.1127480000000001E-11</v>
      </c>
      <c r="K312" s="58">
        <v>1.1866722000000001E-9</v>
      </c>
      <c r="L312" s="58">
        <v>4.5989816000000001E-10</v>
      </c>
      <c r="M312" s="58">
        <v>1.5593355E-8</v>
      </c>
      <c r="N312" s="58">
        <v>4.6647343999999998E-8</v>
      </c>
      <c r="O312" s="58">
        <v>5.7850344999999998E-11</v>
      </c>
      <c r="P312" s="58">
        <v>4.8720549999999999E-8</v>
      </c>
      <c r="Z312" s="667"/>
      <c r="AA312" s="667"/>
      <c r="AB312" s="667"/>
      <c r="AC312" s="667"/>
      <c r="AD312" s="667"/>
      <c r="AE312" s="667"/>
      <c r="AF312" s="667"/>
      <c r="AG312" s="667"/>
      <c r="AH312" s="667"/>
      <c r="AI312" s="667"/>
      <c r="AJ312" s="667"/>
      <c r="AK312" s="667"/>
      <c r="AL312" s="667"/>
      <c r="AM312" s="667"/>
      <c r="AN312" s="667"/>
      <c r="AO312" s="667"/>
      <c r="AP312" s="667"/>
    </row>
    <row r="313" spans="2:42" x14ac:dyDescent="0.25">
      <c r="B313">
        <v>52</v>
      </c>
      <c r="C313" t="s">
        <v>193</v>
      </c>
      <c r="D313" t="s">
        <v>141</v>
      </c>
      <c r="E313" t="s">
        <v>116</v>
      </c>
      <c r="F313" s="58">
        <v>1.0016978E-7</v>
      </c>
      <c r="G313" s="58"/>
      <c r="H313" s="58"/>
      <c r="I313" t="s">
        <v>142</v>
      </c>
      <c r="J313" s="58">
        <v>6.0479896999999998E-12</v>
      </c>
      <c r="K313" s="58">
        <v>1.3600318000000001E-9</v>
      </c>
      <c r="L313" s="58">
        <v>6.2609243000000003E-10</v>
      </c>
      <c r="M313" s="58">
        <v>1.4263308000000001E-8</v>
      </c>
      <c r="N313" s="58">
        <v>4.1352869000000001E-8</v>
      </c>
      <c r="O313" s="58">
        <v>8.5912848000000006E-11</v>
      </c>
      <c r="P313" s="58">
        <v>4.2475520999999999E-8</v>
      </c>
      <c r="Z313" s="667"/>
      <c r="AA313" s="667"/>
      <c r="AB313" s="667"/>
      <c r="AC313" s="667"/>
      <c r="AD313" s="667"/>
      <c r="AE313" s="667"/>
      <c r="AF313" s="667"/>
      <c r="AG313" s="667"/>
      <c r="AH313" s="667"/>
      <c r="AI313" s="667"/>
      <c r="AJ313" s="667"/>
      <c r="AK313" s="667"/>
      <c r="AL313" s="667"/>
      <c r="AM313" s="667"/>
      <c r="AN313" s="667"/>
      <c r="AO313" s="667"/>
      <c r="AP313" s="667"/>
    </row>
    <row r="314" spans="2:42" x14ac:dyDescent="0.25">
      <c r="B314">
        <v>53</v>
      </c>
      <c r="C314" t="s">
        <v>194</v>
      </c>
      <c r="D314" t="s">
        <v>141</v>
      </c>
      <c r="E314" t="s">
        <v>116</v>
      </c>
      <c r="F314" s="58">
        <v>9.8461181999999996E-8</v>
      </c>
      <c r="G314" s="58"/>
      <c r="H314" s="58"/>
      <c r="I314" t="s">
        <v>142</v>
      </c>
      <c r="J314" s="58">
        <v>6.0664698E-12</v>
      </c>
      <c r="K314" s="58">
        <v>5.8037691E-10</v>
      </c>
      <c r="L314" s="58">
        <v>1.5077396E-8</v>
      </c>
      <c r="M314" s="58">
        <v>7.2080274000000004E-9</v>
      </c>
      <c r="N314" s="58">
        <v>3.6157147999999998E-8</v>
      </c>
      <c r="O314" s="58">
        <v>3.6705917999999998E-11</v>
      </c>
      <c r="P314" s="58">
        <v>3.9395461999999998E-8</v>
      </c>
      <c r="Z314" s="667"/>
      <c r="AA314" s="667"/>
      <c r="AB314" s="667"/>
      <c r="AC314" s="667"/>
      <c r="AD314" s="667"/>
      <c r="AE314" s="667"/>
      <c r="AF314" s="667"/>
      <c r="AG314" s="667"/>
      <c r="AH314" s="667"/>
      <c r="AI314" s="667"/>
      <c r="AJ314" s="667"/>
      <c r="AK314" s="667"/>
      <c r="AL314" s="667"/>
      <c r="AM314" s="667"/>
      <c r="AN314" s="667"/>
      <c r="AO314" s="667"/>
      <c r="AP314" s="667"/>
    </row>
    <row r="315" spans="2:42" x14ac:dyDescent="0.25">
      <c r="B315">
        <v>54</v>
      </c>
      <c r="C315" t="s">
        <v>195</v>
      </c>
      <c r="D315" t="s">
        <v>141</v>
      </c>
      <c r="E315" t="s">
        <v>116</v>
      </c>
      <c r="F315" s="58">
        <v>7.5431892000000002E-8</v>
      </c>
      <c r="G315" s="58"/>
      <c r="H315" s="58"/>
      <c r="I315" t="s">
        <v>142</v>
      </c>
      <c r="J315" s="58">
        <v>3.5606255000000002E-12</v>
      </c>
      <c r="K315" s="58">
        <v>7.6773126000000002E-10</v>
      </c>
      <c r="L315" s="58">
        <v>1.6314809E-10</v>
      </c>
      <c r="M315" s="58">
        <v>9.2841564999999992E-9</v>
      </c>
      <c r="N315" s="58">
        <v>3.0842010000000002E-8</v>
      </c>
      <c r="O315" s="58">
        <v>2.6635618999999999E-11</v>
      </c>
      <c r="P315" s="58">
        <v>3.4344650000000002E-8</v>
      </c>
      <c r="Z315" s="667"/>
      <c r="AA315" s="667"/>
      <c r="AB315" s="667"/>
      <c r="AC315" s="667"/>
      <c r="AD315" s="667"/>
      <c r="AE315" s="667"/>
      <c r="AF315" s="667"/>
      <c r="AG315" s="667"/>
      <c r="AH315" s="667"/>
      <c r="AI315" s="667"/>
      <c r="AJ315" s="667"/>
      <c r="AK315" s="667"/>
      <c r="AL315" s="667"/>
      <c r="AM315" s="667"/>
      <c r="AN315" s="667"/>
      <c r="AO315" s="667"/>
      <c r="AP315" s="667"/>
    </row>
    <row r="316" spans="2:42" x14ac:dyDescent="0.25">
      <c r="B316">
        <v>55</v>
      </c>
      <c r="C316" t="s">
        <v>196</v>
      </c>
      <c r="D316" t="s">
        <v>141</v>
      </c>
      <c r="E316" t="s">
        <v>116</v>
      </c>
      <c r="F316" s="58">
        <v>5.6329706999999998E-8</v>
      </c>
      <c r="G316" s="58"/>
      <c r="H316" s="58"/>
      <c r="I316" t="s">
        <v>142</v>
      </c>
      <c r="J316" s="58">
        <v>2.2385637999999999E-11</v>
      </c>
      <c r="K316" s="58">
        <v>3.9416426000000001E-9</v>
      </c>
      <c r="L316" s="58">
        <v>6.0256559000000002E-10</v>
      </c>
      <c r="M316" s="58">
        <v>6.6660548E-9</v>
      </c>
      <c r="N316" s="58">
        <v>2.2636005E-8</v>
      </c>
      <c r="O316" s="58">
        <v>2.6038577999999999E-10</v>
      </c>
      <c r="P316" s="58">
        <v>2.2200668000000001E-8</v>
      </c>
      <c r="Z316" s="667"/>
      <c r="AA316" s="667"/>
      <c r="AB316" s="667"/>
      <c r="AC316" s="667"/>
      <c r="AD316" s="667"/>
      <c r="AE316" s="667"/>
      <c r="AF316" s="667"/>
      <c r="AG316" s="667"/>
      <c r="AH316" s="667"/>
      <c r="AI316" s="667"/>
      <c r="AJ316" s="667"/>
      <c r="AK316" s="667"/>
      <c r="AL316" s="667"/>
      <c r="AM316" s="667"/>
      <c r="AN316" s="667"/>
      <c r="AO316" s="667"/>
      <c r="AP316" s="667"/>
    </row>
    <row r="317" spans="2:42" x14ac:dyDescent="0.25">
      <c r="B317">
        <v>56</v>
      </c>
      <c r="C317" t="s">
        <v>197</v>
      </c>
      <c r="D317" t="s">
        <v>141</v>
      </c>
      <c r="E317" t="s">
        <v>116</v>
      </c>
      <c r="F317" s="58">
        <v>4.4378713999999998E-8</v>
      </c>
      <c r="G317" s="58"/>
      <c r="H317" s="58"/>
      <c r="I317" t="s">
        <v>142</v>
      </c>
      <c r="J317" s="58">
        <v>2.5464654E-11</v>
      </c>
      <c r="K317" s="58">
        <v>4.7369825999999999E-9</v>
      </c>
      <c r="L317" s="58">
        <v>2.6461649999999998E-10</v>
      </c>
      <c r="M317" s="58">
        <v>5.8132993E-9</v>
      </c>
      <c r="N317" s="58">
        <v>1.8074252000000001E-8</v>
      </c>
      <c r="O317" s="58">
        <v>2.2146518999999999E-10</v>
      </c>
      <c r="P317" s="58">
        <v>1.5242632999999998E-8</v>
      </c>
      <c r="Z317" s="667"/>
      <c r="AA317" s="667"/>
      <c r="AB317" s="667"/>
      <c r="AC317" s="667"/>
      <c r="AD317" s="667"/>
      <c r="AE317" s="667"/>
      <c r="AF317" s="667"/>
      <c r="AG317" s="667"/>
      <c r="AH317" s="667"/>
      <c r="AI317" s="667"/>
      <c r="AJ317" s="667"/>
      <c r="AK317" s="667"/>
      <c r="AL317" s="667"/>
      <c r="AM317" s="667"/>
      <c r="AN317" s="667"/>
      <c r="AO317" s="667"/>
      <c r="AP317" s="667"/>
    </row>
    <row r="318" spans="2:42" x14ac:dyDescent="0.25">
      <c r="B318">
        <v>57</v>
      </c>
      <c r="C318" t="s">
        <v>198</v>
      </c>
      <c r="D318" t="s">
        <v>141</v>
      </c>
      <c r="E318" t="s">
        <v>116</v>
      </c>
      <c r="F318" s="58">
        <v>3.6133273000000001E-8</v>
      </c>
      <c r="G318" s="58"/>
      <c r="H318" s="58"/>
      <c r="I318" t="s">
        <v>142</v>
      </c>
      <c r="J318" s="58">
        <v>2.9710364999999997E-11</v>
      </c>
      <c r="K318" s="58">
        <v>5.3852955999999998E-9</v>
      </c>
      <c r="L318" s="58">
        <v>3.5636403000000001E-10</v>
      </c>
      <c r="M318" s="58">
        <v>5.1300111999999997E-9</v>
      </c>
      <c r="N318" s="58">
        <v>1.4687912000000001E-8</v>
      </c>
      <c r="O318" s="58">
        <v>5.1411978999999997E-10</v>
      </c>
      <c r="P318" s="58">
        <v>1.002986E-8</v>
      </c>
      <c r="Z318" s="667"/>
      <c r="AA318" s="667"/>
      <c r="AB318" s="667"/>
      <c r="AC318" s="667"/>
      <c r="AD318" s="667"/>
      <c r="AE318" s="667"/>
      <c r="AF318" s="667"/>
      <c r="AG318" s="667"/>
      <c r="AH318" s="667"/>
      <c r="AI318" s="667"/>
      <c r="AJ318" s="667"/>
      <c r="AK318" s="667"/>
      <c r="AL318" s="667"/>
      <c r="AM318" s="667"/>
      <c r="AN318" s="667"/>
      <c r="AO318" s="667"/>
      <c r="AP318" s="667"/>
    </row>
    <row r="319" spans="2:42" x14ac:dyDescent="0.25">
      <c r="B319">
        <v>58</v>
      </c>
      <c r="C319" t="s">
        <v>199</v>
      </c>
      <c r="D319" t="s">
        <v>141</v>
      </c>
      <c r="E319" t="s">
        <v>116</v>
      </c>
      <c r="F319" s="58">
        <v>3.3322685000000002E-8</v>
      </c>
      <c r="G319" s="58"/>
      <c r="H319" s="58"/>
      <c r="I319" t="s">
        <v>142</v>
      </c>
      <c r="J319" s="58">
        <v>5.4134201999999999E-12</v>
      </c>
      <c r="K319" s="58">
        <v>4.3358573E-10</v>
      </c>
      <c r="L319" s="58">
        <v>2.3424710999999999E-10</v>
      </c>
      <c r="M319" s="58">
        <v>2.9693496000000002E-9</v>
      </c>
      <c r="N319" s="58">
        <v>1.3253344E-8</v>
      </c>
      <c r="O319" s="58">
        <v>3.1088963000000002E-11</v>
      </c>
      <c r="P319" s="58">
        <v>1.6395657E-8</v>
      </c>
      <c r="Z319" s="667"/>
      <c r="AA319" s="667"/>
      <c r="AB319" s="667"/>
      <c r="AC319" s="667"/>
      <c r="AD319" s="667"/>
      <c r="AE319" s="667"/>
      <c r="AF319" s="667"/>
      <c r="AG319" s="667"/>
      <c r="AH319" s="667"/>
      <c r="AI319" s="667"/>
      <c r="AJ319" s="667"/>
      <c r="AK319" s="667"/>
      <c r="AL319" s="667"/>
      <c r="AM319" s="667"/>
      <c r="AN319" s="667"/>
      <c r="AO319" s="667"/>
      <c r="AP319" s="667"/>
    </row>
    <row r="320" spans="2:42" x14ac:dyDescent="0.25">
      <c r="B320">
        <v>59</v>
      </c>
      <c r="C320" t="s">
        <v>200</v>
      </c>
      <c r="D320" t="s">
        <v>141</v>
      </c>
      <c r="E320" t="s">
        <v>116</v>
      </c>
      <c r="F320" s="58">
        <v>3.2052089E-8</v>
      </c>
      <c r="G320" s="58"/>
      <c r="H320" s="58"/>
      <c r="I320" t="s">
        <v>142</v>
      </c>
      <c r="J320" s="58">
        <v>1.7931154E-11</v>
      </c>
      <c r="K320" s="58">
        <v>1.7494378E-9</v>
      </c>
      <c r="L320" s="58">
        <v>5.4669602000000004E-10</v>
      </c>
      <c r="M320" s="58">
        <v>3.9884197999999997E-9</v>
      </c>
      <c r="N320" s="58">
        <v>1.2961902999999999E-8</v>
      </c>
      <c r="O320" s="58">
        <v>3.9565240000000001E-10</v>
      </c>
      <c r="P320" s="58">
        <v>1.2392049E-8</v>
      </c>
      <c r="Z320" s="667"/>
      <c r="AA320" s="667"/>
      <c r="AB320" s="667"/>
      <c r="AC320" s="667"/>
      <c r="AD320" s="667"/>
      <c r="AE320" s="667"/>
      <c r="AF320" s="667"/>
      <c r="AG320" s="667"/>
      <c r="AH320" s="667"/>
      <c r="AI320" s="667"/>
      <c r="AJ320" s="667"/>
      <c r="AK320" s="667"/>
      <c r="AL320" s="667"/>
      <c r="AM320" s="667"/>
      <c r="AN320" s="667"/>
      <c r="AO320" s="667"/>
      <c r="AP320" s="667"/>
    </row>
    <row r="321" spans="2:42" x14ac:dyDescent="0.25">
      <c r="B321">
        <v>60</v>
      </c>
      <c r="C321" t="s">
        <v>201</v>
      </c>
      <c r="D321" t="s">
        <v>141</v>
      </c>
      <c r="E321" t="s">
        <v>116</v>
      </c>
      <c r="F321" s="58">
        <v>3.1685797000000001E-8</v>
      </c>
      <c r="G321" s="58"/>
      <c r="H321" s="58"/>
      <c r="I321" t="s">
        <v>142</v>
      </c>
      <c r="J321" s="58">
        <v>8.9411778999999996E-14</v>
      </c>
      <c r="K321" s="58">
        <v>6.2951674999999999E-12</v>
      </c>
      <c r="L321" s="58">
        <v>1.2969050999999999E-10</v>
      </c>
      <c r="M321" s="58">
        <v>2.6320511000000002E-9</v>
      </c>
      <c r="N321" s="58">
        <v>1.2618193E-8</v>
      </c>
      <c r="O321" s="58">
        <v>8.3816467999999995E-13</v>
      </c>
      <c r="P321" s="58">
        <v>1.629864E-8</v>
      </c>
      <c r="Z321" s="667"/>
      <c r="AA321" s="667"/>
      <c r="AB321" s="667"/>
      <c r="AC321" s="667"/>
      <c r="AD321" s="667"/>
      <c r="AE321" s="667"/>
      <c r="AF321" s="667"/>
      <c r="AG321" s="667"/>
      <c r="AH321" s="667"/>
      <c r="AI321" s="667"/>
      <c r="AJ321" s="667"/>
      <c r="AK321" s="667"/>
      <c r="AL321" s="667"/>
      <c r="AM321" s="667"/>
      <c r="AN321" s="667"/>
      <c r="AO321" s="667"/>
      <c r="AP321" s="667"/>
    </row>
    <row r="322" spans="2:42" x14ac:dyDescent="0.25">
      <c r="B322">
        <v>61</v>
      </c>
      <c r="C322" t="s">
        <v>202</v>
      </c>
      <c r="D322" t="s">
        <v>141</v>
      </c>
      <c r="E322" t="s">
        <v>116</v>
      </c>
      <c r="F322" s="58">
        <v>2.9770447999999998E-8</v>
      </c>
      <c r="G322" s="58"/>
      <c r="H322" s="58"/>
      <c r="I322" t="s">
        <v>142</v>
      </c>
      <c r="J322" s="58">
        <v>1.4306872000000001E-11</v>
      </c>
      <c r="K322" s="58">
        <v>1.8226743999999999E-8</v>
      </c>
      <c r="L322" s="58">
        <v>1.3227723E-10</v>
      </c>
      <c r="M322" s="58">
        <v>1.3702045999999999E-9</v>
      </c>
      <c r="N322" s="58">
        <v>6.8579661E-9</v>
      </c>
      <c r="O322" s="58">
        <v>1.4200983E-10</v>
      </c>
      <c r="P322" s="58">
        <v>3.0269391E-9</v>
      </c>
      <c r="Z322" s="667"/>
      <c r="AA322" s="667"/>
      <c r="AB322" s="667"/>
      <c r="AC322" s="667"/>
      <c r="AD322" s="667"/>
      <c r="AE322" s="667"/>
      <c r="AF322" s="667"/>
      <c r="AG322" s="667"/>
      <c r="AH322" s="667"/>
      <c r="AI322" s="667"/>
      <c r="AJ322" s="667"/>
      <c r="AK322" s="667"/>
      <c r="AL322" s="667"/>
      <c r="AM322" s="667"/>
      <c r="AN322" s="667"/>
      <c r="AO322" s="667"/>
      <c r="AP322" s="667"/>
    </row>
    <row r="323" spans="2:42" x14ac:dyDescent="0.25">
      <c r="B323">
        <v>62</v>
      </c>
      <c r="C323" t="s">
        <v>203</v>
      </c>
      <c r="D323" t="s">
        <v>141</v>
      </c>
      <c r="E323" t="s">
        <v>116</v>
      </c>
      <c r="F323" s="58">
        <v>2.8423806000000001E-8</v>
      </c>
      <c r="G323" s="58"/>
      <c r="H323" s="58"/>
      <c r="I323" t="s">
        <v>142</v>
      </c>
      <c r="J323" s="58">
        <v>6.7057065000000001E-12</v>
      </c>
      <c r="K323" s="58">
        <v>1.5450405000000001E-10</v>
      </c>
      <c r="L323" s="58">
        <v>4.1394234E-10</v>
      </c>
      <c r="M323" s="58">
        <v>4.6865203000000002E-9</v>
      </c>
      <c r="N323" s="58">
        <v>1.2075571000000001E-8</v>
      </c>
      <c r="O323" s="58">
        <v>1.7007687000000001E-10</v>
      </c>
      <c r="P323" s="58">
        <v>1.0916485999999999E-8</v>
      </c>
      <c r="Z323" s="667"/>
      <c r="AA323" s="667"/>
      <c r="AB323" s="667"/>
      <c r="AC323" s="667"/>
      <c r="AD323" s="667"/>
      <c r="AE323" s="667"/>
      <c r="AF323" s="667"/>
      <c r="AG323" s="667"/>
      <c r="AH323" s="667"/>
      <c r="AI323" s="667"/>
      <c r="AJ323" s="667"/>
      <c r="AK323" s="667"/>
      <c r="AL323" s="667"/>
      <c r="AM323" s="667"/>
      <c r="AN323" s="667"/>
      <c r="AO323" s="667"/>
      <c r="AP323" s="667"/>
    </row>
    <row r="324" spans="2:42" x14ac:dyDescent="0.25">
      <c r="B324">
        <v>63</v>
      </c>
      <c r="C324" t="s">
        <v>204</v>
      </c>
      <c r="D324" t="s">
        <v>141</v>
      </c>
      <c r="E324" t="s">
        <v>116</v>
      </c>
      <c r="F324" s="58">
        <v>1.4614937E-8</v>
      </c>
      <c r="G324" s="58"/>
      <c r="H324" s="58"/>
      <c r="I324" t="s">
        <v>142</v>
      </c>
      <c r="J324" s="58">
        <v>5.7501556999999997E-12</v>
      </c>
      <c r="K324" s="58">
        <v>9.9450674000000004E-11</v>
      </c>
      <c r="L324" s="58">
        <v>1.9196097000000001E-10</v>
      </c>
      <c r="M324" s="58">
        <v>1.5629040000000001E-9</v>
      </c>
      <c r="N324" s="58">
        <v>5.9236517999999997E-9</v>
      </c>
      <c r="O324" s="58">
        <v>9.6632007999999999E-12</v>
      </c>
      <c r="P324" s="58">
        <v>6.8215564999999999E-9</v>
      </c>
      <c r="Z324" s="667"/>
      <c r="AA324" s="667"/>
      <c r="AB324" s="667"/>
      <c r="AC324" s="667"/>
      <c r="AD324" s="667"/>
      <c r="AE324" s="667"/>
      <c r="AF324" s="667"/>
      <c r="AG324" s="667"/>
      <c r="AH324" s="667"/>
      <c r="AI324" s="667"/>
      <c r="AJ324" s="667"/>
      <c r="AK324" s="667"/>
      <c r="AL324" s="667"/>
      <c r="AM324" s="667"/>
      <c r="AN324" s="667"/>
      <c r="AO324" s="667"/>
      <c r="AP324" s="667"/>
    </row>
    <row r="325" spans="2:42" x14ac:dyDescent="0.25">
      <c r="B325">
        <v>64</v>
      </c>
      <c r="C325" t="s">
        <v>205</v>
      </c>
      <c r="D325" t="s">
        <v>141</v>
      </c>
      <c r="E325" t="s">
        <v>116</v>
      </c>
      <c r="F325" s="58">
        <v>1.0712084000000001E-8</v>
      </c>
      <c r="G325" s="58"/>
      <c r="H325" s="58"/>
      <c r="I325" t="s">
        <v>142</v>
      </c>
      <c r="J325" s="58">
        <v>1.6186155999999999E-11</v>
      </c>
      <c r="K325" s="58">
        <v>2.5154499999999998E-10</v>
      </c>
      <c r="L325" s="58">
        <v>3.1971218000000002E-10</v>
      </c>
      <c r="M325" s="58">
        <v>1.6066117E-9</v>
      </c>
      <c r="N325" s="58">
        <v>4.4713458000000002E-9</v>
      </c>
      <c r="O325" s="58">
        <v>3.7947249999999998E-11</v>
      </c>
      <c r="P325" s="58">
        <v>4.0087354999999998E-9</v>
      </c>
      <c r="Z325" s="667"/>
      <c r="AA325" s="667"/>
      <c r="AB325" s="667"/>
      <c r="AC325" s="667"/>
      <c r="AD325" s="667"/>
      <c r="AE325" s="667"/>
      <c r="AF325" s="667"/>
      <c r="AG325" s="667"/>
      <c r="AH325" s="667"/>
      <c r="AI325" s="667"/>
      <c r="AJ325" s="667"/>
      <c r="AK325" s="667"/>
      <c r="AL325" s="667"/>
      <c r="AM325" s="667"/>
      <c r="AN325" s="667"/>
      <c r="AO325" s="667"/>
      <c r="AP325" s="667"/>
    </row>
    <row r="326" spans="2:42" x14ac:dyDescent="0.25">
      <c r="B326">
        <v>65</v>
      </c>
      <c r="C326" t="s">
        <v>206</v>
      </c>
      <c r="D326" t="s">
        <v>141</v>
      </c>
      <c r="E326" t="s">
        <v>116</v>
      </c>
      <c r="F326" s="58">
        <v>1.0111112E-8</v>
      </c>
      <c r="G326" s="58"/>
      <c r="H326" s="58"/>
      <c r="I326" t="s">
        <v>142</v>
      </c>
      <c r="J326" s="58">
        <v>5.4694761999999999E-14</v>
      </c>
      <c r="K326" s="58">
        <v>6.6182064999999999E-12</v>
      </c>
      <c r="L326" s="58">
        <v>4.1571852000000001E-11</v>
      </c>
      <c r="M326" s="58">
        <v>8.4172612000000003E-10</v>
      </c>
      <c r="N326" s="58">
        <v>4.0267870000000002E-9</v>
      </c>
      <c r="O326" s="58">
        <v>7.0657487000000003E-13</v>
      </c>
      <c r="P326" s="58">
        <v>5.1936480000000003E-9</v>
      </c>
      <c r="Z326" s="667"/>
      <c r="AA326" s="667"/>
      <c r="AB326" s="667"/>
      <c r="AC326" s="667"/>
      <c r="AD326" s="667"/>
      <c r="AE326" s="667"/>
      <c r="AF326" s="667"/>
      <c r="AG326" s="667"/>
      <c r="AH326" s="667"/>
      <c r="AI326" s="667"/>
      <c r="AJ326" s="667"/>
      <c r="AK326" s="667"/>
      <c r="AL326" s="667"/>
      <c r="AM326" s="667"/>
      <c r="AN326" s="667"/>
      <c r="AO326" s="667"/>
      <c r="AP326" s="667"/>
    </row>
    <row r="327" spans="2:42" x14ac:dyDescent="0.25">
      <c r="B327">
        <v>66</v>
      </c>
      <c r="C327" t="s">
        <v>207</v>
      </c>
      <c r="D327" t="s">
        <v>141</v>
      </c>
      <c r="E327" t="s">
        <v>116</v>
      </c>
      <c r="F327" s="58">
        <v>9.902462E-9</v>
      </c>
      <c r="G327" s="58"/>
      <c r="H327" s="58"/>
      <c r="I327" t="s">
        <v>142</v>
      </c>
      <c r="J327" s="58">
        <v>2.7960580000000001E-14</v>
      </c>
      <c r="K327" s="58">
        <v>1.9705499999999999E-12</v>
      </c>
      <c r="L327" s="58">
        <v>4.0531068999999998E-11</v>
      </c>
      <c r="M327" s="58">
        <v>8.2257124999999997E-10</v>
      </c>
      <c r="N327" s="58">
        <v>3.9434445000000004E-9</v>
      </c>
      <c r="O327" s="58">
        <v>2.6224709000000002E-13</v>
      </c>
      <c r="P327" s="58">
        <v>5.0936544999999999E-9</v>
      </c>
      <c r="Z327" s="667"/>
      <c r="AA327" s="667"/>
      <c r="AB327" s="667"/>
      <c r="AC327" s="667"/>
      <c r="AD327" s="667"/>
      <c r="AE327" s="667"/>
      <c r="AF327" s="667"/>
      <c r="AG327" s="667"/>
      <c r="AH327" s="667"/>
      <c r="AI327" s="667"/>
      <c r="AJ327" s="667"/>
      <c r="AK327" s="667"/>
      <c r="AL327" s="667"/>
      <c r="AM327" s="667"/>
      <c r="AN327" s="667"/>
      <c r="AO327" s="667"/>
      <c r="AP327" s="667"/>
    </row>
    <row r="328" spans="2:42" x14ac:dyDescent="0.25">
      <c r="B328">
        <v>67</v>
      </c>
      <c r="C328" t="s">
        <v>208</v>
      </c>
      <c r="D328" t="s">
        <v>141</v>
      </c>
      <c r="E328" t="s">
        <v>116</v>
      </c>
      <c r="F328" s="58">
        <v>4.6217334000000002E-9</v>
      </c>
      <c r="G328" s="58"/>
      <c r="H328" s="58"/>
      <c r="I328" t="s">
        <v>142</v>
      </c>
      <c r="J328" s="58">
        <v>6.4187054999999998E-13</v>
      </c>
      <c r="K328" s="58">
        <v>6.0868046999999996E-11</v>
      </c>
      <c r="L328" s="58">
        <v>9.4023433E-11</v>
      </c>
      <c r="M328" s="58">
        <v>3.9214127000000002E-10</v>
      </c>
      <c r="N328" s="58">
        <v>1.8151441000000001E-9</v>
      </c>
      <c r="O328" s="58">
        <v>2.711601E-12</v>
      </c>
      <c r="P328" s="58">
        <v>2.2562030999999999E-9</v>
      </c>
      <c r="Z328" s="667"/>
      <c r="AA328" s="667"/>
      <c r="AB328" s="667"/>
      <c r="AC328" s="667"/>
      <c r="AD328" s="667"/>
      <c r="AE328" s="667"/>
      <c r="AF328" s="667"/>
      <c r="AG328" s="667"/>
      <c r="AH328" s="667"/>
      <c r="AI328" s="667"/>
      <c r="AJ328" s="667"/>
      <c r="AK328" s="667"/>
      <c r="AL328" s="667"/>
      <c r="AM328" s="667"/>
      <c r="AN328" s="667"/>
      <c r="AO328" s="667"/>
      <c r="AP328" s="667"/>
    </row>
    <row r="329" spans="2:42" x14ac:dyDescent="0.25">
      <c r="B329">
        <v>68</v>
      </c>
      <c r="C329" t="s">
        <v>209</v>
      </c>
      <c r="D329" t="s">
        <v>141</v>
      </c>
      <c r="E329" t="s">
        <v>116</v>
      </c>
      <c r="F329" s="58">
        <v>2.7268323000000001E-9</v>
      </c>
      <c r="G329" s="58"/>
      <c r="H329" s="58"/>
      <c r="I329" t="s">
        <v>142</v>
      </c>
      <c r="J329" s="58">
        <v>2.2200977000000001E-12</v>
      </c>
      <c r="K329" s="58">
        <v>4.0178513999999998E-10</v>
      </c>
      <c r="L329" s="58">
        <v>2.2416943999999999E-11</v>
      </c>
      <c r="M329" s="58">
        <v>3.9161699000000002E-10</v>
      </c>
      <c r="N329" s="58">
        <v>1.1192814999999999E-9</v>
      </c>
      <c r="O329" s="58">
        <v>2.2819406000000001E-11</v>
      </c>
      <c r="P329" s="58">
        <v>7.6669224999999996E-10</v>
      </c>
      <c r="Z329" s="667"/>
      <c r="AA329" s="667"/>
      <c r="AB329" s="667"/>
      <c r="AC329" s="667"/>
      <c r="AD329" s="667"/>
      <c r="AE329" s="667"/>
      <c r="AF329" s="667"/>
      <c r="AG329" s="667"/>
      <c r="AH329" s="667"/>
      <c r="AI329" s="667"/>
      <c r="AJ329" s="667"/>
      <c r="AK329" s="667"/>
      <c r="AL329" s="667"/>
      <c r="AM329" s="667"/>
      <c r="AN329" s="667"/>
      <c r="AO329" s="667"/>
      <c r="AP329" s="667"/>
    </row>
    <row r="330" spans="2:42" x14ac:dyDescent="0.25">
      <c r="B330">
        <v>69</v>
      </c>
      <c r="C330" t="s">
        <v>210</v>
      </c>
      <c r="D330" t="s">
        <v>141</v>
      </c>
      <c r="E330" t="s">
        <v>116</v>
      </c>
      <c r="F330" s="58">
        <v>2.5030316999999999E-9</v>
      </c>
      <c r="G330" s="58"/>
      <c r="H330" s="58"/>
      <c r="I330" t="s">
        <v>142</v>
      </c>
      <c r="J330" s="58">
        <v>1.8884351E-12</v>
      </c>
      <c r="K330" s="58">
        <v>4.2772135999999997E-11</v>
      </c>
      <c r="L330" s="58">
        <v>9.4750829000000003E-11</v>
      </c>
      <c r="M330" s="58">
        <v>8.6823862000000005E-10</v>
      </c>
      <c r="N330" s="58">
        <v>1.2115611E-9</v>
      </c>
      <c r="O330" s="58">
        <v>4.8147334000000002E-11</v>
      </c>
      <c r="P330" s="58">
        <v>2.3567322999999999E-10</v>
      </c>
      <c r="Z330" s="667"/>
      <c r="AA330" s="667"/>
      <c r="AB330" s="667"/>
      <c r="AC330" s="667"/>
      <c r="AD330" s="667"/>
      <c r="AE330" s="667"/>
      <c r="AF330" s="667"/>
      <c r="AG330" s="667"/>
      <c r="AH330" s="667"/>
      <c r="AI330" s="667"/>
      <c r="AJ330" s="667"/>
      <c r="AK330" s="667"/>
      <c r="AL330" s="667"/>
      <c r="AM330" s="667"/>
      <c r="AN330" s="667"/>
      <c r="AO330" s="667"/>
      <c r="AP330" s="667"/>
    </row>
    <row r="331" spans="2:42" x14ac:dyDescent="0.25">
      <c r="B331">
        <v>70</v>
      </c>
      <c r="C331" t="s">
        <v>211</v>
      </c>
      <c r="D331" t="s">
        <v>141</v>
      </c>
      <c r="E331" t="s">
        <v>116</v>
      </c>
      <c r="F331" s="58">
        <v>2.1370007000000002E-9</v>
      </c>
      <c r="G331" s="58"/>
      <c r="H331" s="58"/>
      <c r="I331" t="s">
        <v>142</v>
      </c>
      <c r="J331" s="58">
        <v>1.2428440999999999E-12</v>
      </c>
      <c r="K331" s="58">
        <v>8.8336967000000002E-11</v>
      </c>
      <c r="L331" s="58">
        <v>2.8224243000000001E-11</v>
      </c>
      <c r="M331" s="58">
        <v>2.0969407000000001E-10</v>
      </c>
      <c r="N331" s="58">
        <v>8.3354516000000003E-10</v>
      </c>
      <c r="O331" s="58">
        <v>4.2131389000000001E-12</v>
      </c>
      <c r="P331" s="58">
        <v>9.7174430999999996E-10</v>
      </c>
      <c r="Z331" s="667"/>
      <c r="AA331" s="667"/>
      <c r="AB331" s="667"/>
      <c r="AC331" s="667"/>
      <c r="AD331" s="667"/>
      <c r="AE331" s="667"/>
      <c r="AF331" s="667"/>
      <c r="AG331" s="667"/>
      <c r="AH331" s="667"/>
      <c r="AI331" s="667"/>
      <c r="AJ331" s="667"/>
      <c r="AK331" s="667"/>
      <c r="AL331" s="667"/>
      <c r="AM331" s="667"/>
      <c r="AN331" s="667"/>
      <c r="AO331" s="667"/>
      <c r="AP331" s="667"/>
    </row>
    <row r="332" spans="2:42" x14ac:dyDescent="0.25">
      <c r="B332">
        <v>71</v>
      </c>
      <c r="C332" t="s">
        <v>212</v>
      </c>
      <c r="D332" t="s">
        <v>141</v>
      </c>
      <c r="E332" t="s">
        <v>116</v>
      </c>
      <c r="F332" s="58">
        <v>1.712897E-9</v>
      </c>
      <c r="G332" s="58"/>
      <c r="H332" s="58"/>
      <c r="I332" t="s">
        <v>142</v>
      </c>
      <c r="J332" s="58">
        <v>1.8127318E-13</v>
      </c>
      <c r="K332" s="58">
        <v>3.1591630000000002E-11</v>
      </c>
      <c r="L332" s="58">
        <v>9.4992838999999997E-12</v>
      </c>
      <c r="M332" s="58">
        <v>1.5283798000000001E-10</v>
      </c>
      <c r="N332" s="58">
        <v>6.8017513000000004E-10</v>
      </c>
      <c r="O332" s="58">
        <v>7.1222238999999997E-12</v>
      </c>
      <c r="P332" s="58">
        <v>8.3148952000000002E-10</v>
      </c>
      <c r="Z332" s="667"/>
      <c r="AA332" s="667"/>
      <c r="AB332" s="667"/>
      <c r="AC332" s="667"/>
      <c r="AD332" s="667"/>
      <c r="AE332" s="667"/>
      <c r="AF332" s="667"/>
      <c r="AG332" s="667"/>
      <c r="AH332" s="667"/>
      <c r="AI332" s="667"/>
      <c r="AJ332" s="667"/>
      <c r="AK332" s="667"/>
      <c r="AL332" s="667"/>
      <c r="AM332" s="667"/>
      <c r="AN332" s="667"/>
      <c r="AO332" s="667"/>
      <c r="AP332" s="667"/>
    </row>
    <row r="333" spans="2:42" x14ac:dyDescent="0.25">
      <c r="B333">
        <v>72</v>
      </c>
      <c r="C333" t="s">
        <v>213</v>
      </c>
      <c r="D333" t="s">
        <v>141</v>
      </c>
      <c r="E333" t="s">
        <v>116</v>
      </c>
      <c r="F333" s="58">
        <v>1.2688202E-9</v>
      </c>
      <c r="G333" s="58"/>
      <c r="H333" s="58"/>
      <c r="I333" t="s">
        <v>142</v>
      </c>
      <c r="J333" s="58">
        <v>7.2716672000000001E-13</v>
      </c>
      <c r="K333" s="58">
        <v>5.2821992999999998E-11</v>
      </c>
      <c r="L333" s="58">
        <v>1.5974504E-11</v>
      </c>
      <c r="M333" s="58">
        <v>1.238236E-10</v>
      </c>
      <c r="N333" s="58">
        <v>4.9469479000000001E-10</v>
      </c>
      <c r="O333" s="58">
        <v>2.4948989E-12</v>
      </c>
      <c r="P333" s="58">
        <v>5.7828323999999995E-10</v>
      </c>
      <c r="Z333" s="667"/>
      <c r="AA333" s="667"/>
      <c r="AB333" s="667"/>
      <c r="AC333" s="667"/>
      <c r="AD333" s="667"/>
      <c r="AE333" s="667"/>
      <c r="AF333" s="667"/>
      <c r="AG333" s="667"/>
      <c r="AH333" s="667"/>
      <c r="AI333" s="667"/>
      <c r="AJ333" s="667"/>
      <c r="AK333" s="667"/>
      <c r="AL333" s="667"/>
      <c r="AM333" s="667"/>
      <c r="AN333" s="667"/>
      <c r="AO333" s="667"/>
      <c r="AP333" s="667"/>
    </row>
    <row r="334" spans="2:42" x14ac:dyDescent="0.25">
      <c r="B334">
        <v>73</v>
      </c>
      <c r="C334" t="s">
        <v>214</v>
      </c>
      <c r="D334" t="s">
        <v>141</v>
      </c>
      <c r="E334" t="s">
        <v>116</v>
      </c>
      <c r="F334" s="58">
        <v>9.3153596000000007E-10</v>
      </c>
      <c r="G334" s="58"/>
      <c r="H334" s="58"/>
      <c r="I334" t="s">
        <v>142</v>
      </c>
      <c r="J334" s="58">
        <v>3.4618528999999999E-13</v>
      </c>
      <c r="K334" s="58">
        <v>6.3246258E-11</v>
      </c>
      <c r="L334" s="58">
        <v>1.0026752000000001E-11</v>
      </c>
      <c r="M334" s="58">
        <v>9.8413612999999998E-11</v>
      </c>
      <c r="N334" s="58">
        <v>3.6751178000000003E-10</v>
      </c>
      <c r="O334" s="58">
        <v>1.4942462999999999E-11</v>
      </c>
      <c r="P334" s="58">
        <v>3.7704891000000001E-10</v>
      </c>
      <c r="Z334" s="667"/>
      <c r="AA334" s="667"/>
      <c r="AB334" s="667"/>
      <c r="AC334" s="667"/>
      <c r="AD334" s="667"/>
      <c r="AE334" s="667"/>
      <c r="AF334" s="667"/>
      <c r="AG334" s="667"/>
      <c r="AH334" s="667"/>
      <c r="AI334" s="667"/>
      <c r="AJ334" s="667"/>
      <c r="AK334" s="667"/>
      <c r="AL334" s="667"/>
      <c r="AM334" s="667"/>
      <c r="AN334" s="667"/>
      <c r="AO334" s="667"/>
      <c r="AP334" s="667"/>
    </row>
    <row r="335" spans="2:42" x14ac:dyDescent="0.25">
      <c r="B335">
        <v>74</v>
      </c>
      <c r="C335" t="s">
        <v>215</v>
      </c>
      <c r="D335" t="s">
        <v>141</v>
      </c>
      <c r="E335" t="s">
        <v>116</v>
      </c>
      <c r="F335" s="58">
        <v>5.0253346000000003E-10</v>
      </c>
      <c r="G335" s="58"/>
      <c r="H335" s="58"/>
      <c r="I335" t="s">
        <v>142</v>
      </c>
      <c r="J335" s="58">
        <v>4.3197480000000002E-13</v>
      </c>
      <c r="K335" s="58">
        <v>1.4950857000000001E-11</v>
      </c>
      <c r="L335" s="58">
        <v>9.5657272999999995E-12</v>
      </c>
      <c r="M335" s="58">
        <v>7.4335324999999995E-11</v>
      </c>
      <c r="N335" s="58">
        <v>2.162633E-10</v>
      </c>
      <c r="O335" s="58">
        <v>7.9052275999999997E-12</v>
      </c>
      <c r="P335" s="58">
        <v>1.7908104999999999E-10</v>
      </c>
      <c r="Z335" s="667"/>
      <c r="AA335" s="667"/>
      <c r="AB335" s="667"/>
      <c r="AC335" s="667"/>
      <c r="AD335" s="667"/>
      <c r="AE335" s="667"/>
      <c r="AF335" s="667"/>
      <c r="AG335" s="667"/>
      <c r="AH335" s="667"/>
      <c r="AI335" s="667"/>
      <c r="AJ335" s="667"/>
      <c r="AK335" s="667"/>
      <c r="AL335" s="667"/>
      <c r="AM335" s="667"/>
      <c r="AN335" s="667"/>
      <c r="AO335" s="667"/>
      <c r="AP335" s="667"/>
    </row>
    <row r="336" spans="2:42" x14ac:dyDescent="0.25">
      <c r="B336">
        <v>75</v>
      </c>
      <c r="C336" t="s">
        <v>216</v>
      </c>
      <c r="D336" t="s">
        <v>141</v>
      </c>
      <c r="E336" t="s">
        <v>116</v>
      </c>
      <c r="F336" s="58">
        <v>4.3921999000000002E-10</v>
      </c>
      <c r="G336" s="58"/>
      <c r="H336" s="58"/>
      <c r="I336" t="s">
        <v>142</v>
      </c>
      <c r="J336" s="58">
        <v>1.8888315999999999E-12</v>
      </c>
      <c r="K336" s="58">
        <v>3.7515389999999998E-11</v>
      </c>
      <c r="L336" s="58">
        <v>1.2101567999999999E-11</v>
      </c>
      <c r="M336" s="58">
        <v>5.5180778E-11</v>
      </c>
      <c r="N336" s="58">
        <v>1.4842971E-10</v>
      </c>
      <c r="O336" s="58">
        <v>7.8338484000000002E-11</v>
      </c>
      <c r="P336" s="58">
        <v>1.0576523E-10</v>
      </c>
      <c r="Z336" s="667"/>
      <c r="AA336" s="667"/>
      <c r="AB336" s="667"/>
      <c r="AC336" s="667"/>
      <c r="AD336" s="667"/>
      <c r="AE336" s="667"/>
      <c r="AF336" s="667"/>
      <c r="AG336" s="667"/>
      <c r="AH336" s="667"/>
      <c r="AI336" s="667"/>
      <c r="AJ336" s="667"/>
      <c r="AK336" s="667"/>
      <c r="AL336" s="667"/>
      <c r="AM336" s="667"/>
      <c r="AN336" s="667"/>
      <c r="AO336" s="667"/>
      <c r="AP336" s="667"/>
    </row>
    <row r="337" spans="2:42" x14ac:dyDescent="0.25">
      <c r="B337">
        <v>76</v>
      </c>
      <c r="C337" t="s">
        <v>217</v>
      </c>
      <c r="D337" t="s">
        <v>141</v>
      </c>
      <c r="E337" t="s">
        <v>116</v>
      </c>
      <c r="F337" s="58">
        <v>3.9138390999999999E-10</v>
      </c>
      <c r="G337" s="58"/>
      <c r="H337" s="58"/>
      <c r="I337" t="s">
        <v>142</v>
      </c>
      <c r="J337" s="58">
        <v>3.0650507999999998E-14</v>
      </c>
      <c r="K337" s="58">
        <v>2.7786041999999999E-12</v>
      </c>
      <c r="L337" s="58">
        <v>1.6158298000000001E-12</v>
      </c>
      <c r="M337" s="58">
        <v>3.9751530999999997E-11</v>
      </c>
      <c r="N337" s="58">
        <v>1.5592103E-10</v>
      </c>
      <c r="O337" s="58">
        <v>2.3988108E-12</v>
      </c>
      <c r="P337" s="58">
        <v>1.8888744E-10</v>
      </c>
      <c r="Z337" s="667"/>
      <c r="AA337" s="667"/>
      <c r="AB337" s="667"/>
      <c r="AC337" s="667"/>
      <c r="AD337" s="667"/>
      <c r="AE337" s="667"/>
      <c r="AF337" s="667"/>
      <c r="AG337" s="667"/>
      <c r="AH337" s="667"/>
      <c r="AI337" s="667"/>
      <c r="AJ337" s="667"/>
      <c r="AK337" s="667"/>
      <c r="AL337" s="667"/>
      <c r="AM337" s="667"/>
      <c r="AN337" s="667"/>
      <c r="AO337" s="667"/>
      <c r="AP337" s="667"/>
    </row>
    <row r="338" spans="2:42" x14ac:dyDescent="0.25">
      <c r="B338">
        <v>77</v>
      </c>
      <c r="C338" t="s">
        <v>218</v>
      </c>
      <c r="D338" t="s">
        <v>141</v>
      </c>
      <c r="E338" t="s">
        <v>116</v>
      </c>
      <c r="F338" s="58">
        <v>2.9106699999999998E-10</v>
      </c>
      <c r="G338" s="58"/>
      <c r="H338" s="58"/>
      <c r="I338" t="s">
        <v>142</v>
      </c>
      <c r="J338" s="58">
        <v>1.1346391000000001E-13</v>
      </c>
      <c r="K338" s="58">
        <v>2.0737324000000001E-11</v>
      </c>
      <c r="L338" s="58">
        <v>3.2380125000000001E-12</v>
      </c>
      <c r="M338" s="58">
        <v>3.1065620000000001E-11</v>
      </c>
      <c r="N338" s="58">
        <v>1.1476197E-10</v>
      </c>
      <c r="O338" s="58">
        <v>4.9214200999999999E-12</v>
      </c>
      <c r="P338" s="58">
        <v>1.1622919000000001E-10</v>
      </c>
      <c r="Z338" s="667"/>
      <c r="AA338" s="667"/>
      <c r="AB338" s="667"/>
      <c r="AC338" s="667"/>
      <c r="AD338" s="667"/>
      <c r="AE338" s="667"/>
      <c r="AF338" s="667"/>
      <c r="AG338" s="667"/>
      <c r="AH338" s="667"/>
      <c r="AI338" s="667"/>
      <c r="AJ338" s="667"/>
      <c r="AK338" s="667"/>
      <c r="AL338" s="667"/>
      <c r="AM338" s="667"/>
      <c r="AN338" s="667"/>
      <c r="AO338" s="667"/>
      <c r="AP338" s="667"/>
    </row>
    <row r="339" spans="2:42" x14ac:dyDescent="0.25">
      <c r="B339">
        <v>78</v>
      </c>
      <c r="C339" t="s">
        <v>219</v>
      </c>
      <c r="D339" t="s">
        <v>141</v>
      </c>
      <c r="E339" t="s">
        <v>116</v>
      </c>
      <c r="F339" s="58">
        <v>2.8432982000000001E-10</v>
      </c>
      <c r="G339" s="58"/>
      <c r="H339" s="58"/>
      <c r="I339" t="s">
        <v>142</v>
      </c>
      <c r="J339" s="58">
        <v>1.5380457E-15</v>
      </c>
      <c r="K339" s="58">
        <v>1.8610746E-13</v>
      </c>
      <c r="L339" s="58">
        <v>1.1690224E-12</v>
      </c>
      <c r="M339" s="58">
        <v>2.3669783000000001E-11</v>
      </c>
      <c r="N339" s="58">
        <v>1.1323537E-10</v>
      </c>
      <c r="O339" s="58">
        <v>1.9869257999999999E-14</v>
      </c>
      <c r="P339" s="58">
        <v>1.4604812E-10</v>
      </c>
      <c r="Z339" s="667"/>
      <c r="AA339" s="667"/>
      <c r="AB339" s="667"/>
      <c r="AC339" s="667"/>
      <c r="AD339" s="667"/>
      <c r="AE339" s="667"/>
      <c r="AF339" s="667"/>
      <c r="AG339" s="667"/>
      <c r="AH339" s="667"/>
      <c r="AI339" s="667"/>
      <c r="AJ339" s="667"/>
      <c r="AK339" s="667"/>
      <c r="AL339" s="667"/>
      <c r="AM339" s="667"/>
      <c r="AN339" s="667"/>
      <c r="AO339" s="667"/>
      <c r="AP339" s="667"/>
    </row>
    <row r="340" spans="2:42" x14ac:dyDescent="0.25">
      <c r="B340">
        <v>79</v>
      </c>
      <c r="C340" t="s">
        <v>220</v>
      </c>
      <c r="D340" t="s">
        <v>141</v>
      </c>
      <c r="E340" t="s">
        <v>116</v>
      </c>
      <c r="F340" s="58">
        <v>1.6351077E-10</v>
      </c>
      <c r="G340" s="58"/>
      <c r="H340" s="58"/>
      <c r="I340" t="s">
        <v>142</v>
      </c>
      <c r="J340" s="58">
        <v>9.4692444000000003E-13</v>
      </c>
      <c r="K340" s="58">
        <v>1.2577658999999999E-11</v>
      </c>
      <c r="L340" s="58">
        <v>5.6974509999999999E-12</v>
      </c>
      <c r="M340" s="58">
        <v>2.0616030000000001E-11</v>
      </c>
      <c r="N340" s="58">
        <v>5.0987548999999997E-11</v>
      </c>
      <c r="O340" s="58">
        <v>4.0132516E-11</v>
      </c>
      <c r="P340" s="58">
        <v>3.2552636000000003E-11</v>
      </c>
      <c r="Z340" s="667"/>
      <c r="AA340" s="667"/>
      <c r="AB340" s="667"/>
      <c r="AC340" s="667"/>
      <c r="AD340" s="667"/>
      <c r="AE340" s="667"/>
      <c r="AF340" s="667"/>
      <c r="AG340" s="667"/>
      <c r="AH340" s="667"/>
      <c r="AI340" s="667"/>
      <c r="AJ340" s="667"/>
      <c r="AK340" s="667"/>
      <c r="AL340" s="667"/>
      <c r="AM340" s="667"/>
      <c r="AN340" s="667"/>
      <c r="AO340" s="667"/>
      <c r="AP340" s="667"/>
    </row>
    <row r="341" spans="2:42" x14ac:dyDescent="0.25">
      <c r="B341">
        <v>80</v>
      </c>
      <c r="C341" t="s">
        <v>221</v>
      </c>
      <c r="D341" t="s">
        <v>141</v>
      </c>
      <c r="E341" t="s">
        <v>116</v>
      </c>
      <c r="F341" s="58">
        <v>1.5268052E-10</v>
      </c>
      <c r="G341" s="58"/>
      <c r="H341" s="58"/>
      <c r="I341" t="s">
        <v>142</v>
      </c>
      <c r="J341" s="58">
        <v>9.3801958999999996E-13</v>
      </c>
      <c r="K341" s="58">
        <v>1.0963569000000001E-11</v>
      </c>
      <c r="L341" s="58">
        <v>5.5906520000000002E-12</v>
      </c>
      <c r="M341" s="58">
        <v>1.9078411000000001E-11</v>
      </c>
      <c r="N341" s="58">
        <v>4.6585103000000001E-11</v>
      </c>
      <c r="O341" s="58">
        <v>3.9978472999999998E-11</v>
      </c>
      <c r="P341" s="58">
        <v>2.9546296999999999E-11</v>
      </c>
      <c r="Z341" s="667"/>
      <c r="AA341" s="667"/>
      <c r="AB341" s="667"/>
      <c r="AC341" s="667"/>
      <c r="AD341" s="667"/>
      <c r="AE341" s="667"/>
      <c r="AF341" s="667"/>
      <c r="AG341" s="667"/>
      <c r="AH341" s="667"/>
      <c r="AI341" s="667"/>
      <c r="AJ341" s="667"/>
      <c r="AK341" s="667"/>
      <c r="AL341" s="667"/>
      <c r="AM341" s="667"/>
      <c r="AN341" s="667"/>
      <c r="AO341" s="667"/>
      <c r="AP341" s="667"/>
    </row>
    <row r="342" spans="2:42" x14ac:dyDescent="0.25">
      <c r="B342">
        <v>81</v>
      </c>
      <c r="C342" t="s">
        <v>222</v>
      </c>
      <c r="D342" t="s">
        <v>141</v>
      </c>
      <c r="E342" t="s">
        <v>116</v>
      </c>
      <c r="F342" s="58">
        <v>1.4904742E-10</v>
      </c>
      <c r="G342" s="58"/>
      <c r="H342" s="58"/>
      <c r="I342" t="s">
        <v>142</v>
      </c>
      <c r="J342" s="58">
        <v>1.0031466999999999E-15</v>
      </c>
      <c r="K342" s="58">
        <v>5.3345214999999998E-14</v>
      </c>
      <c r="L342" s="58">
        <v>6.1645674000000004E-13</v>
      </c>
      <c r="M342" s="58">
        <v>1.2451079999999999E-11</v>
      </c>
      <c r="N342" s="58">
        <v>5.9399738E-11</v>
      </c>
      <c r="O342" s="58">
        <v>7.0738673000000004E-15</v>
      </c>
      <c r="P342" s="58">
        <v>7.6518725000000005E-11</v>
      </c>
      <c r="Z342" s="667"/>
      <c r="AA342" s="667"/>
      <c r="AB342" s="667"/>
      <c r="AC342" s="667"/>
      <c r="AD342" s="667"/>
      <c r="AE342" s="667"/>
      <c r="AF342" s="667"/>
      <c r="AG342" s="667"/>
      <c r="AH342" s="667"/>
      <c r="AI342" s="667"/>
      <c r="AJ342" s="667"/>
      <c r="AK342" s="667"/>
      <c r="AL342" s="667"/>
      <c r="AM342" s="667"/>
      <c r="AN342" s="667"/>
      <c r="AO342" s="667"/>
      <c r="AP342" s="667"/>
    </row>
    <row r="343" spans="2:42" x14ac:dyDescent="0.25">
      <c r="B343">
        <v>82</v>
      </c>
      <c r="C343" t="s">
        <v>223</v>
      </c>
      <c r="D343" t="s">
        <v>141</v>
      </c>
      <c r="E343" t="s">
        <v>116</v>
      </c>
      <c r="F343" s="58">
        <v>4.5402010999999997E-11</v>
      </c>
      <c r="G343" s="58"/>
      <c r="H343" s="58"/>
      <c r="I343" t="s">
        <v>142</v>
      </c>
      <c r="J343" s="58">
        <v>2.6195709999999999E-15</v>
      </c>
      <c r="K343" s="58">
        <v>2.3006706999999998E-13</v>
      </c>
      <c r="L343" s="58">
        <v>2.4115521E-13</v>
      </c>
      <c r="M343" s="58">
        <v>3.9594675999999997E-12</v>
      </c>
      <c r="N343" s="58">
        <v>1.8079750999999999E-11</v>
      </c>
      <c r="O343" s="58">
        <v>1.9787116999999999E-14</v>
      </c>
      <c r="P343" s="58">
        <v>2.2869162999999999E-11</v>
      </c>
      <c r="Z343" s="667"/>
      <c r="AA343" s="667"/>
      <c r="AB343" s="667"/>
      <c r="AC343" s="667"/>
      <c r="AD343" s="667"/>
      <c r="AE343" s="667"/>
      <c r="AF343" s="667"/>
      <c r="AG343" s="667"/>
      <c r="AH343" s="667"/>
      <c r="AI343" s="667"/>
      <c r="AJ343" s="667"/>
      <c r="AK343" s="667"/>
      <c r="AL343" s="667"/>
      <c r="AM343" s="667"/>
      <c r="AN343" s="667"/>
      <c r="AO343" s="667"/>
      <c r="AP343" s="667"/>
    </row>
    <row r="344" spans="2:42" x14ac:dyDescent="0.25">
      <c r="B344">
        <v>83</v>
      </c>
      <c r="C344" t="s">
        <v>224</v>
      </c>
      <c r="D344" t="s">
        <v>141</v>
      </c>
      <c r="E344" t="s">
        <v>116</v>
      </c>
      <c r="F344" s="58">
        <v>3.8408047000000003E-11</v>
      </c>
      <c r="G344" s="58"/>
      <c r="H344" s="58"/>
      <c r="I344" t="s">
        <v>142</v>
      </c>
      <c r="J344" s="58">
        <v>1.0814388E-16</v>
      </c>
      <c r="K344" s="58">
        <v>7.5876622000000003E-15</v>
      </c>
      <c r="L344" s="58">
        <v>1.5720312E-13</v>
      </c>
      <c r="M344" s="58">
        <v>3.1904327000000001E-12</v>
      </c>
      <c r="N344" s="58">
        <v>1.5295183E-11</v>
      </c>
      <c r="O344" s="58">
        <v>1.0119068000000001E-15</v>
      </c>
      <c r="P344" s="58">
        <v>1.9756521E-11</v>
      </c>
      <c r="Z344" s="667"/>
      <c r="AA344" s="667"/>
      <c r="AB344" s="667"/>
      <c r="AC344" s="667"/>
      <c r="AD344" s="667"/>
      <c r="AE344" s="667"/>
      <c r="AF344" s="667"/>
      <c r="AG344" s="667"/>
      <c r="AH344" s="667"/>
      <c r="AI344" s="667"/>
      <c r="AJ344" s="667"/>
      <c r="AK344" s="667"/>
      <c r="AL344" s="667"/>
      <c r="AM344" s="667"/>
      <c r="AN344" s="667"/>
      <c r="AO344" s="667"/>
      <c r="AP344" s="667"/>
    </row>
    <row r="345" spans="2:42" x14ac:dyDescent="0.25">
      <c r="B345">
        <v>84</v>
      </c>
      <c r="C345" t="s">
        <v>225</v>
      </c>
      <c r="D345" t="s">
        <v>141</v>
      </c>
      <c r="E345" t="s">
        <v>116</v>
      </c>
      <c r="F345" s="58">
        <v>7.6802644000000004E-12</v>
      </c>
      <c r="G345" s="58"/>
      <c r="H345" s="58"/>
      <c r="I345" t="s">
        <v>142</v>
      </c>
      <c r="J345" s="58">
        <v>1.9378543000000001E-15</v>
      </c>
      <c r="K345" s="58">
        <v>7.6191581000000001E-14</v>
      </c>
      <c r="L345" s="58">
        <v>4.0125731E-14</v>
      </c>
      <c r="M345" s="58">
        <v>6.5539890999999997E-13</v>
      </c>
      <c r="N345" s="58">
        <v>3.0464216E-12</v>
      </c>
      <c r="O345" s="58">
        <v>3.9381298E-15</v>
      </c>
      <c r="P345" s="58">
        <v>3.8562505999999998E-12</v>
      </c>
      <c r="Z345" s="667"/>
      <c r="AA345" s="667"/>
      <c r="AB345" s="667"/>
      <c r="AC345" s="667"/>
      <c r="AD345" s="667"/>
      <c r="AE345" s="667"/>
      <c r="AF345" s="667"/>
      <c r="AG345" s="667"/>
      <c r="AH345" s="667"/>
      <c r="AI345" s="667"/>
      <c r="AJ345" s="667"/>
      <c r="AK345" s="667"/>
      <c r="AL345" s="667"/>
      <c r="AM345" s="667"/>
      <c r="AN345" s="667"/>
      <c r="AO345" s="667"/>
      <c r="AP345" s="667"/>
    </row>
    <row r="346" spans="2:42" x14ac:dyDescent="0.25">
      <c r="B346">
        <v>85</v>
      </c>
      <c r="C346" t="s">
        <v>226</v>
      </c>
      <c r="D346" t="s">
        <v>141</v>
      </c>
      <c r="E346" t="s">
        <v>116</v>
      </c>
      <c r="F346" s="58">
        <v>5.3953345999999996E-12</v>
      </c>
      <c r="G346" s="58"/>
      <c r="H346" s="58"/>
      <c r="I346" t="s">
        <v>142</v>
      </c>
      <c r="J346" s="58">
        <v>1.9525047E-15</v>
      </c>
      <c r="K346" s="58">
        <v>3.5631000000000002E-13</v>
      </c>
      <c r="L346" s="58">
        <v>5.5118379999999998E-14</v>
      </c>
      <c r="M346" s="58">
        <v>5.6883569999999997E-13</v>
      </c>
      <c r="N346" s="58">
        <v>2.1329882E-12</v>
      </c>
      <c r="O346" s="58">
        <v>7.9160950000000006E-14</v>
      </c>
      <c r="P346" s="58">
        <v>2.2009688999999998E-12</v>
      </c>
      <c r="Z346" s="667"/>
      <c r="AA346" s="667"/>
      <c r="AB346" s="667"/>
      <c r="AC346" s="667"/>
      <c r="AD346" s="667"/>
      <c r="AE346" s="667"/>
      <c r="AF346" s="667"/>
      <c r="AG346" s="667"/>
      <c r="AH346" s="667"/>
      <c r="AI346" s="667"/>
      <c r="AJ346" s="667"/>
      <c r="AK346" s="667"/>
      <c r="AL346" s="667"/>
      <c r="AM346" s="667"/>
      <c r="AN346" s="667"/>
      <c r="AO346" s="667"/>
      <c r="AP346" s="667"/>
    </row>
    <row r="347" spans="2:42" x14ac:dyDescent="0.25">
      <c r="B347">
        <v>86</v>
      </c>
      <c r="C347" t="s">
        <v>227</v>
      </c>
      <c r="D347" t="s">
        <v>141</v>
      </c>
      <c r="E347" t="s">
        <v>116</v>
      </c>
      <c r="F347" s="58">
        <v>3.0310090999999999E-12</v>
      </c>
      <c r="G347" s="58"/>
      <c r="H347" s="58"/>
      <c r="I347" t="s">
        <v>142</v>
      </c>
      <c r="J347" s="58">
        <v>2.3093690000000001E-15</v>
      </c>
      <c r="K347" s="58">
        <v>4.1928721000000001E-13</v>
      </c>
      <c r="L347" s="58">
        <v>2.2287981E-14</v>
      </c>
      <c r="M347" s="58">
        <v>4.3632837999999998E-13</v>
      </c>
      <c r="N347" s="58">
        <v>1.2490592000000001E-12</v>
      </c>
      <c r="O347" s="58">
        <v>1.4882584000000001E-14</v>
      </c>
      <c r="P347" s="58">
        <v>8.8685442999999997E-13</v>
      </c>
      <c r="Z347" s="667"/>
      <c r="AA347" s="667"/>
      <c r="AB347" s="667"/>
      <c r="AC347" s="667"/>
      <c r="AD347" s="667"/>
      <c r="AE347" s="667"/>
      <c r="AF347" s="667"/>
      <c r="AG347" s="667"/>
      <c r="AH347" s="667"/>
      <c r="AI347" s="667"/>
      <c r="AJ347" s="667"/>
      <c r="AK347" s="667"/>
      <c r="AL347" s="667"/>
      <c r="AM347" s="667"/>
      <c r="AN347" s="667"/>
      <c r="AO347" s="667"/>
      <c r="AP347" s="667"/>
    </row>
    <row r="348" spans="2:42" x14ac:dyDescent="0.25">
      <c r="B348">
        <v>87</v>
      </c>
      <c r="C348" t="s">
        <v>228</v>
      </c>
      <c r="D348" t="s">
        <v>141</v>
      </c>
      <c r="E348" t="s">
        <v>116</v>
      </c>
      <c r="F348" s="58">
        <v>1.9159833E-12</v>
      </c>
      <c r="G348" s="58"/>
      <c r="H348" s="58"/>
      <c r="I348" t="s">
        <v>142</v>
      </c>
      <c r="J348" s="58">
        <v>4.0867071000000001E-16</v>
      </c>
      <c r="K348" s="58">
        <v>5.7684172000000006E-14</v>
      </c>
      <c r="L348" s="58">
        <v>3.4736641999999998E-13</v>
      </c>
      <c r="M348" s="58">
        <v>1.6063414000000001E-13</v>
      </c>
      <c r="N348" s="58">
        <v>6.4552204000000005E-13</v>
      </c>
      <c r="O348" s="58">
        <v>1.0586761999999999E-13</v>
      </c>
      <c r="P348" s="58">
        <v>5.9850020000000004E-13</v>
      </c>
      <c r="Z348" s="667"/>
      <c r="AA348" s="667"/>
      <c r="AB348" s="667"/>
      <c r="AC348" s="667"/>
      <c r="AD348" s="667"/>
      <c r="AE348" s="667"/>
      <c r="AF348" s="667"/>
      <c r="AG348" s="667"/>
      <c r="AH348" s="667"/>
      <c r="AI348" s="667"/>
      <c r="AJ348" s="667"/>
      <c r="AK348" s="667"/>
      <c r="AL348" s="667"/>
      <c r="AM348" s="667"/>
      <c r="AN348" s="667"/>
      <c r="AO348" s="667"/>
      <c r="AP348" s="667"/>
    </row>
    <row r="349" spans="2:42" x14ac:dyDescent="0.25">
      <c r="B349">
        <v>88</v>
      </c>
      <c r="C349" t="s">
        <v>229</v>
      </c>
      <c r="D349" t="s">
        <v>141</v>
      </c>
      <c r="E349" t="s">
        <v>116</v>
      </c>
      <c r="F349" s="58">
        <v>1.5122593000000001E-12</v>
      </c>
      <c r="G349" s="58"/>
      <c r="H349" s="58"/>
      <c r="I349" t="s">
        <v>142</v>
      </c>
      <c r="J349" s="58">
        <v>9.8747800999999999E-16</v>
      </c>
      <c r="K349" s="58">
        <v>5.2992983000000003E-14</v>
      </c>
      <c r="L349" s="58">
        <v>1.7285819E-14</v>
      </c>
      <c r="M349" s="58">
        <v>1.5082597999999999E-13</v>
      </c>
      <c r="N349" s="58">
        <v>5.9558796999999999E-13</v>
      </c>
      <c r="O349" s="58">
        <v>2.6080865E-15</v>
      </c>
      <c r="P349" s="58">
        <v>6.9197102999999996E-13</v>
      </c>
      <c r="Z349" s="667"/>
      <c r="AA349" s="667"/>
      <c r="AB349" s="667"/>
      <c r="AC349" s="667"/>
      <c r="AD349" s="667"/>
      <c r="AE349" s="667"/>
      <c r="AF349" s="667"/>
      <c r="AG349" s="667"/>
      <c r="AH349" s="667"/>
      <c r="AI349" s="667"/>
      <c r="AJ349" s="667"/>
      <c r="AK349" s="667"/>
      <c r="AL349" s="667"/>
      <c r="AM349" s="667"/>
      <c r="AN349" s="667"/>
      <c r="AO349" s="667"/>
      <c r="AP349" s="667"/>
    </row>
    <row r="350" spans="2:42" x14ac:dyDescent="0.25">
      <c r="B350">
        <v>89</v>
      </c>
      <c r="C350" t="s">
        <v>230</v>
      </c>
      <c r="D350" t="s">
        <v>141</v>
      </c>
      <c r="E350" t="s">
        <v>116</v>
      </c>
      <c r="F350" s="58">
        <v>2.6808336E-16</v>
      </c>
      <c r="G350" s="58"/>
      <c r="H350" s="58"/>
      <c r="I350" t="s">
        <v>142</v>
      </c>
      <c r="J350" s="58">
        <v>7.1193585999999996E-21</v>
      </c>
      <c r="K350" s="58">
        <v>1.0959594000000001E-18</v>
      </c>
      <c r="L350" s="58">
        <v>2.6012043000000001E-18</v>
      </c>
      <c r="M350" s="58">
        <v>2.2394852E-17</v>
      </c>
      <c r="N350" s="58">
        <v>1.0630310000000001E-16</v>
      </c>
      <c r="O350" s="58">
        <v>7.0079260999999998E-20</v>
      </c>
      <c r="P350" s="58">
        <v>1.3561104000000001E-16</v>
      </c>
      <c r="Z350" s="667"/>
      <c r="AA350" s="667"/>
      <c r="AB350" s="667"/>
      <c r="AC350" s="667"/>
      <c r="AD350" s="667"/>
      <c r="AE350" s="667"/>
      <c r="AF350" s="667"/>
      <c r="AG350" s="667"/>
      <c r="AH350" s="667"/>
      <c r="AI350" s="667"/>
      <c r="AJ350" s="667"/>
      <c r="AK350" s="667"/>
      <c r="AL350" s="667"/>
      <c r="AM350" s="667"/>
      <c r="AN350" s="667"/>
      <c r="AO350" s="667"/>
      <c r="AP350" s="667"/>
    </row>
    <row r="351" spans="2:42" x14ac:dyDescent="0.25">
      <c r="B351">
        <v>90</v>
      </c>
      <c r="C351" t="s">
        <v>231</v>
      </c>
      <c r="D351" t="s">
        <v>141</v>
      </c>
      <c r="E351" t="s">
        <v>116</v>
      </c>
      <c r="F351" s="58">
        <v>2.3439180000000002E-16</v>
      </c>
      <c r="G351" s="58"/>
      <c r="H351" s="58"/>
      <c r="I351" t="s">
        <v>142</v>
      </c>
      <c r="J351" s="58">
        <v>6.2246267999999997E-21</v>
      </c>
      <c r="K351" s="58">
        <v>9.5822395000000005E-19</v>
      </c>
      <c r="L351" s="58">
        <v>2.2742962E-18</v>
      </c>
      <c r="M351" s="58">
        <v>1.9580364E-17</v>
      </c>
      <c r="N351" s="58">
        <v>9.2943386999999997E-17</v>
      </c>
      <c r="O351" s="58">
        <v>6.1272002000000002E-20</v>
      </c>
      <c r="P351" s="58">
        <v>1.1856803000000001E-16</v>
      </c>
      <c r="Z351" s="667"/>
      <c r="AA351" s="667"/>
      <c r="AB351" s="667"/>
      <c r="AC351" s="667"/>
      <c r="AD351" s="667"/>
      <c r="AE351" s="667"/>
      <c r="AF351" s="667"/>
      <c r="AG351" s="667"/>
      <c r="AH351" s="667"/>
      <c r="AI351" s="667"/>
      <c r="AJ351" s="667"/>
      <c r="AK351" s="667"/>
      <c r="AL351" s="667"/>
      <c r="AM351" s="667"/>
      <c r="AN351" s="667"/>
      <c r="AO351" s="667"/>
      <c r="AP351" s="667"/>
    </row>
    <row r="352" spans="2:42" x14ac:dyDescent="0.25">
      <c r="B352">
        <v>91</v>
      </c>
      <c r="C352" t="s">
        <v>232</v>
      </c>
      <c r="D352" t="s">
        <v>233</v>
      </c>
      <c r="E352" t="s">
        <v>116</v>
      </c>
      <c r="F352">
        <v>-4.2953727999999997E-2</v>
      </c>
      <c r="G352" s="26"/>
      <c r="H352" s="26"/>
      <c r="I352" t="s">
        <v>142</v>
      </c>
      <c r="J352" s="58">
        <v>-1.1394024E-5</v>
      </c>
      <c r="K352">
        <v>-1.9059041E-3</v>
      </c>
      <c r="L352">
        <v>-1.5855894000000001E-4</v>
      </c>
      <c r="M352">
        <v>-4.3559387E-3</v>
      </c>
      <c r="N352">
        <v>-1.7206830999999999E-2</v>
      </c>
      <c r="O352" s="58">
        <v>-9.2739089000000004E-5</v>
      </c>
      <c r="P352">
        <v>-1.9222362999999999E-2</v>
      </c>
      <c r="Z352" s="667"/>
      <c r="AA352" s="667"/>
      <c r="AB352" s="667"/>
      <c r="AC352" s="667"/>
      <c r="AD352" s="667"/>
      <c r="AE352" s="667"/>
      <c r="AF352" s="667"/>
      <c r="AG352" s="667"/>
      <c r="AH352" s="667"/>
      <c r="AI352" s="667"/>
      <c r="AJ352" s="667"/>
      <c r="AK352" s="667"/>
      <c r="AL352" s="667"/>
      <c r="AM352" s="667"/>
      <c r="AN352" s="667"/>
      <c r="AO352" s="667"/>
      <c r="AP352" s="667"/>
    </row>
    <row r="353" spans="2:42" x14ac:dyDescent="0.25">
      <c r="G353" s="26"/>
      <c r="H353" s="26"/>
      <c r="Z353" s="667"/>
      <c r="AA353" s="667"/>
      <c r="AB353" s="667"/>
      <c r="AC353" s="667"/>
      <c r="AD353" s="667"/>
      <c r="AE353" s="667"/>
      <c r="AF353" s="667"/>
      <c r="AG353" s="667"/>
      <c r="AH353" s="667"/>
      <c r="AI353" s="667"/>
      <c r="AJ353" s="667"/>
      <c r="AK353" s="667"/>
      <c r="AL353" s="667"/>
      <c r="AM353" s="667"/>
      <c r="AN353" s="667"/>
      <c r="AO353" s="667"/>
      <c r="AP353" s="667"/>
    </row>
    <row r="354" spans="2:42" x14ac:dyDescent="0.25">
      <c r="G354" s="26"/>
      <c r="H354" s="26"/>
      <c r="Z354" s="667"/>
      <c r="AA354" s="667"/>
      <c r="AB354" s="667"/>
      <c r="AC354" s="667"/>
      <c r="AD354" s="667"/>
      <c r="AE354" s="667"/>
      <c r="AF354" s="667"/>
      <c r="AG354" s="667"/>
      <c r="AH354" s="667"/>
      <c r="AI354" s="667"/>
      <c r="AJ354" s="667"/>
      <c r="AK354" s="667"/>
      <c r="AL354" s="667"/>
      <c r="AM354" s="667"/>
      <c r="AN354" s="667"/>
      <c r="AO354" s="667"/>
      <c r="AP354" s="667"/>
    </row>
    <row r="355" spans="2:42" x14ac:dyDescent="0.25">
      <c r="G355" s="26"/>
      <c r="H355" s="26"/>
      <c r="Z355" s="667"/>
      <c r="AA355" s="667"/>
      <c r="AB355" s="667"/>
      <c r="AC355" s="667"/>
      <c r="AD355" s="667"/>
      <c r="AE355" s="667"/>
      <c r="AF355" s="667"/>
      <c r="AG355" s="667"/>
      <c r="AH355" s="667"/>
      <c r="AI355" s="667"/>
      <c r="AJ355" s="667"/>
      <c r="AK355" s="667"/>
      <c r="AL355" s="667"/>
      <c r="AM355" s="667"/>
      <c r="AN355" s="667"/>
      <c r="AO355" s="667"/>
      <c r="AP355" s="667"/>
    </row>
    <row r="356" spans="2:42" x14ac:dyDescent="0.25">
      <c r="G356" s="26"/>
      <c r="H356" s="26"/>
      <c r="Z356" s="667"/>
      <c r="AA356" s="667"/>
      <c r="AB356" s="667"/>
      <c r="AC356" s="667"/>
      <c r="AD356" s="667"/>
      <c r="AE356" s="667"/>
      <c r="AF356" s="667"/>
      <c r="AG356" s="667"/>
      <c r="AH356" s="667"/>
      <c r="AI356" s="667"/>
      <c r="AJ356" s="667"/>
      <c r="AK356" s="667"/>
      <c r="AL356" s="667"/>
      <c r="AM356" s="667"/>
      <c r="AN356" s="667"/>
      <c r="AO356" s="667"/>
      <c r="AP356" s="667"/>
    </row>
    <row r="357" spans="2:42" x14ac:dyDescent="0.25">
      <c r="G357" s="26"/>
      <c r="H357" s="26"/>
      <c r="Z357" s="667"/>
      <c r="AA357" s="667"/>
      <c r="AB357" s="667"/>
      <c r="AC357" s="667"/>
      <c r="AD357" s="667"/>
      <c r="AE357" s="667"/>
      <c r="AF357" s="667"/>
      <c r="AG357" s="667"/>
      <c r="AH357" s="667"/>
      <c r="AI357" s="667"/>
      <c r="AJ357" s="667"/>
      <c r="AK357" s="667"/>
      <c r="AL357" s="667"/>
      <c r="AM357" s="667"/>
      <c r="AN357" s="667"/>
      <c r="AO357" s="667"/>
      <c r="AP357" s="667"/>
    </row>
    <row r="358" spans="2:42" x14ac:dyDescent="0.25">
      <c r="G358" s="26"/>
      <c r="H358" s="26"/>
      <c r="Z358" s="667"/>
      <c r="AA358" s="667"/>
      <c r="AB358" s="667"/>
      <c r="AC358" s="667"/>
      <c r="AD358" s="667"/>
      <c r="AE358" s="667"/>
      <c r="AF358" s="667"/>
      <c r="AG358" s="667"/>
      <c r="AH358" s="667"/>
      <c r="AI358" s="667"/>
      <c r="AJ358" s="667"/>
      <c r="AK358" s="667"/>
      <c r="AL358" s="667"/>
      <c r="AM358" s="667"/>
      <c r="AN358" s="667"/>
      <c r="AO358" s="667"/>
      <c r="AP358" s="667"/>
    </row>
    <row r="359" spans="2:42" x14ac:dyDescent="0.25">
      <c r="G359" s="26"/>
      <c r="H359" s="26"/>
      <c r="Z359" s="667"/>
      <c r="AA359" s="667"/>
      <c r="AB359" s="667"/>
      <c r="AC359" s="667"/>
      <c r="AD359" s="667"/>
      <c r="AE359" s="667"/>
      <c r="AF359" s="667"/>
      <c r="AG359" s="667"/>
      <c r="AH359" s="667"/>
      <c r="AI359" s="667"/>
      <c r="AJ359" s="667"/>
      <c r="AK359" s="667"/>
      <c r="AL359" s="667"/>
      <c r="AM359" s="667"/>
      <c r="AN359" s="667"/>
      <c r="AO359" s="667"/>
      <c r="AP359" s="667"/>
    </row>
    <row r="360" spans="2:42" x14ac:dyDescent="0.25">
      <c r="G360" s="26"/>
      <c r="H360" s="26"/>
      <c r="Z360" s="667"/>
      <c r="AA360" s="667"/>
      <c r="AB360" s="667"/>
      <c r="AC360" s="667"/>
      <c r="AD360" s="667"/>
      <c r="AE360" s="667"/>
      <c r="AF360" s="667"/>
      <c r="AG360" s="667"/>
      <c r="AH360" s="667"/>
      <c r="AI360" s="667"/>
      <c r="AJ360" s="667"/>
      <c r="AK360" s="667"/>
      <c r="AL360" s="667"/>
      <c r="AM360" s="667"/>
      <c r="AN360" s="667"/>
      <c r="AO360" s="667"/>
      <c r="AP360" s="667"/>
    </row>
    <row r="361" spans="2:42" x14ac:dyDescent="0.25">
      <c r="G361" s="26"/>
      <c r="H361" s="26"/>
      <c r="Z361" s="667"/>
      <c r="AA361" s="667"/>
      <c r="AB361" s="667"/>
      <c r="AC361" s="667"/>
      <c r="AD361" s="667"/>
      <c r="AE361" s="667"/>
      <c r="AF361" s="667"/>
      <c r="AG361" s="667"/>
      <c r="AH361" s="667"/>
      <c r="AI361" s="667"/>
      <c r="AJ361" s="667"/>
      <c r="AK361" s="667"/>
      <c r="AL361" s="667"/>
      <c r="AM361" s="667"/>
      <c r="AN361" s="667"/>
      <c r="AO361" s="667"/>
      <c r="AP361" s="667"/>
    </row>
    <row r="362" spans="2:42" x14ac:dyDescent="0.25">
      <c r="G362" s="26"/>
      <c r="H362" s="26"/>
      <c r="Z362" s="667"/>
      <c r="AA362" s="667"/>
      <c r="AB362" s="667"/>
      <c r="AC362" s="667"/>
      <c r="AD362" s="667"/>
      <c r="AE362" s="667"/>
      <c r="AF362" s="667"/>
      <c r="AG362" s="667"/>
      <c r="AH362" s="667"/>
      <c r="AI362" s="667"/>
      <c r="AJ362" s="667"/>
      <c r="AK362" s="667"/>
      <c r="AL362" s="667"/>
      <c r="AM362" s="667"/>
      <c r="AN362" s="667"/>
      <c r="AO362" s="667"/>
      <c r="AP362" s="667"/>
    </row>
    <row r="363" spans="2:42" x14ac:dyDescent="0.25">
      <c r="G363" s="26"/>
      <c r="H363" s="26"/>
      <c r="Z363" s="667"/>
      <c r="AA363" s="667"/>
      <c r="AB363" s="667"/>
      <c r="AC363" s="667"/>
      <c r="AD363" s="667"/>
      <c r="AE363" s="667"/>
      <c r="AF363" s="667"/>
      <c r="AG363" s="667"/>
      <c r="AH363" s="667"/>
      <c r="AI363" s="667"/>
      <c r="AJ363" s="667"/>
      <c r="AK363" s="667"/>
      <c r="AL363" s="667"/>
      <c r="AM363" s="667"/>
      <c r="AN363" s="667"/>
      <c r="AO363" s="667"/>
      <c r="AP363" s="667"/>
    </row>
    <row r="364" spans="2:42" x14ac:dyDescent="0.25">
      <c r="G364" s="26"/>
      <c r="H364" s="26"/>
      <c r="Z364" s="667"/>
      <c r="AA364" s="667"/>
      <c r="AB364" s="667"/>
      <c r="AC364" s="667"/>
      <c r="AD364" s="667"/>
      <c r="AE364" s="667"/>
      <c r="AF364" s="667"/>
      <c r="AG364" s="667"/>
      <c r="AH364" s="667"/>
      <c r="AI364" s="667"/>
      <c r="AJ364" s="667"/>
      <c r="AK364" s="667"/>
      <c r="AL364" s="667"/>
      <c r="AM364" s="667"/>
      <c r="AN364" s="667"/>
      <c r="AO364" s="667"/>
      <c r="AP364" s="667"/>
    </row>
    <row r="365" spans="2:42" x14ac:dyDescent="0.25">
      <c r="G365" s="26"/>
      <c r="H365" s="26"/>
      <c r="Z365" s="667"/>
      <c r="AA365" s="667"/>
      <c r="AB365" s="667"/>
      <c r="AC365" s="667"/>
      <c r="AD365" s="667"/>
      <c r="AE365" s="667"/>
      <c r="AF365" s="667"/>
      <c r="AG365" s="667"/>
      <c r="AH365" s="667"/>
      <c r="AI365" s="667"/>
      <c r="AJ365" s="667"/>
      <c r="AK365" s="667"/>
      <c r="AL365" s="667"/>
      <c r="AM365" s="667"/>
      <c r="AN365" s="667"/>
      <c r="AO365" s="667"/>
      <c r="AP365" s="667"/>
    </row>
    <row r="366" spans="2:42" x14ac:dyDescent="0.25">
      <c r="G366" s="26"/>
      <c r="H366" s="26"/>
      <c r="Z366" s="667"/>
      <c r="AA366" s="667"/>
      <c r="AB366" s="667"/>
      <c r="AC366" s="667"/>
      <c r="AD366" s="667"/>
      <c r="AE366" s="667"/>
      <c r="AF366" s="667"/>
      <c r="AG366" s="667"/>
      <c r="AH366" s="667"/>
      <c r="AI366" s="667"/>
      <c r="AJ366" s="667"/>
      <c r="AK366" s="667"/>
      <c r="AL366" s="667"/>
      <c r="AM366" s="667"/>
      <c r="AN366" s="667"/>
      <c r="AO366" s="667"/>
      <c r="AP366" s="667"/>
    </row>
    <row r="367" spans="2:42" x14ac:dyDescent="0.25">
      <c r="B367" s="667"/>
      <c r="C367" s="667"/>
      <c r="D367" s="667"/>
      <c r="E367" s="667"/>
      <c r="F367" s="667"/>
      <c r="G367" s="667"/>
      <c r="H367" s="667"/>
      <c r="I367" s="667"/>
      <c r="J367" s="667"/>
      <c r="K367" s="667"/>
      <c r="L367" s="667"/>
      <c r="M367" s="667"/>
      <c r="N367" s="667"/>
      <c r="O367" s="667"/>
      <c r="P367" s="667"/>
      <c r="Q367" s="667"/>
      <c r="R367" s="667"/>
      <c r="S367" s="667"/>
      <c r="T367" s="667"/>
      <c r="U367" s="667"/>
      <c r="V367" s="667"/>
      <c r="W367" s="667"/>
      <c r="X367" s="667"/>
      <c r="Y367" s="667"/>
      <c r="Z367" s="667"/>
      <c r="AA367" s="667"/>
      <c r="AB367" s="667"/>
      <c r="AC367" s="667"/>
      <c r="AD367" s="667"/>
      <c r="AE367" s="667"/>
      <c r="AF367" s="667"/>
      <c r="AG367" s="667"/>
      <c r="AH367" s="667"/>
      <c r="AI367" s="667"/>
      <c r="AJ367" s="667"/>
      <c r="AK367" s="667"/>
      <c r="AL367" s="667"/>
      <c r="AM367" s="667"/>
      <c r="AN367" s="667"/>
      <c r="AO367" s="667"/>
      <c r="AP367" s="667"/>
    </row>
    <row r="368" spans="2:42" x14ac:dyDescent="0.25">
      <c r="B368" s="667"/>
      <c r="C368" s="667"/>
      <c r="D368" s="667"/>
      <c r="E368" s="667"/>
      <c r="F368" s="667"/>
      <c r="G368" s="667"/>
      <c r="H368" s="667"/>
      <c r="I368" s="667"/>
      <c r="J368" s="667"/>
      <c r="K368" s="667"/>
      <c r="L368" s="667"/>
      <c r="M368" s="667"/>
      <c r="N368" s="667"/>
      <c r="O368" s="667"/>
      <c r="P368" s="667"/>
      <c r="Q368" s="667"/>
      <c r="R368" s="667"/>
      <c r="S368" s="667"/>
      <c r="T368" s="667"/>
      <c r="U368" s="667"/>
      <c r="V368" s="667"/>
      <c r="W368" s="667"/>
      <c r="X368" s="667"/>
      <c r="Y368" s="667"/>
      <c r="Z368" s="667"/>
      <c r="AA368" s="667"/>
      <c r="AB368" s="667"/>
      <c r="AC368" s="667"/>
      <c r="AD368" s="667"/>
      <c r="AE368" s="667"/>
      <c r="AF368" s="667"/>
      <c r="AG368" s="667"/>
      <c r="AH368" s="667"/>
      <c r="AI368" s="667"/>
      <c r="AJ368" s="667"/>
      <c r="AK368" s="667"/>
      <c r="AL368" s="667"/>
      <c r="AM368" s="667"/>
      <c r="AN368" s="667"/>
      <c r="AO368" s="667"/>
      <c r="AP368" s="667"/>
    </row>
    <row r="369" spans="2:42" x14ac:dyDescent="0.25">
      <c r="B369" s="667"/>
      <c r="C369" s="667"/>
      <c r="D369" s="667"/>
      <c r="E369" s="667"/>
      <c r="F369" s="667"/>
      <c r="G369" s="667"/>
      <c r="H369" s="667"/>
      <c r="I369" s="667"/>
      <c r="J369" s="667"/>
      <c r="K369" s="667"/>
      <c r="L369" s="667"/>
      <c r="M369" s="667"/>
      <c r="N369" s="667"/>
      <c r="O369" s="667"/>
      <c r="P369" s="667"/>
      <c r="Q369" s="667"/>
      <c r="R369" s="667"/>
      <c r="S369" s="667"/>
      <c r="T369" s="667"/>
      <c r="U369" s="667"/>
      <c r="V369" s="667"/>
      <c r="W369" s="667"/>
      <c r="X369" s="667"/>
      <c r="Y369" s="667"/>
      <c r="Z369" s="667"/>
      <c r="AA369" s="667"/>
      <c r="AB369" s="667"/>
      <c r="AC369" s="667"/>
      <c r="AD369" s="667"/>
      <c r="AE369" s="667"/>
      <c r="AF369" s="667"/>
      <c r="AG369" s="667"/>
      <c r="AH369" s="667"/>
      <c r="AI369" s="667"/>
      <c r="AJ369" s="667"/>
      <c r="AK369" s="667"/>
      <c r="AL369" s="667"/>
      <c r="AM369" s="667"/>
      <c r="AN369" s="667"/>
      <c r="AO369" s="667"/>
      <c r="AP369" s="667"/>
    </row>
    <row r="370" spans="2:42" x14ac:dyDescent="0.25">
      <c r="B370" s="667"/>
      <c r="C370" s="667"/>
      <c r="D370" s="667"/>
      <c r="E370" s="667"/>
      <c r="F370" s="667"/>
      <c r="G370" s="667"/>
      <c r="H370" s="667"/>
      <c r="I370" s="667"/>
      <c r="J370" s="667"/>
      <c r="K370" s="667"/>
      <c r="L370" s="667"/>
      <c r="M370" s="667"/>
      <c r="N370" s="667"/>
      <c r="O370" s="667"/>
      <c r="P370" s="667"/>
      <c r="Q370" s="667"/>
      <c r="R370" s="667"/>
      <c r="S370" s="667"/>
      <c r="T370" s="667"/>
      <c r="U370" s="667"/>
      <c r="V370" s="667"/>
      <c r="W370" s="667"/>
      <c r="X370" s="667"/>
      <c r="Y370" s="667"/>
      <c r="Z370" s="667"/>
      <c r="AA370" s="667"/>
      <c r="AB370" s="667"/>
      <c r="AC370" s="667"/>
      <c r="AD370" s="667"/>
      <c r="AE370" s="667"/>
      <c r="AF370" s="667"/>
      <c r="AG370" s="667"/>
      <c r="AH370" s="667"/>
      <c r="AI370" s="667"/>
      <c r="AJ370" s="667"/>
      <c r="AK370" s="667"/>
      <c r="AL370" s="667"/>
      <c r="AM370" s="667"/>
      <c r="AN370" s="667"/>
      <c r="AO370" s="667"/>
      <c r="AP370" s="667"/>
    </row>
    <row r="371" spans="2:42" x14ac:dyDescent="0.25">
      <c r="B371" s="667"/>
      <c r="C371" s="667"/>
      <c r="D371" s="667"/>
      <c r="E371" s="667"/>
      <c r="F371" s="667"/>
      <c r="G371" s="667"/>
      <c r="H371" s="667"/>
      <c r="I371" s="667"/>
      <c r="J371" s="667"/>
      <c r="K371" s="667"/>
      <c r="L371" s="667"/>
      <c r="M371" s="667"/>
      <c r="N371" s="667"/>
      <c r="O371" s="667"/>
      <c r="P371" s="667"/>
      <c r="Q371" s="667"/>
      <c r="R371" s="667"/>
      <c r="S371" s="667"/>
      <c r="T371" s="667"/>
      <c r="U371" s="667"/>
      <c r="V371" s="667"/>
      <c r="W371" s="667"/>
      <c r="X371" s="667"/>
      <c r="Y371" s="667"/>
      <c r="Z371" s="667"/>
      <c r="AA371" s="667"/>
      <c r="AB371" s="667"/>
      <c r="AC371" s="667"/>
      <c r="AD371" s="667"/>
      <c r="AE371" s="667"/>
      <c r="AF371" s="667"/>
      <c r="AG371" s="667"/>
      <c r="AH371" s="667"/>
      <c r="AI371" s="667"/>
      <c r="AJ371" s="667"/>
      <c r="AK371" s="667"/>
      <c r="AL371" s="667"/>
      <c r="AM371" s="667"/>
      <c r="AN371" s="667"/>
      <c r="AO371" s="667"/>
      <c r="AP371" s="667"/>
    </row>
    <row r="372" spans="2:42" x14ac:dyDescent="0.25">
      <c r="B372" s="667"/>
      <c r="C372" s="667"/>
      <c r="D372" s="667"/>
      <c r="E372" s="667"/>
      <c r="F372" s="667"/>
      <c r="G372" s="667"/>
      <c r="H372" s="667"/>
      <c r="I372" s="667"/>
      <c r="J372" s="667"/>
      <c r="K372" s="667"/>
      <c r="L372" s="667"/>
      <c r="M372" s="667"/>
      <c r="N372" s="667"/>
      <c r="O372" s="667"/>
      <c r="P372" s="667"/>
      <c r="Q372" s="667"/>
      <c r="R372" s="667"/>
      <c r="S372" s="667"/>
      <c r="T372" s="667"/>
      <c r="U372" s="667"/>
      <c r="V372" s="667"/>
      <c r="W372" s="667"/>
      <c r="X372" s="667"/>
      <c r="Y372" s="667"/>
      <c r="Z372" s="667"/>
      <c r="AA372" s="667"/>
      <c r="AB372" s="667"/>
      <c r="AC372" s="667"/>
      <c r="AD372" s="667"/>
      <c r="AE372" s="667"/>
      <c r="AF372" s="667"/>
      <c r="AG372" s="667"/>
      <c r="AH372" s="667"/>
      <c r="AI372" s="667"/>
      <c r="AJ372" s="667"/>
      <c r="AK372" s="667"/>
      <c r="AL372" s="667"/>
      <c r="AM372" s="667"/>
      <c r="AN372" s="667"/>
      <c r="AO372" s="667"/>
      <c r="AP372" s="667"/>
    </row>
    <row r="373" spans="2:42" x14ac:dyDescent="0.25">
      <c r="B373" s="667"/>
      <c r="C373" s="667"/>
      <c r="D373" s="667"/>
      <c r="E373" s="667"/>
      <c r="F373" s="667"/>
      <c r="G373" s="667"/>
      <c r="H373" s="667"/>
      <c r="I373" s="667"/>
      <c r="J373" s="667"/>
      <c r="K373" s="667"/>
      <c r="L373" s="667"/>
      <c r="M373" s="667"/>
      <c r="N373" s="667"/>
      <c r="O373" s="667"/>
      <c r="P373" s="667"/>
      <c r="Q373" s="667"/>
      <c r="R373" s="667"/>
      <c r="S373" s="667"/>
      <c r="T373" s="667"/>
      <c r="U373" s="667"/>
      <c r="V373" s="667"/>
      <c r="W373" s="667"/>
      <c r="X373" s="667"/>
      <c r="Y373" s="667"/>
      <c r="Z373" s="667"/>
      <c r="AA373" s="667"/>
      <c r="AB373" s="667"/>
      <c r="AC373" s="667"/>
      <c r="AD373" s="667"/>
      <c r="AE373" s="667"/>
      <c r="AF373" s="667"/>
      <c r="AG373" s="667"/>
      <c r="AH373" s="667"/>
      <c r="AI373" s="667"/>
      <c r="AJ373" s="667"/>
      <c r="AK373" s="667"/>
      <c r="AL373" s="667"/>
      <c r="AM373" s="667"/>
      <c r="AN373" s="667"/>
      <c r="AO373" s="667"/>
      <c r="AP373" s="667"/>
    </row>
    <row r="374" spans="2:42" x14ac:dyDescent="0.25">
      <c r="B374" s="667"/>
      <c r="C374" s="667"/>
      <c r="D374" s="667"/>
      <c r="E374" s="667"/>
      <c r="F374" s="667"/>
      <c r="G374" s="667"/>
      <c r="H374" s="667"/>
      <c r="I374" s="667"/>
      <c r="J374" s="667"/>
      <c r="K374" s="667"/>
      <c r="L374" s="667"/>
      <c r="M374" s="667"/>
      <c r="N374" s="667"/>
      <c r="O374" s="667"/>
      <c r="P374" s="667"/>
      <c r="Q374" s="667"/>
      <c r="R374" s="667"/>
      <c r="S374" s="667"/>
      <c r="T374" s="667"/>
      <c r="U374" s="667"/>
      <c r="V374" s="667"/>
      <c r="W374" s="667"/>
      <c r="X374" s="667"/>
      <c r="Y374" s="667"/>
      <c r="Z374" s="667"/>
      <c r="AA374" s="667"/>
      <c r="AB374" s="667"/>
      <c r="AC374" s="667"/>
      <c r="AD374" s="667"/>
      <c r="AE374" s="667"/>
      <c r="AF374" s="667"/>
      <c r="AG374" s="667"/>
      <c r="AH374" s="667"/>
      <c r="AI374" s="667"/>
      <c r="AJ374" s="667"/>
      <c r="AK374" s="667"/>
      <c r="AL374" s="667"/>
      <c r="AM374" s="667"/>
      <c r="AN374" s="667"/>
      <c r="AO374" s="667"/>
      <c r="AP374" s="667"/>
    </row>
    <row r="375" spans="2:42" x14ac:dyDescent="0.25">
      <c r="B375" s="667"/>
      <c r="C375" s="667"/>
      <c r="D375" s="667"/>
      <c r="E375" s="667"/>
      <c r="F375" s="667"/>
      <c r="G375" s="667"/>
      <c r="H375" s="667"/>
      <c r="I375" s="667"/>
      <c r="J375" s="667"/>
      <c r="K375" s="667"/>
      <c r="L375" s="667"/>
      <c r="M375" s="667"/>
      <c r="N375" s="667"/>
      <c r="O375" s="667"/>
      <c r="P375" s="667"/>
      <c r="Q375" s="667"/>
      <c r="R375" s="667"/>
      <c r="S375" s="667"/>
      <c r="T375" s="667"/>
      <c r="U375" s="667"/>
      <c r="V375" s="667"/>
      <c r="W375" s="667"/>
      <c r="X375" s="667"/>
      <c r="Y375" s="667"/>
      <c r="Z375" s="667"/>
      <c r="AA375" s="667"/>
      <c r="AB375" s="667"/>
      <c r="AC375" s="667"/>
      <c r="AD375" s="667"/>
      <c r="AE375" s="667"/>
      <c r="AF375" s="667"/>
      <c r="AG375" s="667"/>
      <c r="AH375" s="667"/>
      <c r="AI375" s="667"/>
      <c r="AJ375" s="667"/>
      <c r="AK375" s="667"/>
      <c r="AL375" s="667"/>
      <c r="AM375" s="667"/>
      <c r="AN375" s="667"/>
      <c r="AO375" s="667"/>
      <c r="AP375" s="667"/>
    </row>
    <row r="376" spans="2:42" x14ac:dyDescent="0.25">
      <c r="B376" s="667"/>
      <c r="C376" s="667"/>
      <c r="D376" s="667"/>
      <c r="E376" s="667"/>
      <c r="F376" s="667"/>
      <c r="G376" s="667"/>
      <c r="H376" s="667"/>
      <c r="I376" s="667"/>
      <c r="J376" s="667"/>
      <c r="K376" s="667"/>
      <c r="L376" s="667"/>
      <c r="M376" s="667"/>
      <c r="N376" s="667"/>
      <c r="O376" s="667"/>
      <c r="P376" s="667"/>
      <c r="Q376" s="667"/>
      <c r="R376" s="667"/>
      <c r="S376" s="667"/>
      <c r="T376" s="667"/>
      <c r="U376" s="667"/>
      <c r="V376" s="667"/>
      <c r="W376" s="667"/>
      <c r="X376" s="667"/>
      <c r="Y376" s="667"/>
      <c r="Z376" s="667"/>
      <c r="AA376" s="667"/>
      <c r="AB376" s="667"/>
      <c r="AC376" s="667"/>
      <c r="AD376" s="667"/>
      <c r="AE376" s="667"/>
      <c r="AF376" s="667"/>
      <c r="AG376" s="667"/>
      <c r="AH376" s="667"/>
      <c r="AI376" s="667"/>
      <c r="AJ376" s="667"/>
      <c r="AK376" s="667"/>
      <c r="AL376" s="667"/>
      <c r="AM376" s="667"/>
      <c r="AN376" s="667"/>
      <c r="AO376" s="667"/>
      <c r="AP376" s="667"/>
    </row>
    <row r="377" spans="2:42" x14ac:dyDescent="0.25">
      <c r="B377" s="667"/>
      <c r="C377" s="667"/>
      <c r="D377" s="667"/>
      <c r="E377" s="667"/>
      <c r="F377" s="667"/>
      <c r="G377" s="667"/>
      <c r="H377" s="667"/>
      <c r="I377" s="667"/>
      <c r="J377" s="667"/>
      <c r="K377" s="667"/>
      <c r="L377" s="667"/>
      <c r="M377" s="667"/>
      <c r="N377" s="667"/>
      <c r="O377" s="667"/>
      <c r="P377" s="667"/>
      <c r="Q377" s="667"/>
      <c r="R377" s="667"/>
      <c r="S377" s="667"/>
      <c r="T377" s="667"/>
      <c r="U377" s="667"/>
      <c r="V377" s="667"/>
      <c r="W377" s="667"/>
      <c r="X377" s="667"/>
      <c r="Y377" s="667"/>
      <c r="Z377" s="667"/>
      <c r="AA377" s="667"/>
      <c r="AB377" s="667"/>
      <c r="AC377" s="667"/>
      <c r="AD377" s="667"/>
      <c r="AE377" s="667"/>
      <c r="AF377" s="667"/>
      <c r="AG377" s="667"/>
      <c r="AH377" s="667"/>
      <c r="AI377" s="667"/>
      <c r="AJ377" s="667"/>
      <c r="AK377" s="667"/>
      <c r="AL377" s="667"/>
      <c r="AM377" s="667"/>
      <c r="AN377" s="667"/>
      <c r="AO377" s="667"/>
      <c r="AP377" s="667"/>
    </row>
    <row r="378" spans="2:42" x14ac:dyDescent="0.25">
      <c r="B378" s="667"/>
      <c r="C378" s="667"/>
      <c r="D378" s="667"/>
      <c r="E378" s="667"/>
      <c r="F378" s="667"/>
      <c r="G378" s="667"/>
      <c r="H378" s="667"/>
      <c r="I378" s="667"/>
      <c r="J378" s="667"/>
      <c r="K378" s="667"/>
      <c r="L378" s="667"/>
      <c r="M378" s="667"/>
      <c r="N378" s="667"/>
      <c r="O378" s="667"/>
      <c r="P378" s="667"/>
      <c r="Q378" s="667"/>
      <c r="R378" s="667"/>
      <c r="S378" s="667"/>
      <c r="T378" s="667"/>
      <c r="U378" s="667"/>
      <c r="V378" s="667"/>
      <c r="W378" s="667"/>
      <c r="X378" s="667"/>
      <c r="Y378" s="667"/>
      <c r="Z378" s="667"/>
      <c r="AA378" s="667"/>
      <c r="AB378" s="667"/>
      <c r="AC378" s="667"/>
      <c r="AD378" s="667"/>
      <c r="AE378" s="667"/>
      <c r="AF378" s="667"/>
      <c r="AG378" s="667"/>
      <c r="AH378" s="667"/>
      <c r="AI378" s="667"/>
      <c r="AJ378" s="667"/>
      <c r="AK378" s="667"/>
      <c r="AL378" s="667"/>
      <c r="AM378" s="667"/>
      <c r="AN378" s="667"/>
      <c r="AO378" s="667"/>
      <c r="AP378" s="667"/>
    </row>
    <row r="379" spans="2:42" x14ac:dyDescent="0.25">
      <c r="B379" s="667"/>
      <c r="C379" s="667"/>
      <c r="D379" s="667"/>
      <c r="E379" s="667"/>
      <c r="F379" s="667"/>
      <c r="G379" s="667"/>
      <c r="H379" s="667"/>
      <c r="I379" s="667"/>
      <c r="J379" s="667"/>
      <c r="K379" s="667"/>
      <c r="L379" s="667"/>
      <c r="M379" s="667"/>
      <c r="N379" s="667"/>
      <c r="O379" s="667"/>
      <c r="P379" s="667"/>
      <c r="Q379" s="667"/>
      <c r="R379" s="667"/>
      <c r="S379" s="667"/>
      <c r="T379" s="667"/>
      <c r="U379" s="667"/>
      <c r="V379" s="667"/>
      <c r="W379" s="667"/>
      <c r="X379" s="667"/>
      <c r="Y379" s="667"/>
      <c r="Z379" s="667"/>
      <c r="AA379" s="667"/>
      <c r="AB379" s="667"/>
      <c r="AC379" s="667"/>
      <c r="AD379" s="667"/>
      <c r="AE379" s="667"/>
      <c r="AF379" s="667"/>
      <c r="AG379" s="667"/>
      <c r="AH379" s="667"/>
      <c r="AI379" s="667"/>
      <c r="AJ379" s="667"/>
      <c r="AK379" s="667"/>
      <c r="AL379" s="667"/>
      <c r="AM379" s="667"/>
      <c r="AN379" s="667"/>
      <c r="AO379" s="667"/>
      <c r="AP379" s="667"/>
    </row>
    <row r="380" spans="2:42" x14ac:dyDescent="0.25">
      <c r="B380" s="667"/>
      <c r="C380" s="667"/>
      <c r="D380" s="667"/>
      <c r="E380" s="667"/>
      <c r="F380" s="667"/>
      <c r="G380" s="667"/>
      <c r="H380" s="667"/>
      <c r="I380" s="667"/>
      <c r="J380" s="667"/>
      <c r="K380" s="667"/>
      <c r="L380" s="667"/>
      <c r="M380" s="667"/>
      <c r="N380" s="667"/>
      <c r="O380" s="667"/>
      <c r="P380" s="667"/>
      <c r="Q380" s="667"/>
      <c r="R380" s="667"/>
      <c r="S380" s="667"/>
      <c r="T380" s="667"/>
      <c r="U380" s="667"/>
      <c r="V380" s="667"/>
      <c r="W380" s="667"/>
      <c r="X380" s="667"/>
      <c r="Y380" s="667"/>
      <c r="Z380" s="667"/>
      <c r="AA380" s="667"/>
      <c r="AB380" s="667"/>
      <c r="AC380" s="667"/>
      <c r="AD380" s="667"/>
      <c r="AE380" s="667"/>
      <c r="AF380" s="667"/>
      <c r="AG380" s="667"/>
      <c r="AH380" s="667"/>
      <c r="AI380" s="667"/>
      <c r="AJ380" s="667"/>
      <c r="AK380" s="667"/>
      <c r="AL380" s="667"/>
      <c r="AM380" s="667"/>
      <c r="AN380" s="667"/>
      <c r="AO380" s="667"/>
      <c r="AP380" s="667"/>
    </row>
    <row r="381" spans="2:42" x14ac:dyDescent="0.25">
      <c r="B381" s="667"/>
      <c r="C381" s="667"/>
      <c r="D381" s="667"/>
      <c r="E381" s="667"/>
      <c r="F381" s="667"/>
      <c r="G381" s="667"/>
      <c r="H381" s="667"/>
      <c r="I381" s="667"/>
      <c r="J381" s="667"/>
      <c r="K381" s="667"/>
      <c r="L381" s="667"/>
      <c r="M381" s="667"/>
      <c r="N381" s="667"/>
      <c r="O381" s="667"/>
      <c r="P381" s="667"/>
      <c r="Q381" s="667"/>
      <c r="R381" s="667"/>
      <c r="S381" s="667"/>
      <c r="T381" s="667"/>
      <c r="U381" s="667"/>
      <c r="V381" s="667"/>
      <c r="W381" s="667"/>
      <c r="X381" s="667"/>
      <c r="Y381" s="667"/>
      <c r="Z381" s="667"/>
      <c r="AA381" s="667"/>
      <c r="AB381" s="667"/>
      <c r="AC381" s="667"/>
      <c r="AD381" s="667"/>
      <c r="AE381" s="667"/>
      <c r="AF381" s="667"/>
      <c r="AG381" s="667"/>
      <c r="AH381" s="667"/>
      <c r="AI381" s="667"/>
      <c r="AJ381" s="667"/>
      <c r="AK381" s="667"/>
      <c r="AL381" s="667"/>
      <c r="AM381" s="667"/>
      <c r="AN381" s="667"/>
      <c r="AO381" s="667"/>
      <c r="AP381" s="667"/>
    </row>
    <row r="382" spans="2:42" x14ac:dyDescent="0.25">
      <c r="B382" s="667"/>
      <c r="C382" s="667"/>
      <c r="D382" s="667"/>
      <c r="E382" s="667"/>
      <c r="F382" s="667"/>
      <c r="G382" s="667"/>
      <c r="H382" s="667"/>
      <c r="I382" s="667"/>
      <c r="J382" s="667"/>
      <c r="K382" s="667"/>
      <c r="L382" s="667"/>
      <c r="M382" s="667"/>
      <c r="N382" s="667"/>
      <c r="O382" s="667"/>
      <c r="P382" s="667"/>
      <c r="Q382" s="667"/>
      <c r="R382" s="667"/>
      <c r="S382" s="667"/>
      <c r="T382" s="667"/>
      <c r="U382" s="667"/>
      <c r="V382" s="667"/>
      <c r="W382" s="667"/>
      <c r="X382" s="667"/>
      <c r="Y382" s="667"/>
      <c r="Z382" s="667"/>
      <c r="AA382" s="667"/>
      <c r="AB382" s="667"/>
      <c r="AC382" s="667"/>
      <c r="AD382" s="667"/>
      <c r="AE382" s="667"/>
      <c r="AF382" s="667"/>
      <c r="AG382" s="667"/>
      <c r="AH382" s="667"/>
      <c r="AI382" s="667"/>
      <c r="AJ382" s="667"/>
      <c r="AK382" s="667"/>
      <c r="AL382" s="667"/>
      <c r="AM382" s="667"/>
      <c r="AN382" s="667"/>
      <c r="AO382" s="667"/>
      <c r="AP382" s="667"/>
    </row>
    <row r="383" spans="2:42" x14ac:dyDescent="0.25">
      <c r="B383" s="667"/>
      <c r="C383" s="667"/>
      <c r="D383" s="667"/>
      <c r="E383" s="667"/>
      <c r="F383" s="667"/>
      <c r="G383" s="667"/>
      <c r="H383" s="667"/>
      <c r="I383" s="667"/>
      <c r="J383" s="667"/>
      <c r="K383" s="667"/>
      <c r="L383" s="667"/>
      <c r="M383" s="667"/>
      <c r="N383" s="667"/>
      <c r="O383" s="667"/>
      <c r="P383" s="667"/>
      <c r="Q383" s="667"/>
      <c r="R383" s="667"/>
      <c r="S383" s="667"/>
      <c r="T383" s="667"/>
      <c r="U383" s="667"/>
      <c r="V383" s="667"/>
      <c r="W383" s="667"/>
      <c r="X383" s="667"/>
      <c r="Y383" s="667"/>
      <c r="Z383" s="667"/>
      <c r="AA383" s="667"/>
      <c r="AB383" s="667"/>
      <c r="AC383" s="667"/>
      <c r="AD383" s="667"/>
      <c r="AE383" s="667"/>
      <c r="AF383" s="667"/>
      <c r="AG383" s="667"/>
      <c r="AH383" s="667"/>
      <c r="AI383" s="667"/>
      <c r="AJ383" s="667"/>
      <c r="AK383" s="667"/>
      <c r="AL383" s="667"/>
      <c r="AM383" s="667"/>
      <c r="AN383" s="667"/>
      <c r="AO383" s="667"/>
      <c r="AP383" s="667"/>
    </row>
    <row r="384" spans="2:42" x14ac:dyDescent="0.25">
      <c r="B384" s="667"/>
      <c r="C384" s="667"/>
      <c r="D384" s="667"/>
      <c r="E384" s="667"/>
      <c r="F384" s="667"/>
      <c r="G384" s="667"/>
      <c r="H384" s="667"/>
      <c r="I384" s="667"/>
      <c r="J384" s="667"/>
      <c r="K384" s="667"/>
      <c r="L384" s="667"/>
      <c r="M384" s="667"/>
      <c r="N384" s="667"/>
      <c r="O384" s="667"/>
      <c r="P384" s="667"/>
      <c r="Q384" s="667"/>
      <c r="R384" s="667"/>
      <c r="S384" s="667"/>
      <c r="T384" s="667"/>
      <c r="U384" s="667"/>
      <c r="V384" s="667"/>
      <c r="W384" s="667"/>
      <c r="X384" s="667"/>
      <c r="Y384" s="667"/>
      <c r="Z384" s="667"/>
      <c r="AA384" s="667"/>
      <c r="AB384" s="667"/>
      <c r="AC384" s="667"/>
      <c r="AD384" s="667"/>
      <c r="AE384" s="667"/>
      <c r="AF384" s="667"/>
      <c r="AG384" s="667"/>
      <c r="AH384" s="667"/>
      <c r="AI384" s="667"/>
      <c r="AJ384" s="667"/>
      <c r="AK384" s="667"/>
      <c r="AL384" s="667"/>
      <c r="AM384" s="667"/>
      <c r="AN384" s="667"/>
      <c r="AO384" s="667"/>
      <c r="AP384" s="667"/>
    </row>
    <row r="385" spans="2:42" x14ac:dyDescent="0.25">
      <c r="B385" s="667"/>
      <c r="C385" s="667"/>
      <c r="D385" s="667"/>
      <c r="E385" s="667"/>
      <c r="F385" s="667"/>
      <c r="G385" s="667"/>
      <c r="H385" s="667"/>
      <c r="I385" s="667"/>
      <c r="J385" s="667"/>
      <c r="K385" s="667"/>
      <c r="L385" s="667"/>
      <c r="M385" s="667"/>
      <c r="N385" s="667"/>
      <c r="O385" s="667"/>
      <c r="P385" s="667"/>
      <c r="Q385" s="667"/>
      <c r="R385" s="667"/>
      <c r="S385" s="667"/>
      <c r="T385" s="667"/>
      <c r="U385" s="667"/>
      <c r="V385" s="667"/>
      <c r="W385" s="667"/>
      <c r="X385" s="667"/>
      <c r="Y385" s="667"/>
      <c r="Z385" s="667"/>
      <c r="AA385" s="667"/>
      <c r="AB385" s="667"/>
      <c r="AC385" s="667"/>
      <c r="AD385" s="667"/>
      <c r="AE385" s="667"/>
      <c r="AF385" s="667"/>
      <c r="AG385" s="667"/>
      <c r="AH385" s="667"/>
      <c r="AI385" s="667"/>
      <c r="AJ385" s="667"/>
      <c r="AK385" s="667"/>
      <c r="AL385" s="667"/>
      <c r="AM385" s="667"/>
      <c r="AN385" s="667"/>
      <c r="AO385" s="667"/>
      <c r="AP385" s="667"/>
    </row>
    <row r="386" spans="2:42" x14ac:dyDescent="0.25">
      <c r="B386" s="667"/>
      <c r="C386" s="667"/>
      <c r="D386" s="667"/>
      <c r="E386" s="667"/>
      <c r="F386" s="667"/>
      <c r="G386" s="667"/>
      <c r="H386" s="667"/>
      <c r="I386" s="667"/>
      <c r="J386" s="667"/>
      <c r="K386" s="667"/>
      <c r="L386" s="667"/>
      <c r="M386" s="667"/>
      <c r="N386" s="667"/>
      <c r="O386" s="667"/>
      <c r="P386" s="667"/>
      <c r="Q386" s="667"/>
      <c r="R386" s="667"/>
      <c r="S386" s="667"/>
      <c r="T386" s="667"/>
      <c r="U386" s="667"/>
      <c r="V386" s="667"/>
      <c r="W386" s="667"/>
      <c r="X386" s="667"/>
      <c r="Y386" s="667"/>
      <c r="Z386" s="667"/>
      <c r="AA386" s="667"/>
      <c r="AB386" s="667"/>
      <c r="AC386" s="667"/>
      <c r="AD386" s="667"/>
      <c r="AE386" s="667"/>
      <c r="AF386" s="667"/>
      <c r="AG386" s="667"/>
      <c r="AH386" s="667"/>
      <c r="AI386" s="667"/>
      <c r="AJ386" s="667"/>
      <c r="AK386" s="667"/>
      <c r="AL386" s="667"/>
      <c r="AM386" s="667"/>
      <c r="AN386" s="667"/>
      <c r="AO386" s="667"/>
      <c r="AP386" s="667"/>
    </row>
    <row r="387" spans="2:42" x14ac:dyDescent="0.25">
      <c r="B387" s="667"/>
      <c r="C387" s="667"/>
      <c r="D387" s="667"/>
      <c r="E387" s="667"/>
      <c r="F387" s="667"/>
      <c r="G387" s="667"/>
      <c r="H387" s="667"/>
      <c r="I387" s="667"/>
      <c r="J387" s="667"/>
      <c r="K387" s="667"/>
      <c r="L387" s="667"/>
      <c r="M387" s="667"/>
      <c r="N387" s="667"/>
      <c r="O387" s="667"/>
      <c r="P387" s="667"/>
      <c r="Q387" s="667"/>
      <c r="R387" s="667"/>
      <c r="S387" s="667"/>
      <c r="T387" s="667"/>
      <c r="U387" s="667"/>
      <c r="V387" s="667"/>
      <c r="W387" s="667"/>
      <c r="X387" s="667"/>
      <c r="Y387" s="667"/>
      <c r="Z387" s="667"/>
      <c r="AA387" s="667"/>
      <c r="AB387" s="667"/>
      <c r="AC387" s="667"/>
      <c r="AD387" s="667"/>
      <c r="AE387" s="667"/>
      <c r="AF387" s="667"/>
      <c r="AG387" s="667"/>
      <c r="AH387" s="667"/>
      <c r="AI387" s="667"/>
      <c r="AJ387" s="667"/>
      <c r="AK387" s="667"/>
      <c r="AL387" s="667"/>
      <c r="AM387" s="667"/>
      <c r="AN387" s="667"/>
      <c r="AO387" s="667"/>
      <c r="AP387" s="667"/>
    </row>
    <row r="388" spans="2:42" x14ac:dyDescent="0.25">
      <c r="B388" s="667"/>
      <c r="C388" s="667"/>
      <c r="D388" s="667"/>
      <c r="E388" s="667"/>
      <c r="F388" s="667"/>
      <c r="G388" s="667"/>
      <c r="H388" s="667"/>
      <c r="I388" s="667"/>
      <c r="J388" s="667"/>
      <c r="K388" s="667"/>
      <c r="L388" s="667"/>
      <c r="M388" s="667"/>
      <c r="N388" s="667"/>
      <c r="O388" s="667"/>
      <c r="P388" s="667"/>
      <c r="Q388" s="667"/>
      <c r="R388" s="667"/>
      <c r="S388" s="667"/>
      <c r="T388" s="667"/>
      <c r="U388" s="667"/>
      <c r="V388" s="667"/>
      <c r="W388" s="667"/>
      <c r="X388" s="667"/>
      <c r="Y388" s="667"/>
      <c r="Z388" s="667"/>
      <c r="AA388" s="667"/>
      <c r="AB388" s="667"/>
      <c r="AC388" s="667"/>
      <c r="AD388" s="667"/>
      <c r="AE388" s="667"/>
      <c r="AF388" s="667"/>
      <c r="AG388" s="667"/>
      <c r="AH388" s="667"/>
      <c r="AI388" s="667"/>
      <c r="AJ388" s="667"/>
      <c r="AK388" s="667"/>
      <c r="AL388" s="667"/>
      <c r="AM388" s="667"/>
      <c r="AN388" s="667"/>
      <c r="AO388" s="667"/>
      <c r="AP388" s="667"/>
    </row>
    <row r="389" spans="2:42" x14ac:dyDescent="0.25">
      <c r="B389" s="667"/>
      <c r="C389" s="667"/>
      <c r="D389" s="667"/>
      <c r="E389" s="667"/>
      <c r="F389" s="667"/>
      <c r="G389" s="667"/>
      <c r="H389" s="667"/>
      <c r="I389" s="667"/>
      <c r="J389" s="667"/>
      <c r="K389" s="667"/>
      <c r="L389" s="667"/>
      <c r="M389" s="667"/>
      <c r="N389" s="667"/>
      <c r="O389" s="667"/>
      <c r="P389" s="667"/>
      <c r="Q389" s="667"/>
      <c r="R389" s="667"/>
      <c r="S389" s="667"/>
      <c r="T389" s="667"/>
      <c r="U389" s="667"/>
      <c r="V389" s="667"/>
      <c r="W389" s="667"/>
      <c r="X389" s="667"/>
      <c r="Y389" s="667"/>
      <c r="Z389" s="667"/>
      <c r="AA389" s="667"/>
      <c r="AB389" s="667"/>
      <c r="AC389" s="667"/>
      <c r="AD389" s="667"/>
      <c r="AE389" s="667"/>
      <c r="AF389" s="667"/>
      <c r="AG389" s="667"/>
      <c r="AH389" s="667"/>
      <c r="AI389" s="667"/>
      <c r="AJ389" s="667"/>
      <c r="AK389" s="667"/>
      <c r="AL389" s="667"/>
      <c r="AM389" s="667"/>
      <c r="AN389" s="667"/>
      <c r="AO389" s="667"/>
      <c r="AP389" s="667"/>
    </row>
    <row r="390" spans="2:42" x14ac:dyDescent="0.25">
      <c r="B390" s="667"/>
      <c r="C390" s="667"/>
      <c r="D390" s="667"/>
      <c r="E390" s="667"/>
      <c r="F390" s="667"/>
      <c r="G390" s="667"/>
      <c r="H390" s="667"/>
      <c r="I390" s="667"/>
      <c r="J390" s="667"/>
      <c r="K390" s="667"/>
      <c r="L390" s="667"/>
      <c r="M390" s="667"/>
      <c r="N390" s="667"/>
      <c r="O390" s="667"/>
      <c r="P390" s="667"/>
      <c r="Q390" s="667"/>
      <c r="R390" s="667"/>
      <c r="S390" s="667"/>
      <c r="T390" s="667"/>
      <c r="U390" s="667"/>
      <c r="V390" s="667"/>
      <c r="W390" s="667"/>
      <c r="X390" s="667"/>
      <c r="Y390" s="667"/>
      <c r="Z390" s="667"/>
      <c r="AA390" s="667"/>
      <c r="AB390" s="667"/>
      <c r="AC390" s="667"/>
      <c r="AD390" s="667"/>
      <c r="AE390" s="667"/>
      <c r="AF390" s="667"/>
      <c r="AG390" s="667"/>
      <c r="AH390" s="667"/>
      <c r="AI390" s="667"/>
      <c r="AJ390" s="667"/>
      <c r="AK390" s="667"/>
      <c r="AL390" s="667"/>
      <c r="AM390" s="667"/>
      <c r="AN390" s="667"/>
      <c r="AO390" s="667"/>
      <c r="AP390" s="667"/>
    </row>
    <row r="391" spans="2:42" x14ac:dyDescent="0.25">
      <c r="B391" s="667"/>
      <c r="C391" s="667"/>
      <c r="D391" s="667"/>
      <c r="E391" s="667"/>
      <c r="F391" s="667"/>
      <c r="G391" s="667"/>
      <c r="H391" s="667"/>
      <c r="I391" s="667"/>
      <c r="J391" s="667"/>
      <c r="K391" s="667"/>
      <c r="L391" s="667"/>
      <c r="M391" s="667"/>
      <c r="N391" s="667"/>
      <c r="O391" s="667"/>
      <c r="P391" s="667"/>
      <c r="Q391" s="667"/>
      <c r="R391" s="667"/>
      <c r="S391" s="667"/>
      <c r="T391" s="667"/>
      <c r="U391" s="667"/>
      <c r="V391" s="667"/>
      <c r="W391" s="667"/>
      <c r="X391" s="667"/>
      <c r="Y391" s="667"/>
      <c r="Z391" s="667"/>
      <c r="AA391" s="667"/>
      <c r="AB391" s="667"/>
      <c r="AC391" s="667"/>
      <c r="AD391" s="667"/>
      <c r="AE391" s="667"/>
      <c r="AF391" s="667"/>
      <c r="AG391" s="667"/>
      <c r="AH391" s="667"/>
      <c r="AI391" s="667"/>
      <c r="AJ391" s="667"/>
      <c r="AK391" s="667"/>
      <c r="AL391" s="667"/>
      <c r="AM391" s="667"/>
      <c r="AN391" s="667"/>
      <c r="AO391" s="667"/>
      <c r="AP391" s="667"/>
    </row>
    <row r="392" spans="2:42" x14ac:dyDescent="0.25">
      <c r="B392" s="667"/>
      <c r="C392" s="667"/>
      <c r="D392" s="667"/>
      <c r="E392" s="667"/>
      <c r="F392" s="667"/>
      <c r="G392" s="667"/>
      <c r="H392" s="667"/>
      <c r="I392" s="667"/>
      <c r="J392" s="667"/>
      <c r="K392" s="667"/>
      <c r="L392" s="667"/>
      <c r="M392" s="667"/>
      <c r="N392" s="667"/>
      <c r="O392" s="667"/>
      <c r="P392" s="667"/>
      <c r="Q392" s="667"/>
      <c r="R392" s="667"/>
      <c r="S392" s="667"/>
      <c r="T392" s="667"/>
      <c r="U392" s="667"/>
      <c r="V392" s="667"/>
      <c r="W392" s="667"/>
      <c r="X392" s="667"/>
      <c r="Y392" s="667"/>
      <c r="Z392" s="667"/>
      <c r="AA392" s="667"/>
      <c r="AB392" s="667"/>
      <c r="AC392" s="667"/>
      <c r="AD392" s="667"/>
      <c r="AE392" s="667"/>
      <c r="AF392" s="667"/>
      <c r="AG392" s="667"/>
      <c r="AH392" s="667"/>
      <c r="AI392" s="667"/>
      <c r="AJ392" s="667"/>
      <c r="AK392" s="667"/>
      <c r="AL392" s="667"/>
      <c r="AM392" s="667"/>
      <c r="AN392" s="667"/>
      <c r="AO392" s="667"/>
      <c r="AP392" s="667"/>
    </row>
    <row r="393" spans="2:42" x14ac:dyDescent="0.25">
      <c r="B393" s="667"/>
      <c r="C393" s="667"/>
      <c r="D393" s="667"/>
      <c r="E393" s="667"/>
      <c r="F393" s="667"/>
      <c r="G393" s="667"/>
      <c r="H393" s="667"/>
      <c r="I393" s="667"/>
      <c r="J393" s="667"/>
      <c r="K393" s="667"/>
      <c r="L393" s="667"/>
      <c r="M393" s="667"/>
      <c r="N393" s="667"/>
      <c r="O393" s="667"/>
      <c r="P393" s="667"/>
      <c r="Q393" s="667"/>
      <c r="R393" s="667"/>
      <c r="S393" s="667"/>
      <c r="T393" s="667"/>
      <c r="U393" s="667"/>
      <c r="V393" s="667"/>
      <c r="W393" s="667"/>
      <c r="X393" s="667"/>
      <c r="Y393" s="667"/>
      <c r="Z393" s="667"/>
      <c r="AA393" s="667"/>
      <c r="AB393" s="667"/>
      <c r="AC393" s="667"/>
      <c r="AD393" s="667"/>
      <c r="AE393" s="667"/>
      <c r="AF393" s="667"/>
      <c r="AG393" s="667"/>
      <c r="AH393" s="667"/>
      <c r="AI393" s="667"/>
      <c r="AJ393" s="667"/>
      <c r="AK393" s="667"/>
      <c r="AL393" s="667"/>
      <c r="AM393" s="667"/>
      <c r="AN393" s="667"/>
      <c r="AO393" s="667"/>
      <c r="AP393" s="667"/>
    </row>
    <row r="394" spans="2:42" x14ac:dyDescent="0.25">
      <c r="B394" s="667"/>
      <c r="C394" s="667"/>
      <c r="D394" s="667"/>
      <c r="E394" s="667"/>
      <c r="F394" s="667"/>
      <c r="G394" s="667"/>
      <c r="H394" s="667"/>
      <c r="I394" s="667"/>
      <c r="J394" s="667"/>
      <c r="K394" s="667"/>
      <c r="L394" s="667"/>
      <c r="M394" s="667"/>
      <c r="N394" s="667"/>
      <c r="O394" s="667"/>
      <c r="P394" s="667"/>
      <c r="Q394" s="667"/>
      <c r="R394" s="667"/>
      <c r="S394" s="667"/>
      <c r="T394" s="667"/>
      <c r="U394" s="667"/>
      <c r="V394" s="667"/>
      <c r="W394" s="667"/>
      <c r="X394" s="667"/>
      <c r="Y394" s="667"/>
      <c r="Z394" s="667"/>
      <c r="AA394" s="667"/>
      <c r="AB394" s="667"/>
      <c r="AC394" s="667"/>
      <c r="AD394" s="667"/>
      <c r="AE394" s="667"/>
      <c r="AF394" s="667"/>
      <c r="AG394" s="667"/>
      <c r="AH394" s="667"/>
      <c r="AI394" s="667"/>
      <c r="AJ394" s="667"/>
      <c r="AK394" s="667"/>
      <c r="AL394" s="667"/>
      <c r="AM394" s="667"/>
      <c r="AN394" s="667"/>
      <c r="AO394" s="667"/>
      <c r="AP394" s="667"/>
    </row>
    <row r="395" spans="2:42" x14ac:dyDescent="0.25">
      <c r="B395" s="667"/>
      <c r="C395" s="667"/>
      <c r="D395" s="667"/>
      <c r="E395" s="667"/>
      <c r="F395" s="667"/>
      <c r="G395" s="667"/>
      <c r="H395" s="667"/>
      <c r="I395" s="667"/>
      <c r="J395" s="667"/>
      <c r="K395" s="667"/>
      <c r="L395" s="667"/>
      <c r="M395" s="667"/>
      <c r="N395" s="667"/>
      <c r="O395" s="667"/>
      <c r="P395" s="667"/>
      <c r="Q395" s="667"/>
      <c r="R395" s="667"/>
      <c r="S395" s="667"/>
      <c r="T395" s="667"/>
      <c r="U395" s="667"/>
      <c r="V395" s="667"/>
      <c r="W395" s="667"/>
      <c r="X395" s="667"/>
      <c r="Y395" s="667"/>
      <c r="Z395" s="667"/>
      <c r="AA395" s="667"/>
      <c r="AB395" s="667"/>
      <c r="AC395" s="667"/>
      <c r="AD395" s="667"/>
      <c r="AE395" s="667"/>
      <c r="AF395" s="667"/>
      <c r="AG395" s="667"/>
      <c r="AH395" s="667"/>
      <c r="AI395" s="667"/>
      <c r="AJ395" s="667"/>
      <c r="AK395" s="667"/>
      <c r="AL395" s="667"/>
      <c r="AM395" s="667"/>
      <c r="AN395" s="667"/>
      <c r="AO395" s="667"/>
      <c r="AP395" s="667"/>
    </row>
    <row r="396" spans="2:42" x14ac:dyDescent="0.25">
      <c r="B396" s="667"/>
      <c r="C396" s="667"/>
      <c r="D396" s="667"/>
      <c r="E396" s="667"/>
      <c r="F396" s="667"/>
      <c r="G396" s="667"/>
      <c r="H396" s="667"/>
      <c r="I396" s="667"/>
      <c r="J396" s="667"/>
      <c r="K396" s="667"/>
      <c r="L396" s="667"/>
      <c r="M396" s="667"/>
      <c r="N396" s="667"/>
      <c r="O396" s="667"/>
      <c r="P396" s="667"/>
      <c r="Q396" s="667"/>
      <c r="R396" s="667"/>
      <c r="S396" s="667"/>
      <c r="T396" s="667"/>
      <c r="U396" s="667"/>
      <c r="V396" s="667"/>
      <c r="W396" s="667"/>
      <c r="X396" s="667"/>
      <c r="Y396" s="667"/>
      <c r="Z396" s="667"/>
      <c r="AA396" s="667"/>
      <c r="AB396" s="667"/>
      <c r="AC396" s="667"/>
      <c r="AD396" s="667"/>
      <c r="AE396" s="667"/>
      <c r="AF396" s="667"/>
      <c r="AG396" s="667"/>
      <c r="AH396" s="667"/>
      <c r="AI396" s="667"/>
      <c r="AJ396" s="667"/>
      <c r="AK396" s="667"/>
      <c r="AL396" s="667"/>
      <c r="AM396" s="667"/>
      <c r="AN396" s="667"/>
      <c r="AO396" s="667"/>
      <c r="AP396" s="667"/>
    </row>
    <row r="397" spans="2:42" x14ac:dyDescent="0.25">
      <c r="B397" s="667"/>
      <c r="C397" s="667"/>
      <c r="D397" s="667"/>
      <c r="E397" s="667"/>
      <c r="F397" s="667"/>
      <c r="G397" s="667"/>
      <c r="H397" s="667"/>
      <c r="I397" s="667"/>
      <c r="J397" s="667"/>
      <c r="K397" s="667"/>
      <c r="L397" s="667"/>
      <c r="M397" s="667"/>
      <c r="N397" s="667"/>
      <c r="O397" s="667"/>
      <c r="P397" s="667"/>
      <c r="Q397" s="667"/>
      <c r="R397" s="667"/>
      <c r="S397" s="667"/>
      <c r="T397" s="667"/>
      <c r="U397" s="667"/>
      <c r="V397" s="667"/>
      <c r="W397" s="667"/>
      <c r="X397" s="667"/>
      <c r="Y397" s="667"/>
      <c r="Z397" s="667"/>
      <c r="AA397" s="667"/>
      <c r="AB397" s="667"/>
      <c r="AC397" s="667"/>
      <c r="AD397" s="667"/>
      <c r="AE397" s="667"/>
      <c r="AF397" s="667"/>
      <c r="AG397" s="667"/>
      <c r="AH397" s="667"/>
      <c r="AI397" s="667"/>
      <c r="AJ397" s="667"/>
      <c r="AK397" s="667"/>
      <c r="AL397" s="667"/>
      <c r="AM397" s="667"/>
      <c r="AN397" s="667"/>
      <c r="AO397" s="667"/>
      <c r="AP397" s="667"/>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Start</vt:lpstr>
      <vt:lpstr>Report &amp; Results </vt:lpstr>
      <vt:lpstr>Reference Systems</vt:lpstr>
      <vt:lpstr>In-House Techniques</vt:lpstr>
      <vt:lpstr>Outdoor Storage Techniques</vt:lpstr>
      <vt:lpstr>Field Techniques</vt:lpstr>
      <vt:lpstr>Calculations - Ref system</vt:lpstr>
      <vt:lpstr>Calculations - Techn</vt:lpstr>
      <vt:lpstr>Background data</vt:lpstr>
      <vt:lpstr>Not in use</vt:lpstr>
      <vt:lpstr>Not in use (2)</vt:lpstr>
      <vt:lpstr>Ark1</vt:lpstr>
      <vt:lpstr>Ark2</vt:lpstr>
      <vt:lpstr>C_dm</vt:lpstr>
      <vt:lpstr>Cu_dm</vt:lpstr>
      <vt:lpstr>K_in_straw</vt:lpstr>
      <vt:lpstr>MCFh</vt:lpstr>
      <vt:lpstr>MCFs</vt:lpstr>
      <vt:lpstr>N_in_straw</vt:lpstr>
      <vt:lpstr>P_in_straw</vt:lpstr>
      <vt:lpstr>'Report &amp; Results '!Print_Area</vt:lpstr>
      <vt:lpstr>Start!Print_Area</vt:lpstr>
      <vt:lpstr>'Report &amp; Results '!Print_Titles</vt:lpstr>
      <vt:lpstr>Start!Print_Titles</vt:lpstr>
      <vt:lpstr>VS</vt:lpstr>
      <vt:lpstr>Zn_dm</vt:lpstr>
    </vt:vector>
  </TitlesOfParts>
  <Company>Syddansk Unversitet - University of Southern Denmark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 Wenzel</dc:creator>
  <cp:lastModifiedBy>Marianne Wesnæs</cp:lastModifiedBy>
  <cp:lastPrinted>2013-12-15T22:08:57Z</cp:lastPrinted>
  <dcterms:created xsi:type="dcterms:W3CDTF">2012-01-31T13:31:43Z</dcterms:created>
  <dcterms:modified xsi:type="dcterms:W3CDTF">2013-12-15T22:10:54Z</dcterms:modified>
</cp:coreProperties>
</file>