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10215" yWindow="0" windowWidth="24240" windowHeight="13740"/>
  </bookViews>
  <sheets>
    <sheet name="tab1" sheetId="1" r:id="rId1"/>
    <sheet name="tab2" sheetId="2" r:id="rId2"/>
  </sheets>
  <definedNames>
    <definedName name="BeginPayPeriod">'tab2'!$C$7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2" l="1"/>
  <c r="D43" i="2"/>
  <c r="D42" i="2"/>
  <c r="D41" i="2"/>
  <c r="D40" i="2"/>
  <c r="D39" i="2"/>
  <c r="D38" i="2"/>
  <c r="D37" i="2"/>
  <c r="D36" i="2"/>
  <c r="G26" i="2"/>
  <c r="G17" i="2"/>
  <c r="G28" i="2" s="1"/>
  <c r="A10" i="2"/>
  <c r="A11" i="2" s="1"/>
  <c r="A12" i="2" s="1"/>
  <c r="A13" i="2" s="1"/>
  <c r="A14" i="2" s="1"/>
  <c r="A15" i="2" s="1"/>
  <c r="A16" i="2" s="1"/>
  <c r="A19" i="2" s="1"/>
  <c r="A20" i="2" s="1"/>
  <c r="A21" i="2" s="1"/>
  <c r="A22" i="2" s="1"/>
  <c r="A23" i="2" s="1"/>
  <c r="A24" i="2" s="1"/>
  <c r="A25" i="2" s="1"/>
  <c r="E7" i="2"/>
  <c r="F33" i="2" s="1"/>
  <c r="C24" i="1" l="1"/>
  <c r="C25" i="1"/>
  <c r="C26" i="1" s="1"/>
  <c r="C30" i="1" s="1"/>
  <c r="C27" i="1"/>
  <c r="C28" i="1"/>
  <c r="C29" i="1"/>
  <c r="B40" i="1"/>
  <c r="B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B39" i="1"/>
  <c r="B61" i="1"/>
  <c r="B44" i="1"/>
  <c r="B48" i="1" s="1"/>
  <c r="B35" i="1"/>
  <c r="B36" i="1"/>
  <c r="K11" i="1"/>
  <c r="B51" i="1" s="1"/>
  <c r="C39" i="1"/>
  <c r="C20" i="1"/>
  <c r="C61" i="1"/>
  <c r="C62" i="1" s="1"/>
  <c r="C44" i="1"/>
  <c r="C48" i="1" s="1"/>
  <c r="C35" i="1"/>
  <c r="C36" i="1"/>
  <c r="D39" i="1"/>
  <c r="D20" i="1"/>
  <c r="D61" i="1"/>
  <c r="D44" i="1" s="1"/>
  <c r="D48" i="1" s="1"/>
  <c r="D35" i="1"/>
  <c r="D36" i="1"/>
  <c r="E39" i="1"/>
  <c r="E20" i="1"/>
  <c r="E61" i="1"/>
  <c r="E44" i="1"/>
  <c r="E48" i="1"/>
  <c r="E35" i="1"/>
  <c r="E36" i="1"/>
  <c r="F39" i="1"/>
  <c r="F61" i="1" s="1"/>
  <c r="F44" i="1" s="1"/>
  <c r="F48" i="1" s="1"/>
  <c r="F20" i="1"/>
  <c r="F35" i="1"/>
  <c r="F36" i="1"/>
  <c r="G39" i="1"/>
  <c r="G61" i="1" s="1"/>
  <c r="G44" i="1" s="1"/>
  <c r="G48" i="1" s="1"/>
  <c r="G20" i="1"/>
  <c r="G35" i="1"/>
  <c r="G36" i="1"/>
  <c r="H39" i="1"/>
  <c r="H61" i="1" s="1"/>
  <c r="H44" i="1" s="1"/>
  <c r="H48" i="1" s="1"/>
  <c r="H20" i="1"/>
  <c r="H35" i="1"/>
  <c r="H36" i="1"/>
  <c r="I39" i="1"/>
  <c r="I61" i="1" s="1"/>
  <c r="I44" i="1" s="1"/>
  <c r="I48" i="1" s="1"/>
  <c r="I20" i="1"/>
  <c r="I35" i="1"/>
  <c r="I36" i="1"/>
  <c r="J39" i="1"/>
  <c r="J51" i="1" s="1"/>
  <c r="J20" i="1"/>
  <c r="J61" i="1"/>
  <c r="J44" i="1"/>
  <c r="J48" i="1" s="1"/>
  <c r="J35" i="1"/>
  <c r="J36" i="1"/>
  <c r="K39" i="1"/>
  <c r="K20" i="1"/>
  <c r="K61" i="1"/>
  <c r="K44" i="1"/>
  <c r="K48" i="1" s="1"/>
  <c r="K35" i="1"/>
  <c r="B60" i="1"/>
  <c r="B62" i="1"/>
  <c r="C60" i="1"/>
  <c r="D60" i="1"/>
  <c r="E60" i="1" s="1"/>
  <c r="D62" i="1"/>
  <c r="G51" i="1"/>
  <c r="H51" i="1"/>
  <c r="I51" i="1"/>
  <c r="E62" i="1" l="1"/>
  <c r="F60" i="1"/>
  <c r="F51" i="1"/>
  <c r="E51" i="1"/>
  <c r="D51" i="1"/>
  <c r="B49" i="1"/>
  <c r="B43" i="1"/>
  <c r="B45" i="1" s="1"/>
  <c r="K51" i="1"/>
  <c r="C51" i="1"/>
  <c r="C40" i="1"/>
  <c r="B47" i="1" l="1"/>
  <c r="B46" i="1"/>
  <c r="C41" i="1"/>
  <c r="D40" i="1"/>
  <c r="C49" i="1"/>
  <c r="C43" i="1"/>
  <c r="C45" i="1" s="1"/>
  <c r="G60" i="1"/>
  <c r="F62" i="1"/>
  <c r="B50" i="1" l="1"/>
  <c r="G62" i="1"/>
  <c r="H60" i="1"/>
  <c r="D41" i="1"/>
  <c r="E40" i="1"/>
  <c r="D43" i="1"/>
  <c r="D45" i="1" s="1"/>
  <c r="D49" i="1"/>
  <c r="C46" i="1"/>
  <c r="C47" i="1" s="1"/>
  <c r="C50" i="1" l="1"/>
  <c r="C52" i="1" s="1"/>
  <c r="D46" i="1"/>
  <c r="D47" i="1"/>
  <c r="D50" i="1" s="1"/>
  <c r="D52" i="1" s="1"/>
  <c r="E41" i="1"/>
  <c r="F40" i="1"/>
  <c r="E49" i="1"/>
  <c r="E43" i="1"/>
  <c r="E45" i="1" s="1"/>
  <c r="I60" i="1"/>
  <c r="H62" i="1"/>
  <c r="B52" i="1"/>
  <c r="I62" i="1" l="1"/>
  <c r="J60" i="1"/>
  <c r="E46" i="1"/>
  <c r="E47" i="1"/>
  <c r="E50" i="1" s="1"/>
  <c r="F43" i="1"/>
  <c r="F45" i="1" s="1"/>
  <c r="F49" i="1"/>
  <c r="F41" i="1"/>
  <c r="G40" i="1"/>
  <c r="F46" i="1" l="1"/>
  <c r="F47" i="1"/>
  <c r="G49" i="1"/>
  <c r="G41" i="1"/>
  <c r="G43" i="1" s="1"/>
  <c r="G45" i="1" s="1"/>
  <c r="H40" i="1"/>
  <c r="E52" i="1"/>
  <c r="J62" i="1"/>
  <c r="K60" i="1"/>
  <c r="K62" i="1" s="1"/>
  <c r="G46" i="1" l="1"/>
  <c r="G47" i="1" s="1"/>
  <c r="H49" i="1"/>
  <c r="H41" i="1"/>
  <c r="H43" i="1"/>
  <c r="H45" i="1" s="1"/>
  <c r="I40" i="1"/>
  <c r="F50" i="1"/>
  <c r="G50" i="1" l="1"/>
  <c r="G52" i="1" s="1"/>
  <c r="I41" i="1"/>
  <c r="I43" i="1" s="1"/>
  <c r="I45" i="1" s="1"/>
  <c r="J40" i="1"/>
  <c r="I49" i="1"/>
  <c r="H46" i="1"/>
  <c r="H47" i="1"/>
  <c r="H50" i="1" s="1"/>
  <c r="H52" i="1" s="1"/>
  <c r="F52" i="1"/>
  <c r="I46" i="1" l="1"/>
  <c r="I47" i="1" s="1"/>
  <c r="I50" i="1" s="1"/>
  <c r="J41" i="1"/>
  <c r="K40" i="1"/>
  <c r="J49" i="1"/>
  <c r="J43" i="1"/>
  <c r="J45" i="1" s="1"/>
  <c r="I52" i="1" l="1"/>
  <c r="K41" i="1"/>
  <c r="K49" i="1"/>
  <c r="K36" i="1" s="1"/>
  <c r="K43" i="1"/>
  <c r="K45" i="1" s="1"/>
  <c r="J46" i="1"/>
  <c r="J47" i="1" s="1"/>
  <c r="J50" i="1" s="1"/>
  <c r="J52" i="1" l="1"/>
  <c r="K46" i="1"/>
  <c r="K47" i="1"/>
  <c r="K50" i="1" l="1"/>
  <c r="C57" i="1"/>
  <c r="K52" i="1" l="1"/>
  <c r="C55" i="1" s="1"/>
  <c r="C56" i="1"/>
</calcChain>
</file>

<file path=xl/comments1.xml><?xml version="1.0" encoding="utf-8"?>
<comments xmlns="http://schemas.openxmlformats.org/spreadsheetml/2006/main">
  <authors>
    <author>Shellianne Redding, RN Program Director</author>
  </authors>
  <commentList>
    <comment ref="C7" authorId="0">
      <text>
        <r>
          <rPr>
            <b/>
            <sz val="8"/>
            <color indexed="81"/>
            <rFont val="Tahoma"/>
            <family val="2"/>
          </rPr>
          <t>Insert first MONDAY of pay period here. The rest will automatically calculate !
Remember to allocate your hours by grant at the bottom.</t>
        </r>
      </text>
    </comment>
  </commentList>
</comments>
</file>

<file path=xl/sharedStrings.xml><?xml version="1.0" encoding="utf-8"?>
<sst xmlns="http://schemas.openxmlformats.org/spreadsheetml/2006/main" count="111" uniqueCount="99">
  <si>
    <t>INITIAL INVESTMENT</t>
  </si>
  <si>
    <t>CASHFLOW DETAILS</t>
  </si>
  <si>
    <t>DISCOUNT RATE</t>
  </si>
  <si>
    <t>Lifetime of the investment</t>
  </si>
  <si>
    <t>2a. Beta</t>
  </si>
  <si>
    <t>WORKING CAPITAL</t>
  </si>
  <si>
    <t>GROWTH RATES</t>
  </si>
  <si>
    <t>Revenues</t>
  </si>
  <si>
    <t>Fixed Expenses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</si>
  <si>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</si>
  <si>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</si>
  <si>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</si>
  <si>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</si>
  <si>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</si>
  <si>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</si>
  <si>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</si>
  <si>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</si>
  <si>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</si>
  <si>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</si>
  <si>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</si>
  <si>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</si>
  <si>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</si>
  <si>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</si>
  <si>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</si>
  <si>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</si>
  <si>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</si>
  <si>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</si>
  <si>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</si>
  <si>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</si>
  <si>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</si>
  <si>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</si>
  <si>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</si>
  <si>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</si>
  <si>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</si>
  <si>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BOOK VALUE &amp; DEPRECIATION</t>
  </si>
  <si>
    <t>Book Value (beginning)</t>
  </si>
  <si>
    <t>Depreciation</t>
  </si>
  <si>
    <t>BV(ending)</t>
  </si>
  <si>
    <t>Salvage Value at end of project</t>
  </si>
  <si>
    <t>Opportunity cost</t>
  </si>
  <si>
    <t>Deprec. Method (1:St.line;2:DDB)</t>
  </si>
  <si>
    <t>1. Discount rate</t>
  </si>
  <si>
    <t>Discount rate used</t>
  </si>
  <si>
    <t xml:space="preserve">  b. Riskless rate</t>
  </si>
  <si>
    <t xml:space="preserve">  c. Market risk premium </t>
  </si>
  <si>
    <t xml:space="preserve">  d. Debt Ratio </t>
  </si>
  <si>
    <t xml:space="preserve">  e. Cost of Borrowing </t>
  </si>
  <si>
    <t>Var. Expenses as % of Rev</t>
  </si>
  <si>
    <t>Fixed expenses in year 2012</t>
  </si>
  <si>
    <t>Revenues in  year 2012</t>
  </si>
  <si>
    <t>Tax rate on net income</t>
  </si>
  <si>
    <t>Initial Investment in Work. Cap</t>
  </si>
  <si>
    <t>Tax Credit</t>
  </si>
  <si>
    <t>Other invest.</t>
  </si>
  <si>
    <t>Salvageable fraction at end</t>
  </si>
  <si>
    <t>Approach</t>
  </si>
  <si>
    <t>REVENUES IN YEAR 2012</t>
  </si>
  <si>
    <t>INVESTMENT MEASURES</t>
  </si>
  <si>
    <t>NPV</t>
  </si>
  <si>
    <t>IRR</t>
  </si>
  <si>
    <t>ROC</t>
  </si>
  <si>
    <t xml:space="preserve">Your Organization Name Here </t>
  </si>
  <si>
    <t>Bi-Weekly Timesheet for:</t>
  </si>
  <si>
    <t>(employee name)</t>
  </si>
  <si>
    <t>Pay Period:</t>
  </si>
  <si>
    <t>Date</t>
  </si>
  <si>
    <t>Day</t>
  </si>
  <si>
    <t>Time Start</t>
  </si>
  <si>
    <t>Lunch</t>
  </si>
  <si>
    <t>Time End</t>
  </si>
  <si>
    <t># Vacation or Sick Hours</t>
  </si>
  <si>
    <t>Total Hours</t>
  </si>
  <si>
    <t>Description / Comment</t>
  </si>
  <si>
    <t>Sunday</t>
  </si>
  <si>
    <t>Monday</t>
  </si>
  <si>
    <t>Tuesday</t>
  </si>
  <si>
    <t>Wednesday</t>
  </si>
  <si>
    <t>Thursday</t>
  </si>
  <si>
    <t>Friday</t>
  </si>
  <si>
    <t>Saturday</t>
  </si>
  <si>
    <t>Total Hours for Week 1 ----&gt;</t>
  </si>
  <si>
    <t>Total Hours for Week 2 ----&gt;</t>
  </si>
  <si>
    <t xml:space="preserve"> Total hours Pay Period----&gt;</t>
  </si>
  <si>
    <t>Employee Signature</t>
  </si>
  <si>
    <t>Date:</t>
  </si>
  <si>
    <t>Supervisor Signature</t>
  </si>
  <si>
    <t>TIME SHEET DUE TO SUPERVISOR ON:</t>
  </si>
  <si>
    <t>Time Distr by Fund</t>
  </si>
  <si>
    <t>Hrs</t>
  </si>
  <si>
    <t>%</t>
  </si>
  <si>
    <t>Administration</t>
  </si>
  <si>
    <t>CA Endowment</t>
  </si>
  <si>
    <t>Cal Optima HF</t>
  </si>
  <si>
    <t>Immunization</t>
  </si>
  <si>
    <t>Prop 10</t>
  </si>
  <si>
    <t>State Healthy Families</t>
  </si>
  <si>
    <t>Tides</t>
  </si>
  <si>
    <t>TSR Meas H</t>
  </si>
  <si>
    <t xml:space="preserve">Wellness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</si>
</sst>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\(&quot;$&quot;#,##0\)"/>
    <numFmt numFmtId="165" formatCode="0.0%"/>
  </numFmts>
  <fonts count="27">
    <font>
      <sz val="10"/>
      <name val="Geneva"/>
    </font>
    <font>
      <b/>
      <i/>
      <sz val="10"/>
      <name val="Arial"/>
    </font>
    <font>
      <sz val="10"/>
      <name val="Arial"/>
    </font>
    <font>
      <b/>
      <sz val="10"/>
      <name val="Arial"/>
    </font>
    <font>
      <sz val="12"/>
      <name val="Arial"/>
    </font>
    <font>
      <sz val="10"/>
      <color theme="0" tint="-0.34998626667073579"/>
      <name val="Arial"/>
    </font>
    <font>
      <b/>
      <sz val="11"/>
      <color theme="3" tint="-0.249977111117893"/>
      <name val="Arial"/>
    </font>
    <font>
      <b/>
      <sz val="16"/>
      <color theme="1" tint="0.249977111117893"/>
      <name val="Arial"/>
    </font>
    <font>
      <b/>
      <i/>
      <sz val="24"/>
      <name val="Times New Roman"/>
      <family val="1"/>
    </font>
    <font>
      <sz val="10"/>
      <name val="Arial"/>
      <family val="2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b/>
      <sz val="14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i/>
      <sz val="16"/>
      <name val="Arial"/>
      <family val="2"/>
    </font>
    <font>
      <i/>
      <sz val="16"/>
      <name val="Arial"/>
      <family val="2"/>
    </font>
    <font>
      <i/>
      <sz val="16"/>
      <name val="Garamond"/>
      <family val="1"/>
    </font>
    <font>
      <b/>
      <i/>
      <sz val="16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3">
      <alignment horizontal="left" vertical="center" indent="1"/>
    </xf>
  </cellStyleXfs>
  <cellXfs count="1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3" borderId="0" xfId="0" applyNumberFormat="1" applyFont="1" applyFill="1" applyBorder="1" applyAlignment="1">
      <alignment horizontal="right" vertical="center" indent="1"/>
    </xf>
    <xf numFmtId="0" fontId="3" fillId="0" borderId="0" xfId="0" applyFont="1" applyBorder="1" applyAlignment="1">
      <alignment horizontal="right" vertical="center" indent="1"/>
    </xf>
    <xf numFmtId="9" fontId="3" fillId="3" borderId="0" xfId="0" applyNumberFormat="1" applyFont="1" applyFill="1" applyBorder="1" applyAlignment="1">
      <alignment horizontal="right" vertical="center" indent="1"/>
    </xf>
    <xf numFmtId="10" fontId="3" fillId="3" borderId="0" xfId="0" applyNumberFormat="1" applyFont="1" applyFill="1" applyBorder="1" applyAlignment="1">
      <alignment horizontal="right" vertical="center" indent="1"/>
    </xf>
    <xf numFmtId="10" fontId="3" fillId="0" borderId="0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 indent="1"/>
    </xf>
    <xf numFmtId="9" fontId="3" fillId="0" borderId="1" xfId="0" applyNumberFormat="1" applyFont="1" applyBorder="1" applyAlignment="1">
      <alignment horizontal="right" vertical="center" indent="1"/>
    </xf>
    <xf numFmtId="0" fontId="2" fillId="0" borderId="0" xfId="0" applyFont="1" applyBorder="1" applyAlignment="1">
      <alignment horizontal="right" vertical="center" indent="1"/>
    </xf>
    <xf numFmtId="0" fontId="2" fillId="3" borderId="0" xfId="0" applyFont="1" applyFill="1" applyBorder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2" fillId="4" borderId="0" xfId="0" applyFont="1" applyFill="1" applyBorder="1" applyAlignment="1">
      <alignment horizontal="left" vertical="center" indent="1"/>
    </xf>
    <xf numFmtId="0" fontId="2" fillId="4" borderId="0" xfId="0" applyFont="1" applyFill="1" applyBorder="1" applyAlignment="1">
      <alignment horizontal="righ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right" vertical="center" indent="1"/>
    </xf>
    <xf numFmtId="164" fontId="2" fillId="0" borderId="0" xfId="0" applyNumberFormat="1" applyFont="1" applyBorder="1" applyAlignment="1">
      <alignment horizontal="right" vertical="center" indent="1"/>
    </xf>
    <xf numFmtId="164" fontId="2" fillId="0" borderId="0" xfId="0" applyNumberFormat="1" applyFont="1" applyAlignment="1">
      <alignment horizontal="right" vertical="center" indent="1"/>
    </xf>
    <xf numFmtId="0" fontId="2" fillId="3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164" fontId="2" fillId="3" borderId="0" xfId="0" applyNumberFormat="1" applyFont="1" applyFill="1" applyAlignment="1">
      <alignment horizontal="right" vertical="center" indent="1"/>
    </xf>
    <xf numFmtId="10" fontId="2" fillId="3" borderId="0" xfId="0" applyNumberFormat="1" applyFont="1" applyFill="1" applyBorder="1" applyAlignment="1">
      <alignment horizontal="right" vertical="center" indent="1"/>
    </xf>
    <xf numFmtId="10" fontId="2" fillId="4" borderId="1" xfId="0" applyNumberFormat="1" applyFont="1" applyFill="1" applyBorder="1" applyAlignment="1">
      <alignment horizontal="right" vertical="center" indent="1"/>
    </xf>
    <xf numFmtId="164" fontId="2" fillId="3" borderId="0" xfId="0" applyNumberFormat="1" applyFont="1" applyFill="1" applyBorder="1" applyAlignment="1">
      <alignment horizontal="right" vertical="center" indent="1"/>
    </xf>
    <xf numFmtId="0" fontId="3" fillId="0" borderId="1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right" vertical="center" inden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0" fontId="2" fillId="4" borderId="0" xfId="0" applyNumberFormat="1" applyFont="1" applyFill="1" applyBorder="1" applyAlignment="1">
      <alignment horizontal="right" vertical="center" indent="1"/>
    </xf>
    <xf numFmtId="0" fontId="6" fillId="0" borderId="0" xfId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indent="1"/>
    </xf>
    <xf numFmtId="0" fontId="6" fillId="2" borderId="5" xfId="1" applyBorder="1" applyAlignment="1">
      <alignment horizontal="left" vertical="center" indent="1"/>
    </xf>
    <xf numFmtId="0" fontId="6" fillId="2" borderId="6" xfId="1" applyBorder="1" applyAlignment="1">
      <alignment horizontal="left" vertical="center" indent="1"/>
    </xf>
    <xf numFmtId="0" fontId="6" fillId="2" borderId="3" xfId="1">
      <alignment horizontal="left" vertical="center" indent="1"/>
    </xf>
    <xf numFmtId="0" fontId="7" fillId="0" borderId="4" xfId="0" applyFont="1" applyBorder="1" applyAlignment="1">
      <alignment horizontal="center" vertical="center"/>
    </xf>
    <xf numFmtId="0" fontId="6" fillId="2" borderId="7" xfId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6" fillId="2" borderId="8" xfId="1" applyBorder="1" applyAlignment="1">
      <alignment horizontal="left" vertical="center" indent="1"/>
    </xf>
    <xf numFmtId="0" fontId="6" fillId="2" borderId="9" xfId="1" applyBorder="1" applyAlignment="1">
      <alignment horizontal="left" vertical="center" indent="1"/>
    </xf>
    <xf numFmtId="14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0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20" fontId="9" fillId="0" borderId="10" xfId="0" applyNumberFormat="1" applyFont="1" applyFill="1" applyBorder="1"/>
    <xf numFmtId="49" fontId="9" fillId="0" borderId="10" xfId="0" applyNumberFormat="1" applyFont="1" applyFill="1" applyBorder="1"/>
    <xf numFmtId="14" fontId="12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20" fontId="9" fillId="0" borderId="0" xfId="0" applyNumberFormat="1" applyFont="1" applyFill="1" applyBorder="1"/>
    <xf numFmtId="20" fontId="14" fillId="0" borderId="0" xfId="0" applyNumberFormat="1" applyFont="1" applyFill="1" applyBorder="1"/>
    <xf numFmtId="49" fontId="9" fillId="0" borderId="0" xfId="0" applyNumberFormat="1" applyFont="1" applyFill="1" applyBorder="1"/>
    <xf numFmtId="14" fontId="12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4" fontId="12" fillId="5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>
      <alignment horizontal="center"/>
    </xf>
    <xf numFmtId="14" fontId="12" fillId="5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14" fontId="12" fillId="0" borderId="11" xfId="0" applyNumberFormat="1" applyFont="1" applyFill="1" applyBorder="1" applyAlignment="1">
      <alignment horizontal="left"/>
    </xf>
    <xf numFmtId="0" fontId="16" fillId="0" borderId="11" xfId="0" applyFont="1" applyFill="1" applyBorder="1" applyAlignment="1">
      <alignment horizontal="left"/>
    </xf>
    <xf numFmtId="14" fontId="12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 applyAlignment="1">
      <alignment horizontal="center" vertical="center"/>
    </xf>
    <xf numFmtId="0" fontId="15" fillId="0" borderId="11" xfId="0" applyFont="1" applyFill="1" applyBorder="1"/>
    <xf numFmtId="14" fontId="12" fillId="0" borderId="12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/>
    </xf>
    <xf numFmtId="20" fontId="12" fillId="0" borderId="12" xfId="0" applyNumberFormat="1" applyFont="1" applyFill="1" applyBorder="1" applyAlignment="1">
      <alignment horizontal="center" wrapText="1"/>
    </xf>
    <xf numFmtId="49" fontId="18" fillId="0" borderId="12" xfId="0" applyNumberFormat="1" applyFont="1" applyFill="1" applyBorder="1" applyAlignment="1">
      <alignment horizontal="center" wrapText="1"/>
    </xf>
    <xf numFmtId="49" fontId="19" fillId="5" borderId="12" xfId="0" applyNumberFormat="1" applyFont="1" applyFill="1" applyBorder="1" applyAlignment="1">
      <alignment horizontal="center" wrapText="1"/>
    </xf>
    <xf numFmtId="49" fontId="12" fillId="0" borderId="13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14" fontId="12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20" fontId="12" fillId="6" borderId="12" xfId="0" applyNumberFormat="1" applyFont="1" applyFill="1" applyBorder="1" applyAlignment="1">
      <alignment horizontal="center" wrapText="1"/>
    </xf>
    <xf numFmtId="49" fontId="18" fillId="6" borderId="12" xfId="0" applyNumberFormat="1" applyFont="1" applyFill="1" applyBorder="1" applyAlignment="1">
      <alignment horizontal="center" wrapText="1"/>
    </xf>
    <xf numFmtId="49" fontId="19" fillId="6" borderId="12" xfId="0" applyNumberFormat="1" applyFont="1" applyFill="1" applyBorder="1" applyAlignment="1">
      <alignment horizontal="center" wrapText="1"/>
    </xf>
    <xf numFmtId="49" fontId="12" fillId="6" borderId="13" xfId="0" applyNumberFormat="1" applyFont="1" applyFill="1" applyBorder="1" applyAlignment="1">
      <alignment horizontal="center" wrapText="1"/>
    </xf>
    <xf numFmtId="14" fontId="12" fillId="0" borderId="12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/>
    </xf>
    <xf numFmtId="20" fontId="9" fillId="0" borderId="12" xfId="0" applyNumberFormat="1" applyFont="1" applyFill="1" applyBorder="1"/>
    <xf numFmtId="2" fontId="15" fillId="0" borderId="12" xfId="0" applyNumberFormat="1" applyFont="1" applyFill="1" applyBorder="1" applyAlignment="1">
      <alignment horizontal="center"/>
    </xf>
    <xf numFmtId="2" fontId="15" fillId="5" borderId="12" xfId="0" applyNumberFormat="1" applyFont="1" applyFill="1" applyBorder="1"/>
    <xf numFmtId="49" fontId="15" fillId="0" borderId="13" xfId="0" applyNumberFormat="1" applyFont="1" applyFill="1" applyBorder="1"/>
    <xf numFmtId="49" fontId="9" fillId="0" borderId="12" xfId="0" applyNumberFormat="1" applyFont="1" applyFill="1" applyBorder="1"/>
    <xf numFmtId="49" fontId="9" fillId="0" borderId="13" xfId="0" applyNumberFormat="1" applyFont="1" applyFill="1" applyBorder="1"/>
    <xf numFmtId="2" fontId="15" fillId="5" borderId="14" xfId="0" applyNumberFormat="1" applyFont="1" applyFill="1" applyBorder="1"/>
    <xf numFmtId="0" fontId="16" fillId="6" borderId="12" xfId="0" applyFont="1" applyFill="1" applyBorder="1" applyAlignment="1">
      <alignment horizontal="left" vertical="center"/>
    </xf>
    <xf numFmtId="20" fontId="9" fillId="6" borderId="12" xfId="0" applyNumberFormat="1" applyFont="1" applyFill="1" applyBorder="1"/>
    <xf numFmtId="49" fontId="9" fillId="6" borderId="12" xfId="0" applyNumberFormat="1" applyFont="1" applyFill="1" applyBorder="1"/>
    <xf numFmtId="2" fontId="15" fillId="6" borderId="14" xfId="0" applyNumberFormat="1" applyFont="1" applyFill="1" applyBorder="1"/>
    <xf numFmtId="49" fontId="9" fillId="6" borderId="13" xfId="0" applyNumberFormat="1" applyFont="1" applyFill="1" applyBorder="1"/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right" vertical="center"/>
    </xf>
    <xf numFmtId="49" fontId="21" fillId="0" borderId="15" xfId="0" applyNumberFormat="1" applyFont="1" applyFill="1" applyBorder="1"/>
    <xf numFmtId="2" fontId="21" fillId="5" borderId="16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12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right" vertical="center"/>
    </xf>
    <xf numFmtId="49" fontId="9" fillId="0" borderId="11" xfId="0" applyNumberFormat="1" applyFont="1" applyFill="1" applyBorder="1"/>
    <xf numFmtId="14" fontId="12" fillId="6" borderId="11" xfId="0" applyNumberFormat="1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right" vertical="center"/>
    </xf>
    <xf numFmtId="49" fontId="9" fillId="6" borderId="11" xfId="0" applyNumberFormat="1" applyFont="1" applyFill="1" applyBorder="1"/>
    <xf numFmtId="2" fontId="15" fillId="5" borderId="12" xfId="0" applyNumberFormat="1" applyFont="1" applyFill="1" applyBorder="1" applyAlignment="1">
      <alignment horizontal="center"/>
    </xf>
    <xf numFmtId="49" fontId="12" fillId="0" borderId="13" xfId="0" applyNumberFormat="1" applyFont="1" applyFill="1" applyBorder="1" applyAlignment="1">
      <alignment horizontal="center"/>
    </xf>
    <xf numFmtId="2" fontId="15" fillId="6" borderId="1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 vertical="center"/>
    </xf>
    <xf numFmtId="49" fontId="21" fillId="0" borderId="0" xfId="0" applyNumberFormat="1" applyFont="1" applyFill="1" applyBorder="1"/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 vertical="center"/>
    </xf>
    <xf numFmtId="2" fontId="9" fillId="0" borderId="0" xfId="0" applyNumberFormat="1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/>
    </xf>
    <xf numFmtId="2" fontId="23" fillId="5" borderId="17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right"/>
    </xf>
    <xf numFmtId="49" fontId="25" fillId="0" borderId="1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25" fillId="0" borderId="10" xfId="0" applyFont="1" applyFill="1" applyBorder="1"/>
    <xf numFmtId="0" fontId="20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/>
    <xf numFmtId="14" fontId="1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/>
    <xf numFmtId="14" fontId="12" fillId="0" borderId="13" xfId="0" applyNumberFormat="1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14" fontId="12" fillId="0" borderId="19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left"/>
    </xf>
    <xf numFmtId="4" fontId="9" fillId="0" borderId="12" xfId="0" applyNumberFormat="1" applyFont="1" applyFill="1" applyBorder="1"/>
    <xf numFmtId="165" fontId="9" fillId="0" borderId="12" xfId="0" applyNumberFormat="1" applyFont="1" applyFill="1" applyBorder="1"/>
    <xf numFmtId="0" fontId="13" fillId="0" borderId="21" xfId="0" applyFont="1" applyFill="1" applyBorder="1" applyAlignment="1">
      <alignment horizontal="left"/>
    </xf>
  </cellXfs>
  <cellStyles count="2">
    <cellStyle name="Blue_01" xfId="1"/>
    <cellStyle name="Обычный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79140259906501"/>
          <c:y val="7.2415998176063007E-2"/>
          <c:w val="0.35260322642596498"/>
          <c:h val="0.86012605153558996"/>
        </c:manualLayout>
      </c:layout>
      <c:doughnutChart>
        <c:varyColors val="1"/>
        <c:ser>
          <c:idx val="0"/>
          <c:order val="0"/>
          <c:cat>
            <c:strRef>
              <c:f>'tab1'!$A$26:$A$29</c:f>
              <c:strCache>
                <c:ptCount val="4"/>
                <c:pt idx="0">
                  <c:v>Net Investment</c:v>
                </c:pt>
                <c:pt idx="1">
                  <c:v> + Working Cap</c:v>
                </c:pt>
                <c:pt idx="2">
                  <c:v> + Opp. Cost</c:v>
                </c:pt>
                <c:pt idx="3">
                  <c:v> + Other invest.</c:v>
                </c:pt>
              </c:strCache>
            </c:strRef>
          </c:cat>
          <c:val>
            <c:numRef>
              <c:f>'tab1'!$B$26:$B$29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explosion val="14"/>
          <c:dPt>
            <c:idx val="0"/>
            <c:bubble3D val="0"/>
            <c:spPr>
              <a:ln>
                <a:noFill/>
              </a:ln>
            </c:spPr>
          </c:dPt>
          <c:dLbls>
            <c:dLbl>
              <c:idx val="0"/>
              <c:layout>
                <c:manualLayout>
                  <c:x val="2.1505376344085999E-2"/>
                  <c:y val="-4.88538201379302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7634408602150497E-2"/>
                  <c:y val="-4.47821511325374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4193548387096801E-2"/>
                  <c:y val="-4.8853820137929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881720430107E-3"/>
                  <c:y val="-0.122134550344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 i="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'tab1'!$A$26:$A$29</c:f>
              <c:strCache>
                <c:ptCount val="4"/>
                <c:pt idx="0">
                  <c:v>Net Investment</c:v>
                </c:pt>
                <c:pt idx="1">
                  <c:v> + Working Cap</c:v>
                </c:pt>
                <c:pt idx="2">
                  <c:v> + Opp. Cost</c:v>
                </c:pt>
                <c:pt idx="3">
                  <c:v> + Other invest.</c:v>
                </c:pt>
              </c:strCache>
            </c:strRef>
          </c:cat>
          <c:val>
            <c:numRef>
              <c:f>'tab1'!$C$26:$C$29</c:f>
              <c:numCache>
                <c:formatCode>"$"#,##0_);\("$"#,##0\)</c:formatCode>
                <c:ptCount val="4"/>
                <c:pt idx="0">
                  <c:v>45000</c:v>
                </c:pt>
                <c:pt idx="1">
                  <c:v>10000</c:v>
                </c:pt>
                <c:pt idx="2">
                  <c:v>7484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</c:plotArea>
    <c:legend>
      <c:legendPos val="r"/>
      <c:layout>
        <c:manualLayout>
          <c:xMode val="edge"/>
          <c:yMode val="edge"/>
          <c:x val="0.666181525696385"/>
          <c:y val="0.27528704504399099"/>
          <c:w val="0.20545554427261101"/>
          <c:h val="0.52322102179088104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'tab1'!$A$40</c:f>
              <c:strCache>
                <c:ptCount val="1"/>
                <c:pt idx="0">
                  <c:v>Revenues</c:v>
                </c:pt>
              </c:strCache>
            </c:strRef>
          </c:tx>
          <c:invertIfNegative val="0"/>
          <c:val>
            <c:numRef>
              <c:f>'tab1'!$B$40:$K$40</c:f>
              <c:numCache>
                <c:formatCode>"$"#,##0_);\("$"#,##0\)</c:formatCode>
                <c:ptCount val="10"/>
                <c:pt idx="0">
                  <c:v>40000</c:v>
                </c:pt>
                <c:pt idx="1">
                  <c:v>44000</c:v>
                </c:pt>
                <c:pt idx="2">
                  <c:v>48400.000000000007</c:v>
                </c:pt>
                <c:pt idx="3">
                  <c:v>52272.000000000015</c:v>
                </c:pt>
                <c:pt idx="4">
                  <c:v>56976.480000000018</c:v>
                </c:pt>
                <c:pt idx="5">
                  <c:v>63813.657600000028</c:v>
                </c:pt>
                <c:pt idx="6">
                  <c:v>71790.364800000025</c:v>
                </c:pt>
                <c:pt idx="7">
                  <c:v>79112.982009600033</c:v>
                </c:pt>
                <c:pt idx="8">
                  <c:v>86628.715300512034</c:v>
                </c:pt>
                <c:pt idx="9">
                  <c:v>97457.304713076039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14912"/>
        <c:axId val="88330176"/>
      </c:barChart>
      <c:catAx>
        <c:axId val="1302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330176"/>
        <c:crosses val="autoZero"/>
        <c:auto val="1"/>
        <c:lblAlgn val="ctr"/>
        <c:lblOffset val="100"/>
        <c:noMultiLvlLbl val="0"/>
      </c:catAx>
      <c:valAx>
        <c:axId val="88330176"/>
        <c:scaling>
          <c:orientation val="minMax"/>
        </c:scaling>
        <c:delete val="0"/>
        <c:axPos val="l"/>
        <c:majorGridlines/>
        <c:numFmt formatCode="&quot;$&quot;#,##0_);\(&quot;$&quot;#,##0\)" sourceLinked="1"/>
        <c:majorTickMark val="out"/>
        <c:minorTickMark val="none"/>
        <c:tickLblPos val="nextTo"/>
        <c:crossAx val="130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'tab1'!$A$19:$A$19</c:f>
              <c:strCache>
                <c:ptCount val="1"/>
                <c:pt idx="0">
                  <c:v>Revenues</c:v>
                </c:pt>
              </c:strCache>
            </c:strRef>
          </c:tx>
          <c:invertIfNegative val="0"/>
          <c:cat>
            <c:numRef>
              <c:f>'tab1'!$B$18:$K$18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'tab1'!$B$19:$K$19</c:f>
              <c:numCache>
                <c:formatCode>0.00%</c:formatCode>
                <c:ptCount val="10"/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0.125</c:v>
                </c:pt>
                <c:pt idx="7">
                  <c:v>0.10199999999999999</c:v>
                </c:pt>
                <c:pt idx="8">
                  <c:v>9.5000000000000001E-2</c:v>
                </c:pt>
                <c:pt idx="9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'tab1'!$A$20:$A$20</c:f>
              <c:strCache>
                <c:ptCount val="1"/>
                <c:pt idx="0">
                  <c:v>Fixed Expenses</c:v>
                </c:pt>
              </c:strCache>
            </c:strRef>
          </c:tx>
          <c:invertIfNegative val="0"/>
          <c:cat>
            <c:numRef>
              <c:f>'tab1'!$B$18:$K$18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'tab1'!$B$20:$K$20</c:f>
              <c:numCache>
                <c:formatCode>0.00%</c:formatCode>
                <c:ptCount val="10"/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0.125</c:v>
                </c:pt>
                <c:pt idx="7">
                  <c:v>0.10199999999999999</c:v>
                </c:pt>
                <c:pt idx="8">
                  <c:v>9.5000000000000001E-2</c:v>
                </c:pt>
                <c:pt idx="9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191360"/>
        <c:axId val="88331904"/>
        <c:axId val="0"/>
      </c:bar3DChart>
      <c:catAx>
        <c:axId val="1381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31904"/>
        <c:crosses val="autoZero"/>
        <c:auto val="1"/>
        <c:lblAlgn val="ctr"/>
        <c:lblOffset val="100"/>
        <c:noMultiLvlLbl val="0"/>
      </c:catAx>
      <c:valAx>
        <c:axId val="883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22</xdr:row>
      <xdr:rowOff>12700</xdr:rowOff>
    </xdr:from>
    <xdr:to>
      <xdr:col>10</xdr:col>
      <xdr:colOff>101600</xdr:colOff>
      <xdr:row>29</xdr:row>
      <xdr:rowOff>317500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62</xdr:row>
      <xdr:rowOff>88900</xdr:rowOff>
    </xdr:from>
    <xdr:to>
      <xdr:col>10</xdr:col>
      <xdr:colOff>711200</xdr:colOff>
      <xdr:row>73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11</xdr:row>
      <xdr:rowOff>25400</xdr:rowOff>
    </xdr:from>
    <xdr:to>
      <xdr:col>10</xdr:col>
      <xdr:colOff>863600</xdr:colOff>
      <xdr:row>15</xdr:row>
      <xdr:rowOff>279400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abSelected="1" showRuler="0" topLeftCell="A16" workbookViewId="0">
      <selection activeCell="N20" sqref="N20"/>
    </sheetView>
  </sheetViews>
  <sheetFormatPr defaultColWidth="11.42578125" defaultRowHeight="12.75"/>
  <cols>
    <col min="1" max="1" width="14.5703125" style="1" customWidth="1"/>
    <col min="2" max="11" width="11.28515625" style="1" customWidth="1"/>
    <col min="12" max="12" width="10.140625" style="1" customWidth="1"/>
    <col min="13" max="16384" width="11.42578125" style="1"/>
  </cols>
  <sheetData>
    <row r="1" spans="1:13" s="46" customFormat="1" ht="50.1" customHeight="1" thickBot="1">
      <c r="A1" s="56" t="s">
        <v>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0"/>
    </row>
    <row r="2" spans="1:13" ht="20.100000000000001" customHeight="1">
      <c r="E2" s="2"/>
    </row>
    <row r="3" spans="1:13" ht="27.95" customHeight="1">
      <c r="A3" s="55" t="s">
        <v>0</v>
      </c>
      <c r="B3" s="55"/>
      <c r="C3" s="55"/>
      <c r="E3" s="55" t="s">
        <v>1</v>
      </c>
      <c r="F3" s="55"/>
      <c r="G3" s="55"/>
      <c r="I3" s="53" t="s">
        <v>2</v>
      </c>
      <c r="J3" s="54"/>
      <c r="K3" s="57"/>
    </row>
    <row r="4" spans="1:13" ht="20.100000000000001" customHeight="1">
      <c r="A4" s="8" t="s">
        <v>16</v>
      </c>
      <c r="B4" s="3"/>
      <c r="C4" s="11">
        <v>50000</v>
      </c>
      <c r="E4" s="8" t="s">
        <v>49</v>
      </c>
      <c r="F4" s="3"/>
      <c r="G4" s="11">
        <v>40000</v>
      </c>
      <c r="I4" s="8" t="s">
        <v>55</v>
      </c>
      <c r="J4" s="8"/>
      <c r="K4" s="13">
        <v>2</v>
      </c>
      <c r="M4"/>
    </row>
    <row r="5" spans="1:13" ht="20.100000000000001" customHeight="1">
      <c r="A5" s="9" t="s">
        <v>39</v>
      </c>
      <c r="B5" s="7"/>
      <c r="C5" s="12">
        <v>7484</v>
      </c>
      <c r="E5" s="9" t="s">
        <v>47</v>
      </c>
      <c r="F5" s="7"/>
      <c r="G5" s="14">
        <v>0.5</v>
      </c>
      <c r="I5" s="9" t="s">
        <v>41</v>
      </c>
      <c r="J5" s="9"/>
      <c r="K5" s="14">
        <v>0.1</v>
      </c>
    </row>
    <row r="6" spans="1:13" ht="20.100000000000001" customHeight="1">
      <c r="A6" s="8" t="s">
        <v>3</v>
      </c>
      <c r="B6" s="3"/>
      <c r="C6" s="13">
        <v>10</v>
      </c>
      <c r="E6" s="8" t="s">
        <v>48</v>
      </c>
      <c r="F6" s="3"/>
      <c r="G6" s="13">
        <v>0</v>
      </c>
      <c r="I6" s="8" t="s">
        <v>4</v>
      </c>
      <c r="J6" s="8"/>
      <c r="K6" s="13">
        <v>0.9</v>
      </c>
    </row>
    <row r="7" spans="1:13" ht="20.100000000000001" customHeight="1">
      <c r="A7" s="9" t="s">
        <v>38</v>
      </c>
      <c r="B7" s="7"/>
      <c r="C7" s="12">
        <v>10000</v>
      </c>
      <c r="E7" s="9" t="s">
        <v>50</v>
      </c>
      <c r="F7" s="7"/>
      <c r="G7" s="14">
        <v>0.4</v>
      </c>
      <c r="I7" s="9" t="s">
        <v>43</v>
      </c>
      <c r="J7" s="9"/>
      <c r="K7" s="15">
        <v>0.08</v>
      </c>
    </row>
    <row r="8" spans="1:13" ht="20.100000000000001" customHeight="1">
      <c r="A8" s="8" t="s">
        <v>40</v>
      </c>
      <c r="B8" s="3"/>
      <c r="C8" s="13">
        <v>2</v>
      </c>
      <c r="E8" s="4"/>
      <c r="G8" s="5"/>
      <c r="I8" s="8" t="s">
        <v>44</v>
      </c>
      <c r="J8" s="8"/>
      <c r="K8" s="16">
        <v>5.5E-2</v>
      </c>
    </row>
    <row r="9" spans="1:13" ht="20.100000000000001" customHeight="1">
      <c r="A9" s="9" t="s">
        <v>52</v>
      </c>
      <c r="B9" s="7"/>
      <c r="C9" s="14">
        <v>0.1</v>
      </c>
      <c r="E9" s="4"/>
      <c r="G9" s="5"/>
      <c r="I9" s="9" t="s">
        <v>45</v>
      </c>
      <c r="J9" s="9"/>
      <c r="K9" s="15">
        <v>0.3</v>
      </c>
    </row>
    <row r="10" spans="1:13" ht="20.100000000000001" customHeight="1">
      <c r="A10" s="17" t="s">
        <v>53</v>
      </c>
      <c r="B10" s="19"/>
      <c r="C10" s="20">
        <v>0</v>
      </c>
      <c r="G10" s="5"/>
      <c r="I10" s="17" t="s">
        <v>46</v>
      </c>
      <c r="J10" s="17"/>
      <c r="K10" s="18">
        <v>0.09</v>
      </c>
    </row>
    <row r="11" spans="1:13" ht="27.95" customHeight="1">
      <c r="C11" s="5"/>
      <c r="I11" s="36" t="s">
        <v>42</v>
      </c>
      <c r="J11" s="37"/>
      <c r="K11" s="38">
        <f>IF(K4=1,K5,(K7+K6*K8)*(1-K9)+K10*(1-G7)*K9)</f>
        <v>0.10685</v>
      </c>
    </row>
    <row r="12" spans="1:13" ht="27.95" customHeight="1">
      <c r="A12" s="55" t="s">
        <v>5</v>
      </c>
      <c r="B12" s="55"/>
      <c r="C12" s="55"/>
    </row>
    <row r="13" spans="1:13" ht="20.100000000000001" customHeight="1">
      <c r="A13" s="8" t="s">
        <v>51</v>
      </c>
      <c r="B13" s="3"/>
      <c r="C13" s="11">
        <v>10000</v>
      </c>
    </row>
    <row r="14" spans="1:13" ht="20.100000000000001" customHeight="1">
      <c r="A14" s="9" t="s">
        <v>19</v>
      </c>
      <c r="B14" s="7"/>
      <c r="C14" s="14">
        <v>0.25</v>
      </c>
    </row>
    <row r="15" spans="1:13" ht="20.100000000000001" customHeight="1">
      <c r="A15" s="17" t="s">
        <v>54</v>
      </c>
      <c r="B15" s="19"/>
      <c r="C15" s="21">
        <v>1</v>
      </c>
    </row>
    <row r="16" spans="1:13" ht="27.95" customHeight="1"/>
    <row r="17" spans="1:12" s="2" customFormat="1" ht="27.95" customHeight="1">
      <c r="A17" s="53" t="s">
        <v>6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49"/>
    </row>
    <row r="18" spans="1:12" ht="20.100000000000001" customHeight="1">
      <c r="A18" s="29"/>
      <c r="B18" s="30">
        <v>1</v>
      </c>
      <c r="C18" s="30">
        <v>2</v>
      </c>
      <c r="D18" s="30">
        <v>3</v>
      </c>
      <c r="E18" s="30">
        <v>4</v>
      </c>
      <c r="F18" s="30">
        <v>5</v>
      </c>
      <c r="G18" s="30">
        <v>6</v>
      </c>
      <c r="H18" s="30">
        <v>7</v>
      </c>
      <c r="I18" s="30">
        <v>8</v>
      </c>
      <c r="J18" s="30">
        <v>9</v>
      </c>
      <c r="K18" s="30">
        <v>10</v>
      </c>
    </row>
    <row r="19" spans="1:12" ht="20.100000000000001" customHeight="1">
      <c r="A19" s="9" t="s">
        <v>7</v>
      </c>
      <c r="B19" s="23"/>
      <c r="C19" s="41">
        <v>0.1</v>
      </c>
      <c r="D19" s="41">
        <v>0.1</v>
      </c>
      <c r="E19" s="41">
        <v>0.08</v>
      </c>
      <c r="F19" s="41">
        <v>0.09</v>
      </c>
      <c r="G19" s="41">
        <v>0.12</v>
      </c>
      <c r="H19" s="41">
        <v>0.125</v>
      </c>
      <c r="I19" s="41">
        <v>0.10199999999999999</v>
      </c>
      <c r="J19" s="41">
        <v>9.5000000000000001E-2</v>
      </c>
      <c r="K19" s="41">
        <v>0.125</v>
      </c>
    </row>
    <row r="20" spans="1:12" ht="20.100000000000001" customHeight="1">
      <c r="A20" s="31" t="s">
        <v>8</v>
      </c>
      <c r="B20" s="32"/>
      <c r="C20" s="42">
        <f t="shared" ref="C20:K20" si="0">C19</f>
        <v>0.1</v>
      </c>
      <c r="D20" s="42">
        <f t="shared" si="0"/>
        <v>0.1</v>
      </c>
      <c r="E20" s="42">
        <f t="shared" si="0"/>
        <v>0.08</v>
      </c>
      <c r="F20" s="42">
        <f t="shared" si="0"/>
        <v>0.09</v>
      </c>
      <c r="G20" s="42">
        <f t="shared" si="0"/>
        <v>0.12</v>
      </c>
      <c r="H20" s="42">
        <f t="shared" si="0"/>
        <v>0.125</v>
      </c>
      <c r="I20" s="42">
        <f t="shared" si="0"/>
        <v>0.10199999999999999</v>
      </c>
      <c r="J20" s="42">
        <f t="shared" si="0"/>
        <v>9.5000000000000001E-2</v>
      </c>
      <c r="K20" s="42">
        <f t="shared" si="0"/>
        <v>0.125</v>
      </c>
    </row>
    <row r="21" spans="1:12" ht="20.100000000000001" customHeight="1">
      <c r="A21" s="29"/>
      <c r="B21" s="30"/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20.100000000000001" customHeight="1">
      <c r="A22" s="29"/>
      <c r="B22" s="29"/>
      <c r="C22" s="30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27.95" customHeight="1">
      <c r="A23" s="55" t="s">
        <v>0</v>
      </c>
      <c r="B23" s="55"/>
      <c r="C23" s="55"/>
    </row>
    <row r="24" spans="1:12" ht="20.100000000000001" customHeight="1">
      <c r="A24" s="8" t="s">
        <v>10</v>
      </c>
      <c r="C24" s="26">
        <f>C4</f>
        <v>50000</v>
      </c>
    </row>
    <row r="25" spans="1:12" ht="20.100000000000001" customHeight="1">
      <c r="A25" s="9" t="s">
        <v>11</v>
      </c>
      <c r="B25" s="35"/>
      <c r="C25" s="27">
        <f>C4*C9</f>
        <v>5000</v>
      </c>
    </row>
    <row r="26" spans="1:12" ht="20.100000000000001" customHeight="1">
      <c r="A26" s="8" t="s">
        <v>12</v>
      </c>
      <c r="C26" s="26">
        <f>C24-C25</f>
        <v>45000</v>
      </c>
    </row>
    <row r="27" spans="1:12" ht="20.100000000000001" customHeight="1">
      <c r="A27" s="9" t="s">
        <v>13</v>
      </c>
      <c r="B27" s="35"/>
      <c r="C27" s="27">
        <f>C13</f>
        <v>10000</v>
      </c>
    </row>
    <row r="28" spans="1:12" ht="20.100000000000001" customHeight="1">
      <c r="A28" s="8" t="s">
        <v>14</v>
      </c>
      <c r="C28" s="26">
        <f>C5</f>
        <v>7484</v>
      </c>
    </row>
    <row r="29" spans="1:12" ht="20.100000000000001" customHeight="1">
      <c r="A29" s="9" t="s">
        <v>15</v>
      </c>
      <c r="B29" s="35"/>
      <c r="C29" s="27">
        <f>C10</f>
        <v>0</v>
      </c>
    </row>
    <row r="30" spans="1:12" s="3" customFormat="1" ht="27.95" customHeight="1">
      <c r="A30" s="44" t="s">
        <v>16</v>
      </c>
      <c r="B30" s="19"/>
      <c r="C30" s="28">
        <f>C26+C27+C28+C29</f>
        <v>62484</v>
      </c>
    </row>
    <row r="31" spans="1:12" s="3" customFormat="1" ht="27.95" customHeight="1">
      <c r="A31" s="10"/>
      <c r="C31" s="26"/>
    </row>
    <row r="32" spans="1:12" ht="27.95" customHeight="1">
      <c r="A32" s="58" t="s">
        <v>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1"/>
    </row>
    <row r="33" spans="1:12" s="25" customFormat="1" ht="20.100000000000001" customHeight="1">
      <c r="B33" s="25">
        <v>1</v>
      </c>
      <c r="C33" s="25">
        <v>2</v>
      </c>
      <c r="D33" s="25">
        <v>3</v>
      </c>
      <c r="E33" s="25">
        <v>4</v>
      </c>
      <c r="F33" s="25">
        <v>5</v>
      </c>
      <c r="G33" s="25">
        <v>6</v>
      </c>
      <c r="H33" s="25">
        <v>7</v>
      </c>
      <c r="I33" s="25">
        <v>8</v>
      </c>
      <c r="J33" s="25">
        <v>9</v>
      </c>
      <c r="K33" s="25">
        <v>10</v>
      </c>
      <c r="L33" s="52"/>
    </row>
    <row r="34" spans="1:12" ht="27.95" customHeight="1">
      <c r="A34" s="59" t="s">
        <v>17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49"/>
    </row>
    <row r="35" spans="1:12" ht="20.100000000000001" customHeight="1">
      <c r="A35" s="24" t="s">
        <v>18</v>
      </c>
      <c r="B35" s="34">
        <f>IF(B33=C6,C7,0)</f>
        <v>0</v>
      </c>
      <c r="C35" s="34">
        <f>IF(C33=C6,C7,0)</f>
        <v>0</v>
      </c>
      <c r="D35" s="34">
        <f>IF(D33=C6,C7,0)</f>
        <v>0</v>
      </c>
      <c r="E35" s="34">
        <f>IF(E33=C6,C7,0)</f>
        <v>0</v>
      </c>
      <c r="F35" s="34">
        <f>IF(F33=C6,C7,0)</f>
        <v>0</v>
      </c>
      <c r="G35" s="34">
        <f>IF(G33=C6,C7,0)</f>
        <v>0</v>
      </c>
      <c r="H35" s="34">
        <f>IF(H33=C6,C7,0)</f>
        <v>0</v>
      </c>
      <c r="I35" s="34">
        <f>IF(I33=C6,C7,0)</f>
        <v>0</v>
      </c>
      <c r="J35" s="34">
        <f>IF(J33=C6,C7,0)</f>
        <v>0</v>
      </c>
      <c r="K35" s="34">
        <f>IF(K33=C6,C7,0)</f>
        <v>10000</v>
      </c>
    </row>
    <row r="36" spans="1:12" ht="20.100000000000001" customHeight="1">
      <c r="A36" s="39" t="s">
        <v>19</v>
      </c>
      <c r="B36" s="40">
        <f>IF(B33=C6,(C13+SUM(B49:K49))*C15,0)</f>
        <v>0</v>
      </c>
      <c r="C36" s="40">
        <f>IF(C33=C6,(C13+SUM(B49:K49))*C15,0)</f>
        <v>0</v>
      </c>
      <c r="D36" s="40">
        <f>IF(D33=C6,(C13+SUM(B49:K49))*C15,0)</f>
        <v>0</v>
      </c>
      <c r="E36" s="40">
        <f>IF(E33=C6,(C13+SUM(B49:K49))*C15,0)</f>
        <v>0</v>
      </c>
      <c r="F36" s="40">
        <f>IF(F33=C6,(C13+SUM(B49:K49))*C15,0)</f>
        <v>0</v>
      </c>
      <c r="G36" s="40">
        <f>IF(21=C6,(C13+SUM(B49:K49))*C15,0)</f>
        <v>0</v>
      </c>
      <c r="H36" s="40">
        <f>IF(H33=C6,(C13+SUM(B49:K49))*C15,0)</f>
        <v>0</v>
      </c>
      <c r="I36" s="40">
        <f>IF(I33=C6,(C13+SUM(B49:K49))*C15,0)</f>
        <v>0</v>
      </c>
      <c r="J36" s="40">
        <f>IF(J33=C6,(C13+SUM(B49:K49))*C15,0)</f>
        <v>0</v>
      </c>
      <c r="K36" s="40">
        <f>IF(K33=C6,(C13+SUM(B49:K49))*C15,0)</f>
        <v>24364.32617826901</v>
      </c>
    </row>
    <row r="37" spans="1:12" ht="27.95" customHeight="1"/>
    <row r="38" spans="1:12" ht="27.95" customHeight="1">
      <c r="A38" s="53" t="s">
        <v>20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49"/>
    </row>
    <row r="39" spans="1:12" ht="20.100000000000001" customHeight="1">
      <c r="A39" s="8" t="s">
        <v>21</v>
      </c>
      <c r="B39" s="22">
        <f>IF(B33&gt;C6,0,1)</f>
        <v>1</v>
      </c>
      <c r="C39" s="22">
        <f>IF(C33&gt;C6,0,1)</f>
        <v>1</v>
      </c>
      <c r="D39" s="22">
        <f>IF(D33&gt;C6,0,1)</f>
        <v>1</v>
      </c>
      <c r="E39" s="22">
        <f>IF(E33&gt;C6,0,1)</f>
        <v>1</v>
      </c>
      <c r="F39" s="22">
        <f>IF(F33&gt;C6,0,1)</f>
        <v>1</v>
      </c>
      <c r="G39" s="22">
        <f>IF(G33&gt;C6,0,1)</f>
        <v>1</v>
      </c>
      <c r="H39" s="22">
        <f>IF(H33&gt;C6,0,1)</f>
        <v>1</v>
      </c>
      <c r="I39" s="22">
        <f>IF(I33&gt;C6,0,1)</f>
        <v>1</v>
      </c>
      <c r="J39" s="22">
        <f>IF(J33&gt;C6,0,1)</f>
        <v>1</v>
      </c>
      <c r="K39" s="22">
        <f>IF(K33&gt;C6,0,1)</f>
        <v>1</v>
      </c>
    </row>
    <row r="40" spans="1:12" ht="20.100000000000001" customHeight="1">
      <c r="A40" s="9" t="s">
        <v>7</v>
      </c>
      <c r="B40" s="43">
        <f>G4</f>
        <v>40000</v>
      </c>
      <c r="C40" s="43">
        <f t="shared" ref="C40:K40" si="1">B40*(1+C19)*C39</f>
        <v>44000</v>
      </c>
      <c r="D40" s="43">
        <f t="shared" si="1"/>
        <v>48400.000000000007</v>
      </c>
      <c r="E40" s="43">
        <f t="shared" si="1"/>
        <v>52272.000000000015</v>
      </c>
      <c r="F40" s="43">
        <f t="shared" si="1"/>
        <v>56976.480000000018</v>
      </c>
      <c r="G40" s="43">
        <f t="shared" si="1"/>
        <v>63813.657600000028</v>
      </c>
      <c r="H40" s="43">
        <f t="shared" si="1"/>
        <v>71790.364800000025</v>
      </c>
      <c r="I40" s="43">
        <f t="shared" si="1"/>
        <v>79112.982009600033</v>
      </c>
      <c r="J40" s="43">
        <f t="shared" si="1"/>
        <v>86628.715300512034</v>
      </c>
      <c r="K40" s="43">
        <f t="shared" si="1"/>
        <v>97457.304713076039</v>
      </c>
    </row>
    <row r="41" spans="1:12" ht="20.100000000000001" customHeight="1">
      <c r="A41" s="8" t="s">
        <v>22</v>
      </c>
      <c r="B41" s="33">
        <f>B40*G5</f>
        <v>20000</v>
      </c>
      <c r="C41" s="33">
        <f>C40*G5</f>
        <v>22000</v>
      </c>
      <c r="D41" s="33">
        <f>D40*G5</f>
        <v>24200.000000000004</v>
      </c>
      <c r="E41" s="33">
        <f>E40*G5</f>
        <v>26136.000000000007</v>
      </c>
      <c r="F41" s="33">
        <f>F40*G5</f>
        <v>28488.240000000009</v>
      </c>
      <c r="G41" s="33">
        <f>G40*G5</f>
        <v>31906.828800000014</v>
      </c>
      <c r="H41" s="33">
        <f>H40*G5</f>
        <v>35895.182400000012</v>
      </c>
      <c r="I41" s="33">
        <f>I40*G5</f>
        <v>39556.491004800017</v>
      </c>
      <c r="J41" s="33">
        <f>J40*G5</f>
        <v>43314.357650256017</v>
      </c>
      <c r="K41" s="33">
        <f>K40*G5</f>
        <v>48728.652356538019</v>
      </c>
    </row>
    <row r="42" spans="1:12" ht="20.100000000000001" customHeight="1">
      <c r="A42" s="9" t="s">
        <v>23</v>
      </c>
      <c r="B42" s="43">
        <f>G6</f>
        <v>0</v>
      </c>
      <c r="C42" s="43">
        <f t="shared" ref="C42:K42" si="2">B42*(1+C20)*C39</f>
        <v>0</v>
      </c>
      <c r="D42" s="43">
        <f t="shared" si="2"/>
        <v>0</v>
      </c>
      <c r="E42" s="43">
        <f t="shared" si="2"/>
        <v>0</v>
      </c>
      <c r="F42" s="43">
        <f t="shared" si="2"/>
        <v>0</v>
      </c>
      <c r="G42" s="43">
        <f t="shared" si="2"/>
        <v>0</v>
      </c>
      <c r="H42" s="43">
        <f t="shared" si="2"/>
        <v>0</v>
      </c>
      <c r="I42" s="43">
        <f t="shared" si="2"/>
        <v>0</v>
      </c>
      <c r="J42" s="43">
        <f t="shared" si="2"/>
        <v>0</v>
      </c>
      <c r="K42" s="43">
        <f t="shared" si="2"/>
        <v>0</v>
      </c>
    </row>
    <row r="43" spans="1:12" ht="20.100000000000001" customHeight="1">
      <c r="A43" s="8" t="s">
        <v>24</v>
      </c>
      <c r="B43" s="33">
        <f t="shared" ref="B43:K43" si="3">B40-B41-B42</f>
        <v>20000</v>
      </c>
      <c r="C43" s="33">
        <f t="shared" si="3"/>
        <v>22000</v>
      </c>
      <c r="D43" s="33">
        <f t="shared" si="3"/>
        <v>24200.000000000004</v>
      </c>
      <c r="E43" s="33">
        <f t="shared" si="3"/>
        <v>26136.000000000007</v>
      </c>
      <c r="F43" s="33">
        <f t="shared" si="3"/>
        <v>28488.240000000009</v>
      </c>
      <c r="G43" s="33">
        <f t="shared" si="3"/>
        <v>31906.828800000014</v>
      </c>
      <c r="H43" s="33">
        <f t="shared" si="3"/>
        <v>35895.182400000012</v>
      </c>
      <c r="I43" s="33">
        <f t="shared" si="3"/>
        <v>39556.491004800017</v>
      </c>
      <c r="J43" s="33">
        <f t="shared" si="3"/>
        <v>43314.357650256017</v>
      </c>
      <c r="K43" s="33">
        <f t="shared" si="3"/>
        <v>48728.652356538019</v>
      </c>
    </row>
    <row r="44" spans="1:12" ht="20.100000000000001" customHeight="1">
      <c r="A44" s="9" t="s">
        <v>25</v>
      </c>
      <c r="B44" s="43">
        <f t="shared" ref="B44:K44" si="4">B61</f>
        <v>10000</v>
      </c>
      <c r="C44" s="43">
        <f t="shared" si="4"/>
        <v>8000</v>
      </c>
      <c r="D44" s="43">
        <f t="shared" si="4"/>
        <v>6400.0000000000018</v>
      </c>
      <c r="E44" s="43">
        <f t="shared" si="4"/>
        <v>5120.0000000000018</v>
      </c>
      <c r="F44" s="43">
        <f t="shared" si="4"/>
        <v>4096.0000000000027</v>
      </c>
      <c r="G44" s="43">
        <f t="shared" si="4"/>
        <v>3276.8000000000025</v>
      </c>
      <c r="H44" s="43">
        <f t="shared" si="4"/>
        <v>2621.4400000000019</v>
      </c>
      <c r="I44" s="43">
        <f t="shared" si="4"/>
        <v>485.76000000000749</v>
      </c>
      <c r="J44" s="43">
        <f t="shared" si="4"/>
        <v>0</v>
      </c>
      <c r="K44" s="43">
        <f t="shared" si="4"/>
        <v>0</v>
      </c>
    </row>
    <row r="45" spans="1:12" ht="20.100000000000001" customHeight="1">
      <c r="A45" s="8" t="s">
        <v>26</v>
      </c>
      <c r="B45" s="33">
        <f>B43-B44</f>
        <v>10000</v>
      </c>
      <c r="C45" s="33">
        <f t="shared" ref="C45:K45" si="5">C43-C44</f>
        <v>14000</v>
      </c>
      <c r="D45" s="33">
        <f t="shared" si="5"/>
        <v>17800</v>
      </c>
      <c r="E45" s="33">
        <f t="shared" si="5"/>
        <v>21016.000000000007</v>
      </c>
      <c r="F45" s="33">
        <f t="shared" si="5"/>
        <v>24392.240000000005</v>
      </c>
      <c r="G45" s="33">
        <f t="shared" si="5"/>
        <v>28630.028800000011</v>
      </c>
      <c r="H45" s="33">
        <f t="shared" si="5"/>
        <v>33273.74240000001</v>
      </c>
      <c r="I45" s="33">
        <f t="shared" si="5"/>
        <v>39070.731004800007</v>
      </c>
      <c r="J45" s="33">
        <f t="shared" si="5"/>
        <v>43314.357650256017</v>
      </c>
      <c r="K45" s="33">
        <f t="shared" si="5"/>
        <v>48728.652356538019</v>
      </c>
    </row>
    <row r="46" spans="1:12" ht="20.100000000000001" customHeight="1">
      <c r="A46" s="9" t="s">
        <v>27</v>
      </c>
      <c r="B46" s="43">
        <f>B45*G7</f>
        <v>4000</v>
      </c>
      <c r="C46" s="43">
        <f>C45*G7</f>
        <v>5600</v>
      </c>
      <c r="D46" s="43">
        <f>D45*G7</f>
        <v>7120</v>
      </c>
      <c r="E46" s="43">
        <f>E45*G7</f>
        <v>8406.4000000000033</v>
      </c>
      <c r="F46" s="43">
        <f>F45*G7</f>
        <v>9756.8960000000025</v>
      </c>
      <c r="G46" s="43">
        <f>G45*G7</f>
        <v>11452.011520000005</v>
      </c>
      <c r="H46" s="43">
        <f>H45*G7</f>
        <v>13309.496960000004</v>
      </c>
      <c r="I46" s="43">
        <f>I45*G7</f>
        <v>15628.292401920004</v>
      </c>
      <c r="J46" s="43">
        <f>J45*G7</f>
        <v>17325.743060102406</v>
      </c>
      <c r="K46" s="43">
        <f>K45*G7</f>
        <v>19491.460942615209</v>
      </c>
    </row>
    <row r="47" spans="1:12" ht="20.100000000000001" customHeight="1">
      <c r="A47" s="8" t="s">
        <v>28</v>
      </c>
      <c r="B47" s="33">
        <f t="shared" ref="B47:K47" si="6">B45-B46</f>
        <v>6000</v>
      </c>
      <c r="C47" s="33">
        <f t="shared" si="6"/>
        <v>8400</v>
      </c>
      <c r="D47" s="33">
        <f t="shared" si="6"/>
        <v>10680</v>
      </c>
      <c r="E47" s="33">
        <f t="shared" si="6"/>
        <v>12609.600000000004</v>
      </c>
      <c r="F47" s="33">
        <f t="shared" si="6"/>
        <v>14635.344000000003</v>
      </c>
      <c r="G47" s="33">
        <f t="shared" si="6"/>
        <v>17178.017280000007</v>
      </c>
      <c r="H47" s="33">
        <f t="shared" si="6"/>
        <v>19964.245440000006</v>
      </c>
      <c r="I47" s="33">
        <f t="shared" si="6"/>
        <v>23442.438602880004</v>
      </c>
      <c r="J47" s="33">
        <f t="shared" si="6"/>
        <v>25988.614590153611</v>
      </c>
      <c r="K47" s="33">
        <f t="shared" si="6"/>
        <v>29237.19141392281</v>
      </c>
    </row>
    <row r="48" spans="1:12" ht="20.100000000000001" customHeight="1">
      <c r="A48" s="9" t="s">
        <v>29</v>
      </c>
      <c r="B48" s="43">
        <f t="shared" ref="B48:K48" si="7">B44</f>
        <v>10000</v>
      </c>
      <c r="C48" s="43">
        <f t="shared" si="7"/>
        <v>8000</v>
      </c>
      <c r="D48" s="43">
        <f t="shared" si="7"/>
        <v>6400.0000000000018</v>
      </c>
      <c r="E48" s="43">
        <f t="shared" si="7"/>
        <v>5120.0000000000018</v>
      </c>
      <c r="F48" s="43">
        <f t="shared" si="7"/>
        <v>4096.0000000000027</v>
      </c>
      <c r="G48" s="43">
        <f t="shared" si="7"/>
        <v>3276.8000000000025</v>
      </c>
      <c r="H48" s="43">
        <f t="shared" si="7"/>
        <v>2621.4400000000019</v>
      </c>
      <c r="I48" s="43">
        <f t="shared" si="7"/>
        <v>485.76000000000749</v>
      </c>
      <c r="J48" s="43">
        <f t="shared" si="7"/>
        <v>0</v>
      </c>
      <c r="K48" s="43">
        <f t="shared" si="7"/>
        <v>0</v>
      </c>
    </row>
    <row r="49" spans="1:12" ht="20.100000000000001" customHeight="1">
      <c r="A49" s="8" t="s">
        <v>30</v>
      </c>
      <c r="B49" s="33">
        <f>(C14*B40-C27)*B39</f>
        <v>0</v>
      </c>
      <c r="C49" s="33">
        <f>(C14*C40-C27)*C39</f>
        <v>1000</v>
      </c>
      <c r="D49" s="33">
        <f>(C14*D40-C27-SUM(B49,C49))*D39</f>
        <v>1100.0000000000018</v>
      </c>
      <c r="E49" s="33">
        <f>(C14*E40-C27-SUM(B49:D49))*E39</f>
        <v>968.00000000000182</v>
      </c>
      <c r="F49" s="33">
        <f>(C14*F40-C27-SUM(B49:E49))*F39</f>
        <v>1176.1200000000008</v>
      </c>
      <c r="G49" s="33">
        <f>(C14*G40-C27-SUM(B49:F49))*G39</f>
        <v>1709.2944000000025</v>
      </c>
      <c r="H49" s="33">
        <f>(C14*H40-C27-SUM(B49:G49))*H39</f>
        <v>1994.1767999999993</v>
      </c>
      <c r="I49" s="33">
        <f>(C14*I40-C27-SUM(B49:H49))*I39</f>
        <v>1830.6543024000021</v>
      </c>
      <c r="J49" s="33">
        <f>(C14*J40-C27-SUM(B49:I49))*J39</f>
        <v>1878.9333227280003</v>
      </c>
      <c r="K49" s="33">
        <f>(C14*K40-C27-SUM(B49:J49))*K39</f>
        <v>2707.1473531410011</v>
      </c>
    </row>
    <row r="50" spans="1:12" ht="20.100000000000001" customHeight="1">
      <c r="A50" s="9" t="s">
        <v>31</v>
      </c>
      <c r="B50" s="43">
        <f>B47+B48-B49</f>
        <v>16000</v>
      </c>
      <c r="C50" s="43">
        <f t="shared" ref="C50:K50" si="8">C47+C48-C49</f>
        <v>15400</v>
      </c>
      <c r="D50" s="43">
        <f t="shared" si="8"/>
        <v>15979.999999999998</v>
      </c>
      <c r="E50" s="43">
        <f t="shared" si="8"/>
        <v>16761.600000000006</v>
      </c>
      <c r="F50" s="43">
        <f t="shared" si="8"/>
        <v>17555.224000000002</v>
      </c>
      <c r="G50" s="43">
        <f t="shared" si="8"/>
        <v>18745.522880000008</v>
      </c>
      <c r="H50" s="43">
        <f t="shared" si="8"/>
        <v>20591.508640000007</v>
      </c>
      <c r="I50" s="43">
        <f t="shared" si="8"/>
        <v>22097.544300480007</v>
      </c>
      <c r="J50" s="43">
        <f t="shared" si="8"/>
        <v>24109.681267425611</v>
      </c>
      <c r="K50" s="43">
        <f t="shared" si="8"/>
        <v>26530.044060781809</v>
      </c>
    </row>
    <row r="51" spans="1:12" ht="20.100000000000001" customHeight="1">
      <c r="A51" s="8" t="s">
        <v>32</v>
      </c>
      <c r="B51" s="22">
        <f>B39*(1+K11)^B33</f>
        <v>1.1068500000000001</v>
      </c>
      <c r="C51" s="22">
        <f>C39*(1+K11)^C33</f>
        <v>1.2251169225000003</v>
      </c>
      <c r="D51" s="22">
        <f>D39*(1+K11)^D33</f>
        <v>1.3560206656691254</v>
      </c>
      <c r="E51" s="22">
        <f>E39*(1+K11)^E33</f>
        <v>1.5009114737958718</v>
      </c>
      <c r="F51" s="22">
        <f>F39*(1+K11)^F33</f>
        <v>1.6612838647709609</v>
      </c>
      <c r="G51" s="22">
        <f>G39*(1+K11)^G33</f>
        <v>1.8387920457217382</v>
      </c>
      <c r="H51" s="22">
        <f>H39*(1+K11)^H33</f>
        <v>2.0352669758071062</v>
      </c>
      <c r="I51" s="22">
        <f>I39*(1+K11)^I33</f>
        <v>2.252735252172096</v>
      </c>
      <c r="J51" s="22">
        <f>J39*(1+K11)^J33</f>
        <v>2.4934400138666848</v>
      </c>
      <c r="K51" s="22">
        <f>K39*(1+K11)^K33</f>
        <v>2.7598640793483402</v>
      </c>
    </row>
    <row r="52" spans="1:12" ht="20.100000000000001" customHeight="1">
      <c r="A52" s="9" t="s">
        <v>33</v>
      </c>
      <c r="B52" s="43">
        <f>(B50+B35+B36)/(1+K11)^B33</f>
        <v>14455.436599358538</v>
      </c>
      <c r="C52" s="43">
        <f>(C50+C35+C36)/(1+K11)^C33</f>
        <v>12570.228781571659</v>
      </c>
      <c r="D52" s="43">
        <f>(D50+D35+D36)/(1+K11)^D33</f>
        <v>11784.481169477385</v>
      </c>
      <c r="E52" s="43">
        <f>(E50+E35+E36)/(1+K11)^E33</f>
        <v>11167.614008312679</v>
      </c>
      <c r="F52" s="43">
        <f>(F50+F35+F36)/(1+K11)^F33</f>
        <v>10567.263290924888</v>
      </c>
      <c r="G52" s="43">
        <f>(G50+G35+G36)/(1+K11)^G33</f>
        <v>10194.476816241755</v>
      </c>
      <c r="H52" s="43">
        <f>(H50+H35+H36)/(1+K11)^H33</f>
        <v>10117.350148539717</v>
      </c>
      <c r="I52" s="43">
        <f>(I50+I35+I36)/(1+K11)^I33</f>
        <v>9809.2060659029812</v>
      </c>
      <c r="J52" s="43">
        <f>(J50+J35+J36)/(1+K11)^J33</f>
        <v>9669.2445510400266</v>
      </c>
      <c r="K52" s="43">
        <f>(K50+K35+K36)/(1+K11)^K33</f>
        <v>22064.264213123573</v>
      </c>
    </row>
    <row r="53" spans="1:12" ht="27.95" customHeight="1"/>
    <row r="54" spans="1:12" ht="27.95" customHeight="1">
      <c r="A54" s="55" t="s">
        <v>57</v>
      </c>
      <c r="B54" s="55"/>
      <c r="C54" s="55"/>
    </row>
    <row r="55" spans="1:12" ht="20.100000000000001" customHeight="1">
      <c r="A55" s="8" t="s">
        <v>58</v>
      </c>
      <c r="C55" s="11">
        <f>SUM(B52:K52)</f>
        <v>122399.56564449321</v>
      </c>
    </row>
    <row r="56" spans="1:12" ht="20.100000000000001" customHeight="1">
      <c r="A56" s="9" t="s">
        <v>59</v>
      </c>
      <c r="B56" s="35"/>
      <c r="C56" s="15" t="e">
        <f>IRR(B50:K50,K11)</f>
        <v>#NUM!</v>
      </c>
    </row>
    <row r="57" spans="1:12" ht="20.100000000000001" customHeight="1">
      <c r="A57" s="17" t="s">
        <v>60</v>
      </c>
      <c r="B57" s="19"/>
      <c r="C57" s="18">
        <f>SUM(B47:K47)/SUM(B62:J62)</f>
        <v>0.94427901794435076</v>
      </c>
    </row>
    <row r="58" spans="1:12" ht="27.95" customHeight="1"/>
    <row r="59" spans="1:12" ht="27.95" customHeight="1">
      <c r="A59" s="53" t="s">
        <v>34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49"/>
    </row>
    <row r="60" spans="1:12" ht="20.100000000000001" customHeight="1">
      <c r="A60" s="24" t="s">
        <v>35</v>
      </c>
      <c r="B60" s="34">
        <f>C4</f>
        <v>50000</v>
      </c>
      <c r="C60" s="34">
        <f t="shared" ref="C60:K60" si="9">(B60-B61)*C39</f>
        <v>40000</v>
      </c>
      <c r="D60" s="34">
        <f t="shared" si="9"/>
        <v>32000</v>
      </c>
      <c r="E60" s="34">
        <f t="shared" si="9"/>
        <v>25600</v>
      </c>
      <c r="F60" s="34">
        <f t="shared" si="9"/>
        <v>20480</v>
      </c>
      <c r="G60" s="34">
        <f t="shared" si="9"/>
        <v>16383.999999999996</v>
      </c>
      <c r="H60" s="34">
        <f t="shared" si="9"/>
        <v>13107.199999999993</v>
      </c>
      <c r="I60" s="34">
        <f t="shared" si="9"/>
        <v>10485.759999999991</v>
      </c>
      <c r="J60" s="34">
        <f t="shared" si="9"/>
        <v>9999.9999999999836</v>
      </c>
      <c r="K60" s="34">
        <f t="shared" si="9"/>
        <v>9999.9999999999836</v>
      </c>
    </row>
    <row r="61" spans="1:12" ht="20.100000000000001" customHeight="1">
      <c r="A61" s="39" t="s">
        <v>36</v>
      </c>
      <c r="B61" s="40">
        <f>IF(C8=1,((C4-C7)/C6)*B39,(IF(C7&lt;C4*(1-2/C6)^(B33),C4*(1-2/C6)^(B33-1)*(2/C6)*B39,(IF(0&lt;(C4*(1-2/C6)^(B33-1))-C7,0,C4*B39*(1-2/C6)^(B33-1)-C7)))))</f>
        <v>10000</v>
      </c>
      <c r="C61" s="40">
        <f>IF(C8=1,((C4-C7)/C6)*C39,(IF(C7&lt;C4*(1-2/C6)^(C33),C4*(1-2/C6)^(C33-1)*(2/C6)*C39,(IF(0&lt;(C4*(1-2/C6)^(C33-1))-C7,0,C4*C39*(1-2/C6)^(C33-1)-C7)))))</f>
        <v>8000</v>
      </c>
      <c r="D61" s="40">
        <f>IF(C8=1,((C4-C7)/C6)*D39,(IF(C7&lt;C4*(1-2/C6)^(D33),C4*(1-2/C6)^(D33-1)*(2/C6)*D39,(IF(0&lt;(C4*(1-2/C6)^(D33-1))-C7,0,C4*D39*(1-2/C6)^(D33-1)-C7)))))</f>
        <v>6400.0000000000018</v>
      </c>
      <c r="E61" s="40">
        <f>IF(C8=1,((C4-C7)/C6)*E39,(IF(C7&lt;C4*(1-2/C6)^(E33),C4*(1-2/C6)^(E33-1)*(2/C6)*E39,(IF(0&gt;(C4*(1-2/C6)^(E33-1))-C7,0,C4*E39*(1-2/C6)^(E33-1)-C7)))))</f>
        <v>5120.0000000000018</v>
      </c>
      <c r="F61" s="40">
        <f>IF(C8=1,((C4-C7)/C6)*E39,(IF(C7&lt;C4*(1-2/C6)^(F33),C4*(1-2/C6)^(F33-1)*(2/C6)*F39,(IF(0&gt;(C4*(1-2/C6)^(F33-1))-C7,0,C4*F39*(1-2/C6)^(F33-1)-C7)))))</f>
        <v>4096.0000000000027</v>
      </c>
      <c r="G61" s="40">
        <f>IF(C8=1,((C4-C7)/C6)*G39,(IF(C7&lt;C4*(1-2/C6)^(G33),C4*(1-2/C6)^(G33-1)*(2/C6)*G39,(IF(0&gt;(C4*(1-2/C6)^(G33-1))-C7,0,C4*G39*(1-2/C6)^(G33-1)-C7)))))</f>
        <v>3276.8000000000025</v>
      </c>
      <c r="H61" s="40">
        <f>IF(C8=1,((C4-C7)/C6)*H39,(IF(C7&lt;C4*(1-2/C6)^(H33),C4*(1-2/C6)^(H33-1)*(2/C6)*H39,(IF(0&gt;(C4*(1-2/C6)^(H33-1))-C7,0,C4*H39*(1-2/C6)^(H33-1)-C7)))))</f>
        <v>2621.4400000000019</v>
      </c>
      <c r="I61" s="40">
        <f>IF(C8=1,((C4-C7)/C6)*I39,(IF(C7&lt;C4*(1-2/C6)^(I33),C4*(1-2/C6)^(I33-1)*(2/C6)*I39,(IF(0&gt;(C4*(1-2/C6)^(I33-1))-C7,0,C4*I39*(1-2/C6)^(I33-1)-C7)))))</f>
        <v>485.76000000000749</v>
      </c>
      <c r="J61" s="40">
        <f>IF(C8=1,((C4-C7)/C6)*J39,(IF(C7&lt;C4*(1-2/C6)^(J33),C4*(1-2/C6)^(J33-1)*(2/C6)*J39,(IF(0&gt;(C4*(1-2/C6)^(J33-1))-C7,0,C4*J39*(1-2/C6)^(J33-1)-C7)))))</f>
        <v>0</v>
      </c>
      <c r="K61" s="40">
        <f>IF(C8=1,((C4-C7)/C6)*K39,(IF(C7&lt;C4*(1-2/C6)^(K33),C4*(1-2/C6)^(K33-1)*(2/C6)*K39,(IF(0&gt;(C4*(1-2/C6)^(K33-1))-C7,0,C4*K39*(1-2/C6)^(K33-1)-C7)))))</f>
        <v>0</v>
      </c>
    </row>
    <row r="62" spans="1:12" ht="20.100000000000001" customHeight="1">
      <c r="A62" s="17" t="s">
        <v>37</v>
      </c>
      <c r="B62" s="45">
        <f>B60-B61</f>
        <v>40000</v>
      </c>
      <c r="C62" s="45">
        <f t="shared" ref="C62:K62" si="10">C60-C61</f>
        <v>32000</v>
      </c>
      <c r="D62" s="45">
        <f t="shared" si="10"/>
        <v>25600</v>
      </c>
      <c r="E62" s="45">
        <f t="shared" si="10"/>
        <v>20480</v>
      </c>
      <c r="F62" s="45">
        <f t="shared" si="10"/>
        <v>16383.999999999996</v>
      </c>
      <c r="G62" s="45">
        <f t="shared" si="10"/>
        <v>13107.199999999993</v>
      </c>
      <c r="H62" s="45">
        <f t="shared" si="10"/>
        <v>10485.759999999991</v>
      </c>
      <c r="I62" s="45">
        <f t="shared" si="10"/>
        <v>9999.9999999999836</v>
      </c>
      <c r="J62" s="45">
        <f t="shared" si="10"/>
        <v>9999.9999999999836</v>
      </c>
      <c r="K62" s="45">
        <f t="shared" si="10"/>
        <v>9999.9999999999836</v>
      </c>
    </row>
    <row r="67" spans="1:13" ht="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6"/>
    </row>
    <row r="68" spans="1:13" ht="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</sheetData>
  <mergeCells count="12">
    <mergeCell ref="A59:K59"/>
    <mergeCell ref="A23:C23"/>
    <mergeCell ref="A1:K1"/>
    <mergeCell ref="A54:C54"/>
    <mergeCell ref="A3:C3"/>
    <mergeCell ref="E3:G3"/>
    <mergeCell ref="I3:K3"/>
    <mergeCell ref="A12:C12"/>
    <mergeCell ref="A32:K32"/>
    <mergeCell ref="A17:K17"/>
    <mergeCell ref="A34:K34"/>
    <mergeCell ref="A38:K38"/>
  </mergeCells>
  <phoneticPr fontId="0" type="noConversion"/>
  <printOptions gridLinesSet="0"/>
  <pageMargins left="0.59000000000000008" right="0.59000000000000008" top="0.61" bottom="0.41000000000000003" header="0.5" footer="0.5"/>
  <pageSetup orientation="landscape" useFirstPageNumber="1" horizontalDpi="4294967292" verticalDpi="4294967292"/>
  <headerFooter>
    <oddFooter xml:space="preserve">&amp;R&amp;K000000&amp;P </oddFooter>
  </headerFooter>
  <rowBreaks count="1" manualBreakCount="1">
    <brk id="21" max="16383" man="1"/>
  </rowBreaks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selection activeCell="K9" sqref="K9"/>
    </sheetView>
  </sheetViews>
  <sheetFormatPr defaultRowHeight="18"/>
  <cols>
    <col min="1" max="1" width="15.42578125" style="67" customWidth="1"/>
    <col min="2" max="2" width="28.140625" style="68" bestFit="1" customWidth="1"/>
    <col min="3" max="3" width="15" style="69" customWidth="1"/>
    <col min="4" max="4" width="10.28515625" style="69" customWidth="1"/>
    <col min="5" max="5" width="13.28515625" style="69" customWidth="1"/>
    <col min="6" max="6" width="15" style="71" bestFit="1" customWidth="1"/>
    <col min="7" max="7" width="10.5703125" style="71" customWidth="1"/>
    <col min="8" max="8" width="20.85546875" style="71" customWidth="1"/>
    <col min="9" max="16384" width="9.140625" style="62"/>
  </cols>
  <sheetData>
    <row r="1" spans="1:8" ht="30">
      <c r="A1" s="61" t="s">
        <v>61</v>
      </c>
      <c r="B1" s="61"/>
      <c r="C1" s="61"/>
      <c r="D1" s="61"/>
      <c r="E1" s="61"/>
      <c r="F1" s="61"/>
      <c r="G1" s="61"/>
      <c r="H1" s="61"/>
    </row>
    <row r="2" spans="1:8" ht="14.25" customHeight="1">
      <c r="A2" s="63"/>
      <c r="B2" s="63"/>
      <c r="C2" s="63"/>
      <c r="D2" s="63"/>
      <c r="E2" s="63"/>
      <c r="F2" s="63"/>
      <c r="G2" s="63"/>
      <c r="H2" s="63"/>
    </row>
    <row r="3" spans="1:8" ht="24" thickBot="1">
      <c r="A3" s="64" t="s">
        <v>62</v>
      </c>
      <c r="B3" s="64"/>
      <c r="C3" s="65"/>
      <c r="D3" s="65"/>
      <c r="E3" s="65"/>
      <c r="F3" s="66"/>
      <c r="G3" s="66"/>
      <c r="H3" s="66"/>
    </row>
    <row r="4" spans="1:8">
      <c r="C4" s="62"/>
      <c r="E4" s="70" t="s">
        <v>63</v>
      </c>
    </row>
    <row r="5" spans="1:8" ht="12.75" customHeight="1">
      <c r="C5" s="62"/>
      <c r="E5" s="70"/>
    </row>
    <row r="6" spans="1:8" ht="9.75" customHeight="1"/>
    <row r="7" spans="1:8" s="77" customFormat="1">
      <c r="A7" s="72"/>
      <c r="B7" s="73" t="s">
        <v>64</v>
      </c>
      <c r="C7" s="74">
        <v>37866</v>
      </c>
      <c r="D7" s="75"/>
      <c r="E7" s="76">
        <f>BeginPayPeriod+11</f>
        <v>37877</v>
      </c>
    </row>
    <row r="8" spans="1:8" s="77" customFormat="1" ht="9" customHeight="1">
      <c r="A8" s="78"/>
      <c r="B8" s="79"/>
      <c r="C8" s="80"/>
      <c r="D8" s="80"/>
      <c r="E8" s="80"/>
      <c r="F8" s="81"/>
      <c r="G8" s="81"/>
      <c r="H8" s="82"/>
    </row>
    <row r="9" spans="1:8" s="89" customFormat="1" ht="75">
      <c r="A9" s="83" t="s">
        <v>65</v>
      </c>
      <c r="B9" s="84" t="s">
        <v>66</v>
      </c>
      <c r="C9" s="85" t="s">
        <v>67</v>
      </c>
      <c r="D9" s="85" t="s">
        <v>68</v>
      </c>
      <c r="E9" s="85" t="s">
        <v>69</v>
      </c>
      <c r="F9" s="86" t="s">
        <v>70</v>
      </c>
      <c r="G9" s="87" t="s">
        <v>71</v>
      </c>
      <c r="H9" s="88" t="s">
        <v>72</v>
      </c>
    </row>
    <row r="10" spans="1:8" s="89" customFormat="1" ht="18.75">
      <c r="A10" s="90">
        <f>BeginPayPeriod-1</f>
        <v>37865</v>
      </c>
      <c r="B10" s="91" t="s">
        <v>73</v>
      </c>
      <c r="C10" s="92"/>
      <c r="D10" s="92"/>
      <c r="E10" s="92"/>
      <c r="F10" s="93"/>
      <c r="G10" s="94"/>
      <c r="H10" s="95"/>
    </row>
    <row r="11" spans="1:8" ht="24.95" customHeight="1">
      <c r="A11" s="96">
        <f t="shared" ref="A11:A16" si="0">A10+1</f>
        <v>37866</v>
      </c>
      <c r="B11" s="97" t="s">
        <v>74</v>
      </c>
      <c r="C11" s="98"/>
      <c r="D11" s="98"/>
      <c r="E11" s="98"/>
      <c r="F11" s="99"/>
      <c r="G11" s="100"/>
      <c r="H11" s="101"/>
    </row>
    <row r="12" spans="1:8" ht="24.95" customHeight="1">
      <c r="A12" s="96">
        <f t="shared" si="0"/>
        <v>37867</v>
      </c>
      <c r="B12" s="97" t="s">
        <v>75</v>
      </c>
      <c r="C12" s="98"/>
      <c r="D12" s="98"/>
      <c r="E12" s="98"/>
      <c r="F12" s="102"/>
      <c r="G12" s="100"/>
      <c r="H12" s="103"/>
    </row>
    <row r="13" spans="1:8" ht="24.95" customHeight="1">
      <c r="A13" s="96">
        <f t="shared" si="0"/>
        <v>37868</v>
      </c>
      <c r="B13" s="97" t="s">
        <v>76</v>
      </c>
      <c r="C13" s="98"/>
      <c r="D13" s="98"/>
      <c r="E13" s="98"/>
      <c r="F13" s="102"/>
      <c r="G13" s="100"/>
      <c r="H13" s="103"/>
    </row>
    <row r="14" spans="1:8" ht="24.95" customHeight="1">
      <c r="A14" s="96">
        <f t="shared" si="0"/>
        <v>37869</v>
      </c>
      <c r="B14" s="97" t="s">
        <v>77</v>
      </c>
      <c r="C14" s="98"/>
      <c r="D14" s="98"/>
      <c r="E14" s="98"/>
      <c r="F14" s="102"/>
      <c r="G14" s="100"/>
      <c r="H14" s="103"/>
    </row>
    <row r="15" spans="1:8" ht="24.95" customHeight="1">
      <c r="A15" s="96">
        <f t="shared" si="0"/>
        <v>37870</v>
      </c>
      <c r="B15" s="97" t="s">
        <v>78</v>
      </c>
      <c r="C15" s="98"/>
      <c r="D15" s="98"/>
      <c r="E15" s="98"/>
      <c r="F15" s="102"/>
      <c r="G15" s="104"/>
      <c r="H15" s="103"/>
    </row>
    <row r="16" spans="1:8" ht="24.95" customHeight="1" thickBot="1">
      <c r="A16" s="96">
        <f t="shared" si="0"/>
        <v>37871</v>
      </c>
      <c r="B16" s="105" t="s">
        <v>79</v>
      </c>
      <c r="C16" s="106"/>
      <c r="D16" s="106"/>
      <c r="E16" s="106"/>
      <c r="F16" s="107"/>
      <c r="G16" s="108"/>
      <c r="H16" s="109"/>
    </row>
    <row r="17" spans="1:8" s="115" customFormat="1" ht="21" thickBot="1">
      <c r="A17" s="110"/>
      <c r="B17" s="111" t="s">
        <v>80</v>
      </c>
      <c r="C17" s="112"/>
      <c r="D17" s="112"/>
      <c r="E17" s="112"/>
      <c r="F17" s="113"/>
      <c r="G17" s="114">
        <f>SUM(G10:G16)</f>
        <v>0</v>
      </c>
      <c r="H17" s="113"/>
    </row>
    <row r="18" spans="1:8" ht="24.95" customHeight="1">
      <c r="A18" s="116"/>
      <c r="B18" s="79"/>
      <c r="C18" s="117"/>
      <c r="D18" s="117"/>
      <c r="E18" s="117"/>
      <c r="F18" s="118"/>
      <c r="G18" s="118"/>
      <c r="H18" s="118"/>
    </row>
    <row r="19" spans="1:8" ht="24.95" customHeight="1">
      <c r="A19" s="119">
        <f>A16+1</f>
        <v>37872</v>
      </c>
      <c r="B19" s="105" t="s">
        <v>73</v>
      </c>
      <c r="C19" s="120"/>
      <c r="D19" s="120"/>
      <c r="E19" s="120"/>
      <c r="F19" s="107"/>
      <c r="G19" s="107"/>
      <c r="H19" s="121"/>
    </row>
    <row r="20" spans="1:8" ht="24.95" customHeight="1">
      <c r="A20" s="96">
        <f t="shared" ref="A20:A25" si="1">A19+1</f>
        <v>37873</v>
      </c>
      <c r="B20" s="97" t="s">
        <v>74</v>
      </c>
      <c r="C20" s="98"/>
      <c r="D20" s="98"/>
      <c r="E20" s="98"/>
      <c r="F20" s="102"/>
      <c r="G20" s="122"/>
      <c r="H20" s="103"/>
    </row>
    <row r="21" spans="1:8" ht="24.95" customHeight="1">
      <c r="A21" s="96">
        <f t="shared" si="1"/>
        <v>37874</v>
      </c>
      <c r="B21" s="97" t="s">
        <v>75</v>
      </c>
      <c r="C21" s="98"/>
      <c r="D21" s="98"/>
      <c r="E21" s="98"/>
      <c r="F21" s="102"/>
      <c r="G21" s="122"/>
      <c r="H21" s="103"/>
    </row>
    <row r="22" spans="1:8" ht="24.95" customHeight="1">
      <c r="A22" s="96">
        <f t="shared" si="1"/>
        <v>37875</v>
      </c>
      <c r="B22" s="97" t="s">
        <v>76</v>
      </c>
      <c r="C22" s="98"/>
      <c r="D22" s="98"/>
      <c r="E22" s="98"/>
      <c r="F22" s="102"/>
      <c r="G22" s="122"/>
      <c r="H22" s="103"/>
    </row>
    <row r="23" spans="1:8" ht="24.95" customHeight="1">
      <c r="A23" s="96">
        <f t="shared" si="1"/>
        <v>37876</v>
      </c>
      <c r="B23" s="97" t="s">
        <v>77</v>
      </c>
      <c r="C23" s="98"/>
      <c r="D23" s="98"/>
      <c r="E23" s="98"/>
      <c r="F23" s="102"/>
      <c r="G23" s="122"/>
      <c r="H23" s="103"/>
    </row>
    <row r="24" spans="1:8" ht="24.95" customHeight="1">
      <c r="A24" s="96">
        <f t="shared" si="1"/>
        <v>37877</v>
      </c>
      <c r="B24" s="97" t="s">
        <v>78</v>
      </c>
      <c r="C24" s="98"/>
      <c r="D24" s="98"/>
      <c r="E24" s="98"/>
      <c r="F24" s="102"/>
      <c r="G24" s="122"/>
      <c r="H24" s="123"/>
    </row>
    <row r="25" spans="1:8" ht="24.95" customHeight="1" thickBot="1">
      <c r="A25" s="96">
        <f t="shared" si="1"/>
        <v>37878</v>
      </c>
      <c r="B25" s="105" t="s">
        <v>79</v>
      </c>
      <c r="C25" s="106"/>
      <c r="D25" s="106"/>
      <c r="E25" s="106"/>
      <c r="F25" s="107"/>
      <c r="G25" s="124"/>
      <c r="H25" s="107"/>
    </row>
    <row r="26" spans="1:8" s="115" customFormat="1" ht="21" thickBot="1">
      <c r="A26" s="110"/>
      <c r="B26" s="125" t="s">
        <v>81</v>
      </c>
      <c r="C26" s="126"/>
      <c r="D26" s="126"/>
      <c r="E26" s="126"/>
      <c r="F26" s="127"/>
      <c r="G26" s="114">
        <f>SUM(G20:G24)</f>
        <v>0</v>
      </c>
      <c r="H26" s="127"/>
    </row>
    <row r="27" spans="1:8" ht="18.75" thickBot="1">
      <c r="A27" s="128"/>
      <c r="B27" s="129"/>
      <c r="C27" s="130"/>
      <c r="D27" s="130"/>
      <c r="E27" s="130"/>
      <c r="G27" s="131"/>
    </row>
    <row r="28" spans="1:8" s="115" customFormat="1" ht="22.5" thickTop="1" thickBot="1">
      <c r="A28" s="132"/>
      <c r="B28" s="133" t="s">
        <v>82</v>
      </c>
      <c r="C28" s="133"/>
      <c r="D28" s="133"/>
      <c r="E28" s="133"/>
      <c r="F28" s="134"/>
      <c r="G28" s="135">
        <f>SUM(G17+G26)</f>
        <v>0</v>
      </c>
      <c r="H28" s="136"/>
    </row>
    <row r="29" spans="1:8" ht="18.75" thickTop="1">
      <c r="A29" s="128"/>
      <c r="B29" s="137"/>
      <c r="C29" s="138"/>
      <c r="D29" s="138"/>
      <c r="E29" s="138"/>
      <c r="F29" s="139"/>
      <c r="G29" s="139"/>
      <c r="H29" s="140"/>
    </row>
    <row r="30" spans="1:8" ht="18.75" thickBot="1">
      <c r="A30" s="141" t="s">
        <v>83</v>
      </c>
      <c r="B30" s="137"/>
      <c r="C30" s="142"/>
      <c r="D30" s="142"/>
      <c r="E30" s="142"/>
      <c r="F30" s="143"/>
      <c r="G30" s="144" t="s">
        <v>84</v>
      </c>
      <c r="H30" s="145"/>
    </row>
    <row r="31" spans="1:8" ht="18.75" thickBot="1">
      <c r="A31" s="141" t="s">
        <v>85</v>
      </c>
      <c r="B31" s="137"/>
      <c r="C31" s="142"/>
      <c r="D31" s="142"/>
      <c r="E31" s="142"/>
      <c r="F31" s="143"/>
      <c r="G31" s="144" t="s">
        <v>84</v>
      </c>
      <c r="H31" s="145"/>
    </row>
    <row r="32" spans="1:8" ht="11.25" customHeight="1">
      <c r="A32" s="141"/>
      <c r="B32" s="137"/>
      <c r="C32" s="138"/>
      <c r="D32" s="138"/>
      <c r="E32" s="138"/>
      <c r="F32" s="139"/>
      <c r="G32" s="139"/>
      <c r="H32" s="140"/>
    </row>
    <row r="33" spans="1:8" ht="21">
      <c r="A33" s="146" t="s">
        <v>86</v>
      </c>
      <c r="B33" s="146"/>
      <c r="C33" s="146"/>
      <c r="D33" s="146"/>
      <c r="E33" s="146"/>
      <c r="F33" s="147">
        <f>E7-4</f>
        <v>37873</v>
      </c>
      <c r="G33" s="147"/>
      <c r="H33" s="148"/>
    </row>
    <row r="34" spans="1:8" ht="12" customHeight="1">
      <c r="A34" s="149"/>
      <c r="B34" s="149"/>
      <c r="C34" s="149"/>
      <c r="D34" s="149"/>
      <c r="E34" s="149"/>
      <c r="F34" s="150"/>
      <c r="G34" s="150"/>
      <c r="H34" s="148"/>
    </row>
    <row r="35" spans="1:8" s="154" customFormat="1" ht="18.75">
      <c r="A35" s="75"/>
      <c r="B35" s="151" t="s">
        <v>87</v>
      </c>
      <c r="C35" s="152" t="s">
        <v>88</v>
      </c>
      <c r="D35" s="153" t="s">
        <v>89</v>
      </c>
      <c r="F35" s="148"/>
      <c r="G35" s="148"/>
      <c r="H35" s="148"/>
    </row>
    <row r="36" spans="1:8">
      <c r="B36" s="155" t="s">
        <v>90</v>
      </c>
      <c r="C36" s="156"/>
      <c r="D36" s="157" t="str">
        <f>IF(+C36=0, "",+C36/$G$28)</f>
        <v/>
      </c>
    </row>
    <row r="37" spans="1:8">
      <c r="B37" s="155" t="s">
        <v>91</v>
      </c>
      <c r="C37" s="156"/>
      <c r="D37" s="157" t="str">
        <f t="shared" ref="D37:D44" si="2">IF(+C37=0, "",+C37/$G$28)</f>
        <v/>
      </c>
    </row>
    <row r="38" spans="1:8">
      <c r="B38" s="155" t="s">
        <v>92</v>
      </c>
      <c r="C38" s="156"/>
      <c r="D38" s="157" t="str">
        <f t="shared" si="2"/>
        <v/>
      </c>
    </row>
    <row r="39" spans="1:8">
      <c r="B39" s="155" t="s">
        <v>93</v>
      </c>
      <c r="C39" s="156"/>
      <c r="D39" s="157" t="str">
        <f t="shared" si="2"/>
        <v/>
      </c>
    </row>
    <row r="40" spans="1:8">
      <c r="B40" s="155" t="s">
        <v>94</v>
      </c>
      <c r="C40" s="156"/>
      <c r="D40" s="157" t="str">
        <f t="shared" si="2"/>
        <v/>
      </c>
    </row>
    <row r="41" spans="1:8">
      <c r="B41" s="155" t="s">
        <v>95</v>
      </c>
      <c r="C41" s="156"/>
      <c r="D41" s="157" t="str">
        <f t="shared" si="2"/>
        <v/>
      </c>
    </row>
    <row r="42" spans="1:8">
      <c r="B42" s="155" t="s">
        <v>96</v>
      </c>
      <c r="C42" s="156"/>
      <c r="D42" s="157" t="str">
        <f t="shared" si="2"/>
        <v/>
      </c>
    </row>
    <row r="43" spans="1:8">
      <c r="B43" s="155" t="s">
        <v>97</v>
      </c>
      <c r="C43" s="156"/>
      <c r="D43" s="157" t="str">
        <f t="shared" si="2"/>
        <v/>
      </c>
    </row>
    <row r="44" spans="1:8">
      <c r="B44" s="158" t="s">
        <v>98</v>
      </c>
      <c r="C44" s="156"/>
      <c r="D44" s="157" t="str">
        <f t="shared" si="2"/>
        <v/>
      </c>
    </row>
  </sheetData>
  <mergeCells count="5">
    <mergeCell ref="A1:H1"/>
    <mergeCell ref="A3:B3"/>
    <mergeCell ref="B28:E28"/>
    <mergeCell ref="A33:E33"/>
    <mergeCell ref="F33:G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tab1</vt:lpstr>
      <vt:lpstr>tab2</vt:lpstr>
      <vt:lpstr>BeginPayPeriod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neD</cp:lastModifiedBy>
  <dcterms:created xsi:type="dcterms:W3CDTF">2000-11-15T22:33:24Z</dcterms:created>
  <dcterms:modified xsi:type="dcterms:W3CDTF">2014-08-21T12:54:42Z</dcterms:modified>
</cp:coreProperties>
</file>