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8F974381-F37B-442C-8219-197C550F9EEA}" xr6:coauthVersionLast="46" xr6:coauthVersionMax="46" xr10:uidLastSave="{00000000-0000-0000-0000-000000000000}"/>
  <bookViews>
    <workbookView xWindow="-120" yWindow="-120" windowWidth="29040" windowHeight="15990" activeTab="6" xr2:uid="{5553D0E8-51A3-47FB-810D-72AE6F6D382E}"/>
  </bookViews>
  <sheets>
    <sheet name="Integrated Circuits" sheetId="1" r:id="rId1"/>
    <sheet name="Basic_Elements" sheetId="2" r:id="rId2"/>
    <sheet name="Connectors and special parts" sheetId="5" r:id="rId3"/>
    <sheet name="Diodes and Semiconductors" sheetId="6" r:id="rId4"/>
    <sheet name="All" sheetId="8" r:id="rId5"/>
    <sheet name="x" sheetId="7" r:id="rId6"/>
    <sheet name="New_Elements" sheetId="9" r:id="rId7"/>
  </sheets>
  <definedNames>
    <definedName name="_xlcn.WorksheetConnection_List_of_materials.xlsxrysboard__2" hidden="1">rysboard__2[]</definedName>
    <definedName name="DaneZewnętrzne_1" localSheetId="4" hidden="1">All!$A$1:$H$47</definedName>
    <definedName name="DaneZewnętrzne_1" localSheetId="6" hidden="1">New_Elements!$A$1:$I$47</definedName>
    <definedName name="_xlnm.Print_Area" localSheetId="4">All!$A$1:$AP$106</definedName>
    <definedName name="rysboard__2_" localSheetId="1" hidden="1">Basic_Elements!$B$4:$L$50</definedName>
    <definedName name="rysboard__2_" localSheetId="2" hidden="1">'Connectors and special parts'!$A$2:$K$48</definedName>
    <definedName name="rysboard__2_" localSheetId="3" hidden="1">'Diodes and Semiconductors'!$A$4:$K$50</definedName>
    <definedName name="rysboard__2_" localSheetId="0" hidden="1">'Integrated Circuits'!$B$3:$L$49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ysboard__2" name="rysboard__2" connection="WorksheetConnection_List_of_materials.xlsx!rysboard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9" l="1"/>
  <c r="O63" i="9" s="1"/>
  <c r="M63" i="9"/>
  <c r="J2" i="9"/>
  <c r="K2" i="9" s="1"/>
  <c r="M2" i="9" s="1"/>
  <c r="J3" i="9"/>
  <c r="J4" i="9"/>
  <c r="J5" i="9"/>
  <c r="K5" i="9" s="1"/>
  <c r="M5" i="9" s="1"/>
  <c r="J6" i="9"/>
  <c r="K6" i="9" s="1"/>
  <c r="M6" i="9" s="1"/>
  <c r="J7" i="9"/>
  <c r="J8" i="9"/>
  <c r="J9" i="9"/>
  <c r="K9" i="9" s="1"/>
  <c r="N9" i="9" s="1"/>
  <c r="J10" i="9"/>
  <c r="K10" i="9" s="1"/>
  <c r="N10" i="9" s="1"/>
  <c r="J11" i="9"/>
  <c r="J12" i="9"/>
  <c r="K12" i="9" s="1"/>
  <c r="N12" i="9" s="1"/>
  <c r="J13" i="9"/>
  <c r="K13" i="9" s="1"/>
  <c r="N13" i="9" s="1"/>
  <c r="J14" i="9"/>
  <c r="K14" i="9" s="1"/>
  <c r="N14" i="9" s="1"/>
  <c r="J15" i="9"/>
  <c r="J16" i="9"/>
  <c r="J17" i="9"/>
  <c r="J18" i="9"/>
  <c r="K18" i="9" s="1"/>
  <c r="P18" i="9" s="1"/>
  <c r="J19" i="9"/>
  <c r="J20" i="9"/>
  <c r="J21" i="9"/>
  <c r="K21" i="9" s="1"/>
  <c r="R21" i="9" s="1"/>
  <c r="J22" i="9"/>
  <c r="J23" i="9"/>
  <c r="J24" i="9"/>
  <c r="J25" i="9"/>
  <c r="K25" i="9" s="1"/>
  <c r="S25" i="9" s="1"/>
  <c r="J26" i="9"/>
  <c r="K26" i="9" s="1"/>
  <c r="S26" i="9" s="1"/>
  <c r="J27" i="9"/>
  <c r="J28" i="9"/>
  <c r="K28" i="9" s="1"/>
  <c r="S28" i="9" s="1"/>
  <c r="J29" i="9"/>
  <c r="K29" i="9" s="1"/>
  <c r="S29" i="9" s="1"/>
  <c r="J30" i="9"/>
  <c r="K30" i="9" s="1"/>
  <c r="S30" i="9" s="1"/>
  <c r="J31" i="9"/>
  <c r="J32" i="9"/>
  <c r="J33" i="9"/>
  <c r="K33" i="9" s="1"/>
  <c r="S33" i="9" s="1"/>
  <c r="J34" i="9"/>
  <c r="K34" i="9" s="1"/>
  <c r="S34" i="9" s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K17" i="9"/>
  <c r="P17" i="9" s="1"/>
  <c r="K35" i="9"/>
  <c r="S35" i="9" s="1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2" i="9"/>
  <c r="O3" i="9"/>
  <c r="P3" i="9"/>
  <c r="Q3" i="9"/>
  <c r="R3" i="9"/>
  <c r="S3" i="9"/>
  <c r="T3" i="9"/>
  <c r="U3" i="9"/>
  <c r="O4" i="9"/>
  <c r="P4" i="9"/>
  <c r="Q4" i="9"/>
  <c r="R4" i="9"/>
  <c r="S4" i="9"/>
  <c r="T4" i="9"/>
  <c r="U4" i="9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Q17" i="9"/>
  <c r="R17" i="9"/>
  <c r="S17" i="9"/>
  <c r="T17" i="9"/>
  <c r="U17" i="9"/>
  <c r="O18" i="9"/>
  <c r="Q18" i="9"/>
  <c r="R18" i="9"/>
  <c r="S18" i="9"/>
  <c r="T18" i="9"/>
  <c r="U18" i="9"/>
  <c r="O19" i="9"/>
  <c r="P19" i="9"/>
  <c r="R19" i="9"/>
  <c r="S19" i="9"/>
  <c r="T19" i="9"/>
  <c r="U19" i="9"/>
  <c r="O20" i="9"/>
  <c r="P20" i="9"/>
  <c r="Q20" i="9"/>
  <c r="S20" i="9"/>
  <c r="T20" i="9"/>
  <c r="U20" i="9"/>
  <c r="O21" i="9"/>
  <c r="P21" i="9"/>
  <c r="Q21" i="9"/>
  <c r="S21" i="9"/>
  <c r="T21" i="9"/>
  <c r="U21" i="9"/>
  <c r="O22" i="9"/>
  <c r="P22" i="9"/>
  <c r="Q22" i="9"/>
  <c r="S22" i="9"/>
  <c r="T22" i="9"/>
  <c r="U22" i="9"/>
  <c r="O23" i="9"/>
  <c r="P23" i="9"/>
  <c r="Q23" i="9"/>
  <c r="S23" i="9"/>
  <c r="T23" i="9"/>
  <c r="U23" i="9"/>
  <c r="O24" i="9"/>
  <c r="P24" i="9"/>
  <c r="Q24" i="9"/>
  <c r="S24" i="9"/>
  <c r="T24" i="9"/>
  <c r="U24" i="9"/>
  <c r="O25" i="9"/>
  <c r="P25" i="9"/>
  <c r="Q25" i="9"/>
  <c r="R25" i="9"/>
  <c r="T25" i="9"/>
  <c r="U25" i="9"/>
  <c r="O26" i="9"/>
  <c r="P26" i="9"/>
  <c r="Q26" i="9"/>
  <c r="R26" i="9"/>
  <c r="T26" i="9"/>
  <c r="U26" i="9"/>
  <c r="O27" i="9"/>
  <c r="P27" i="9"/>
  <c r="Q27" i="9"/>
  <c r="R27" i="9"/>
  <c r="T27" i="9"/>
  <c r="U27" i="9"/>
  <c r="O28" i="9"/>
  <c r="P28" i="9"/>
  <c r="Q28" i="9"/>
  <c r="R28" i="9"/>
  <c r="T28" i="9"/>
  <c r="U28" i="9"/>
  <c r="O29" i="9"/>
  <c r="P29" i="9"/>
  <c r="Q29" i="9"/>
  <c r="R29" i="9"/>
  <c r="T29" i="9"/>
  <c r="U29" i="9"/>
  <c r="O30" i="9"/>
  <c r="P30" i="9"/>
  <c r="Q30" i="9"/>
  <c r="R30" i="9"/>
  <c r="T30" i="9"/>
  <c r="U30" i="9"/>
  <c r="O31" i="9"/>
  <c r="P31" i="9"/>
  <c r="Q31" i="9"/>
  <c r="R31" i="9"/>
  <c r="T31" i="9"/>
  <c r="U31" i="9"/>
  <c r="O32" i="9"/>
  <c r="P32" i="9"/>
  <c r="Q32" i="9"/>
  <c r="R32" i="9"/>
  <c r="T32" i="9"/>
  <c r="U32" i="9"/>
  <c r="O33" i="9"/>
  <c r="P33" i="9"/>
  <c r="Q33" i="9"/>
  <c r="R33" i="9"/>
  <c r="T33" i="9"/>
  <c r="U33" i="9"/>
  <c r="O34" i="9"/>
  <c r="P34" i="9"/>
  <c r="Q34" i="9"/>
  <c r="R34" i="9"/>
  <c r="T34" i="9"/>
  <c r="U34" i="9"/>
  <c r="O35" i="9"/>
  <c r="P35" i="9"/>
  <c r="Q35" i="9"/>
  <c r="R35" i="9"/>
  <c r="T35" i="9"/>
  <c r="U35" i="9"/>
  <c r="O36" i="9"/>
  <c r="P36" i="9"/>
  <c r="Q36" i="9"/>
  <c r="R36" i="9"/>
  <c r="T36" i="9"/>
  <c r="U36" i="9"/>
  <c r="O37" i="9"/>
  <c r="P37" i="9"/>
  <c r="Q37" i="9"/>
  <c r="R37" i="9"/>
  <c r="T37" i="9"/>
  <c r="U37" i="9"/>
  <c r="O38" i="9"/>
  <c r="P38" i="9"/>
  <c r="Q38" i="9"/>
  <c r="R38" i="9"/>
  <c r="T38" i="9"/>
  <c r="U38" i="9"/>
  <c r="O39" i="9"/>
  <c r="P39" i="9"/>
  <c r="Q39" i="9"/>
  <c r="R39" i="9"/>
  <c r="T39" i="9"/>
  <c r="U39" i="9"/>
  <c r="O40" i="9"/>
  <c r="P40" i="9"/>
  <c r="Q40" i="9"/>
  <c r="R40" i="9"/>
  <c r="S40" i="9"/>
  <c r="U40" i="9"/>
  <c r="O41" i="9"/>
  <c r="P41" i="9"/>
  <c r="Q41" i="9"/>
  <c r="R41" i="9"/>
  <c r="S41" i="9"/>
  <c r="U41" i="9"/>
  <c r="O42" i="9"/>
  <c r="P42" i="9"/>
  <c r="Q42" i="9"/>
  <c r="R42" i="9"/>
  <c r="S42" i="9"/>
  <c r="T42" i="9"/>
  <c r="O43" i="9"/>
  <c r="P43" i="9"/>
  <c r="Q43" i="9"/>
  <c r="R43" i="9"/>
  <c r="S43" i="9"/>
  <c r="T43" i="9"/>
  <c r="O44" i="9"/>
  <c r="P44" i="9"/>
  <c r="Q44" i="9"/>
  <c r="R44" i="9"/>
  <c r="S44" i="9"/>
  <c r="T44" i="9"/>
  <c r="O45" i="9"/>
  <c r="P45" i="9"/>
  <c r="Q45" i="9"/>
  <c r="R45" i="9"/>
  <c r="S45" i="9"/>
  <c r="T45" i="9"/>
  <c r="O46" i="9"/>
  <c r="P46" i="9"/>
  <c r="Q46" i="9"/>
  <c r="R46" i="9"/>
  <c r="S46" i="9"/>
  <c r="T46" i="9"/>
  <c r="O47" i="9"/>
  <c r="P47" i="9"/>
  <c r="Q47" i="9"/>
  <c r="R47" i="9"/>
  <c r="S47" i="9"/>
  <c r="T47" i="9"/>
  <c r="U2" i="9"/>
  <c r="T2" i="9"/>
  <c r="S2" i="9"/>
  <c r="R2" i="9"/>
  <c r="Q2" i="9"/>
  <c r="P2" i="9"/>
  <c r="O2" i="9"/>
  <c r="N3" i="9"/>
  <c r="N4" i="9"/>
  <c r="N5" i="9"/>
  <c r="N6" i="9"/>
  <c r="N7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K7" i="9"/>
  <c r="M7" i="9" s="1"/>
  <c r="K3" i="9"/>
  <c r="M3" i="9" s="1"/>
  <c r="K4" i="9"/>
  <c r="M4" i="9" s="1"/>
  <c r="K8" i="9"/>
  <c r="N8" i="9" s="1"/>
  <c r="K11" i="9"/>
  <c r="N11" i="9" s="1"/>
  <c r="K15" i="9"/>
  <c r="O15" i="9" s="1"/>
  <c r="K16" i="9"/>
  <c r="V16" i="9" s="1"/>
  <c r="K19" i="9"/>
  <c r="Q19" i="9" s="1"/>
  <c r="K20" i="9"/>
  <c r="R20" i="9" s="1"/>
  <c r="K22" i="9"/>
  <c r="R22" i="9" s="1"/>
  <c r="K23" i="9"/>
  <c r="R23" i="9" s="1"/>
  <c r="K24" i="9"/>
  <c r="R24" i="9" s="1"/>
  <c r="K27" i="9"/>
  <c r="S27" i="9" s="1"/>
  <c r="K31" i="9"/>
  <c r="S31" i="9" s="1"/>
  <c r="K32" i="9"/>
  <c r="S32" i="9" s="1"/>
  <c r="K36" i="9"/>
  <c r="S36" i="9" s="1"/>
  <c r="K37" i="9"/>
  <c r="S37" i="9" s="1"/>
  <c r="K38" i="9"/>
  <c r="S38" i="9" s="1"/>
  <c r="K39" i="9"/>
  <c r="S39" i="9" s="1"/>
  <c r="K40" i="9"/>
  <c r="T40" i="9" s="1"/>
  <c r="K41" i="9"/>
  <c r="T41" i="9" s="1"/>
  <c r="K42" i="9"/>
  <c r="U42" i="9" s="1"/>
  <c r="K43" i="9"/>
  <c r="U43" i="9" s="1"/>
  <c r="K44" i="9"/>
  <c r="U44" i="9" s="1"/>
  <c r="K45" i="9"/>
  <c r="U45" i="9" s="1"/>
  <c r="K46" i="9"/>
  <c r="U46" i="9" s="1"/>
  <c r="K47" i="9"/>
  <c r="U47" i="9" s="1"/>
  <c r="H60" i="5"/>
  <c r="I60" i="5" s="1"/>
  <c r="J60" i="5" s="1"/>
  <c r="H60" i="6"/>
  <c r="I60" i="6" s="1"/>
  <c r="J60" i="6" s="1"/>
  <c r="G60" i="5"/>
  <c r="I58" i="1"/>
  <c r="J58" i="1" s="1"/>
  <c r="K58" i="1" s="1"/>
  <c r="H58" i="2"/>
  <c r="I58" i="2" s="1"/>
  <c r="J58" i="2" s="1"/>
  <c r="G60" i="6"/>
  <c r="G55" i="9"/>
  <c r="J2" i="8"/>
  <c r="J3" i="8"/>
  <c r="J4" i="8"/>
  <c r="H57" i="8"/>
  <c r="J19" i="8"/>
  <c r="K19" i="8" s="1"/>
  <c r="J40" i="8"/>
  <c r="K40" i="8" s="1"/>
  <c r="J16" i="8"/>
  <c r="K16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7" i="8"/>
  <c r="K17" i="8" s="1"/>
  <c r="J18" i="8"/>
  <c r="K18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M50" i="9" l="1"/>
  <c r="R50" i="9"/>
  <c r="T50" i="9"/>
  <c r="V50" i="9"/>
  <c r="N55" i="9" s="1"/>
  <c r="O55" i="9" s="1"/>
  <c r="N50" i="9"/>
  <c r="S50" i="9"/>
  <c r="M53" i="9" s="1"/>
  <c r="H55" i="9"/>
  <c r="I55" i="9" s="1"/>
  <c r="J55" i="9" s="1"/>
  <c r="H66" i="9" s="1"/>
  <c r="P50" i="9"/>
  <c r="M56" i="9" s="1"/>
  <c r="N56" i="9" s="1"/>
  <c r="O56" i="9" s="1"/>
  <c r="O50" i="9"/>
  <c r="M55" i="9" s="1"/>
  <c r="U50" i="9"/>
  <c r="Q50" i="9"/>
  <c r="I57" i="8"/>
  <c r="J57" i="8" s="1"/>
  <c r="K57" i="8" s="1"/>
  <c r="M54" i="9" l="1"/>
  <c r="N54" i="9" s="1"/>
  <c r="O54" i="9" s="1"/>
  <c r="N53" i="9"/>
  <c r="O53" i="9" s="1"/>
  <c r="M61" i="9" l="1"/>
  <c r="M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742F4-D270-4DCE-8238-D0E1134ACDC6}" keepAlive="1" name="ModelConnection_rysboard__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66371AE-4F6C-488D-B29E-6531DF803F1E}" keepAlive="1" name="ModelConnection_rysboard__21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3A35A87-0B26-4F66-BF0B-15E2F4399977}" keepAlive="1" name="ModelConnection_rysboard__2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A3A28E1-5FAD-41E1-B24C-6FE0EBDB8563}" keepAlive="1" name="ModelConnection_rysboard__23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52DE77F-B539-4881-BECA-0E0FD44F12D8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FCFDB40-E8BB-44F6-B4A8-DDA2433978DF}" name="WorksheetConnection_List_of_materials.xlsx!rysboard__2" type="102" refreshedVersion="7" minRefreshableVersion="5">
    <extLst>
      <ext xmlns:x15="http://schemas.microsoft.com/office/spreadsheetml/2010/11/main" uri="{DE250136-89BD-433C-8126-D09CA5730AF9}">
        <x15:connection id="rysboard__2" autoDelete="1">
          <x15:rangePr sourceName="_xlcn.WorksheetConnection_List_of_materials.xlsxrysboard__2"/>
        </x15:connection>
      </ext>
    </extLst>
  </connection>
  <connection id="7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  <connection id="8" xr16:uid="{C83B6ED1-8402-471E-9A4C-AA91812462CB}" keepAlive="1" name="Zapytanie — rysboard (2)" description="Połączenie z zapytaniem „rysboard (2)” w skoroszycie." type="5" refreshedVersion="7" background="1" saveData="1">
    <dbPr connection="Provider=Microsoft.Mashup.OleDb.1;Data Source=$Workbook$;Location=&quot;rysboard (2)&quot;;Extended Properties=&quot;&quot;" command="SELECT * FROM [rysboard (2)]"/>
  </connection>
</connections>
</file>

<file path=xl/sharedStrings.xml><?xml version="1.0" encoding="utf-8"?>
<sst xmlns="http://schemas.openxmlformats.org/spreadsheetml/2006/main" count="790" uniqueCount="252">
  <si>
    <t>Link</t>
  </si>
  <si>
    <t>Si7938DP-T1-GE3</t>
  </si>
  <si>
    <t>DMP3036SSD-13</t>
  </si>
  <si>
    <t>1uF</t>
  </si>
  <si>
    <t xml:space="preserve">TSZU52C13 RGG </t>
  </si>
  <si>
    <t>KRTBDWLM32.32-T4U6-JW+AAAB-J3+R4S6-5V</t>
  </si>
  <si>
    <t>Id</t>
  </si>
  <si>
    <t>Designator</t>
  </si>
  <si>
    <t>Package</t>
  </si>
  <si>
    <t>Quantity</t>
  </si>
  <si>
    <t>Designation</t>
  </si>
  <si>
    <t>R_0603_1608Metric</t>
  </si>
  <si>
    <t>10KR</t>
  </si>
  <si>
    <t>D18</t>
  </si>
  <si>
    <t>LED_ABRG</t>
  </si>
  <si>
    <t>D10,D11,D12</t>
  </si>
  <si>
    <t>D_0603_1608Metric_Pad1.05x0.95mm_HandSolder</t>
  </si>
  <si>
    <t>U7,U8</t>
  </si>
  <si>
    <t>SOT-23-6</t>
  </si>
  <si>
    <t>L1</t>
  </si>
  <si>
    <t>L_6.7x6.7_H2.2</t>
  </si>
  <si>
    <t>3.3uH</t>
  </si>
  <si>
    <t>C_1206_3216Metric</t>
  </si>
  <si>
    <t>10u</t>
  </si>
  <si>
    <t>U3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</si>
  <si>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</si>
  <si>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</si>
  <si>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</si>
  <si>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</si>
  <si>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</si>
  <si>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</si>
  <si>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</si>
  <si>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C_0603_1608Metric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</si>
  <si>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</si>
  <si>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</si>
  <si>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</si>
  <si>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</si>
  <si>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</si>
  <si>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</si>
  <si>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</si>
  <si>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</si>
  <si>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</si>
  <si>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</si>
  <si>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</si>
  <si>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D5,D6</t>
  </si>
  <si>
    <t>DSN2_1</t>
  </si>
  <si>
    <t>NSR20F30NXT5G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</si>
  <si>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</si>
  <si>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</si>
  <si>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</si>
  <si>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</si>
  <si>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</si>
  <si>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</si>
  <si>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</si>
  <si>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</si>
  <si>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</si>
  <si>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</si>
  <si>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</si>
  <si>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</si>
  <si>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</si>
  <si>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</si>
  <si>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</si>
  <si>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</si>
  <si>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</si>
  <si>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</si>
  <si>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</si>
  <si>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</si>
  <si>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</si>
  <si>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</si>
  <si>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</si>
  <si>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</si>
  <si>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</si>
  <si>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</si>
  <si>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</si>
  <si>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</si>
  <si>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</si>
  <si>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</si>
  <si>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</si>
  <si>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</si>
  <si>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</si>
  <si>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</si>
  <si>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</si>
  <si>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</si>
  <si>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</si>
  <si>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</si>
  <si>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</si>
  <si>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</si>
  <si>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</si>
  <si>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</si>
  <si>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</si>
  <si>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</si>
  <si>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</si>
  <si>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</si>
  <si>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</si>
  <si>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</si>
  <si>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</si>
  <si>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</si>
  <si>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</si>
  <si>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</si>
  <si>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</si>
  <si>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</si>
  <si>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</si>
  <si>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</si>
  <si>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</si>
  <si>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</si>
  <si>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</si>
  <si>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</si>
  <si>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</si>
  <si>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</si>
  <si>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</si>
  <si>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</si>
  <si>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</si>
  <si>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</si>
  <si>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</si>
  <si>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</si>
  <si>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</si>
  <si>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</si>
  <si>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</si>
  <si>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</si>
  <si>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</si>
  <si>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</si>
  <si>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</si>
  <si>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</si>
  <si>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</si>
  <si>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</si>
  <si>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</si>
  <si>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</si>
  <si>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</si>
  <si>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</si>
  <si>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</si>
  <si>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</si>
  <si>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</si>
  <si>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</si>
  <si>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</si>
  <si>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</si>
  <si>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</si>
  <si>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</si>
  <si>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</si>
  <si>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</si>
  <si>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</si>
  <si>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</si>
  <si>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</si>
  <si>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</si>
  <si>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</si>
  <si>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</si>
  <si>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</si>
  <si>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</si>
  <si>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</si>
  <si>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</si>
  <si>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</si>
  <si>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</si>
  <si>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</si>
  <si>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</si>
  <si>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</si>
  <si>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</si>
  <si>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</si>
  <si>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</si>
  <si>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</si>
  <si>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</si>
  <si>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</si>
  <si>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</si>
  <si>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</si>
  <si>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</si>
  <si>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</si>
  <si>
    <t>https://pl.mouser.com/ProductDetail/OSRAM-Opto-Semiconductors/KRTBDWLM3232-T4U6-JW%2BAAAB-J3%2BR4S6-5V?qs=DPoM0jnrROWJ%2F8aeLsBacQ%3D%3D</t>
  </si>
  <si>
    <t>https://pl.mouser.com/ProductDetail/Littelfuse/SZ1SMA15CAT3G?qs=sK5eIuwOod7pHTMBXRlUWw%3D%3D</t>
  </si>
  <si>
    <t xml:space="preserve">SZ1SMA15CAT3G </t>
  </si>
  <si>
    <t>https://www.digikey.pl/product-detail/pl/stmicroelectronics/ST1S10PUR/497-6313-1-ND/1762234</t>
  </si>
  <si>
    <t>8-VDFN</t>
  </si>
  <si>
    <t>https://pl.mouser.com/ProductDetail/ON-Semiconductor/NSR20F30NXT5G?qs=%2Fha2pyFaduiT4QgHJMtCRYYTP822FXVVx%2F52TlFmV4oVU2Zly4FJHw%3D%3D</t>
  </si>
  <si>
    <t>https://pl.mouser.com/ProductDetail/ROHM-Semiconductor/KDZVTR20B?qs=%2Fha2pyFadujsnvAmP2ghRVTAepBGHmE57wMTMNTBYDsFwtwEG05eSQ%3D%3D</t>
  </si>
  <si>
    <t>https://pl.mouser.com/ProductDetail/Nexperia/PTVS30VS1UR115?qs=%2Fha2pyFaduit7%252BBTEi6TR73wYEb4tpsGqqJU8DTdyVI1cUE4O%252BjS4A%3D%3D</t>
  </si>
  <si>
    <t>https://pl.mouser.com/ProductDetail/Bourns/SF-1206HIA300M-2?qs=GBLSl2AkirtSZzK8%2FgIDlg%3D%3D</t>
  </si>
  <si>
    <t>https://www.tme.eu/pl/details/sk52-dio/diody-schottky-smd/diotec-semiconductor/sk52/</t>
  </si>
  <si>
    <t>https://www.tme.eu/pl/details/hpi0624-3r3/dlawiki-smd-mocy/ferrocore/</t>
  </si>
  <si>
    <t>https://www.newark.com/molex/22-11-2032/connector-header-3pos-1row-2-54mm/dp/81C8218?ost=0022112032&amp;CMP=AFC-MOLEX&amp;krypto=ZchJYUSt9JoGRlfGr8ihPzM7V3GX773Zlz%2FZYddpEAcQG8fZxi8hshIODsJJxIFAi%2BuHMcDuMKo3zS02f%2B1zBAKEW825NUCNi%2BWqbPbmR1qDr3fHTg3J5NZz7MQJYPo%2B</t>
  </si>
  <si>
    <t>https://botland.com.pl/przewody/1432-wtyk-goldpin-1x40-prosty-raster-127mm.html</t>
  </si>
  <si>
    <t>https://pl.mouser.com/ProductDetail/Vishay-Dale/TFPT0805L5001FV?qs=xyz6lfZ1ktK3YPNZpkbbDg%3D%3D</t>
  </si>
  <si>
    <t>https://pl.mouser.com/ProductDetail/Vishay-Dale/TFPTL15L5001FL2B?qs=sGAEpiMZZMsAYIPNLIqEPLUa6ijTV2LatnsYz3vSJaw%3D</t>
  </si>
  <si>
    <t>https://pl.mouser.com/ProductDetail/ON-Semiconductor-Fairchild/FDG6304P?qs=%2Fha2pyFaduh4nY0umwtV%252BltF3kBr40C7oNAtftyznPQ%3D</t>
  </si>
  <si>
    <t>FDG6304P</t>
  </si>
  <si>
    <t>LM74801QDRRRQ1</t>
  </si>
  <si>
    <t>https://pl.mouser.com/ProductDetail/Texas-Instruments/LM74801QDRRRQ1?qs=zW32dvEIR3uHxOfYWHY8FQ%3D%3D</t>
  </si>
  <si>
    <t>Kurs Euro</t>
  </si>
  <si>
    <t>Cena w netto w zł</t>
  </si>
  <si>
    <t>Cena Brutto w zł</t>
  </si>
  <si>
    <t>Liczba Płytek</t>
  </si>
  <si>
    <t/>
  </si>
  <si>
    <t>R62,R4,R6,R7,R10,R11,R40,R51,R55,R56,R59,R61,R64,R68,R70,R71,R31,R17,R23,R33,R34</t>
  </si>
  <si>
    <t>10k1%</t>
  </si>
  <si>
    <t>C16,C21,C20,C17,C1,C8,C34,C43,C44,C27</t>
  </si>
  <si>
    <t>100n</t>
  </si>
  <si>
    <t>C5,C6,C12,C13</t>
  </si>
  <si>
    <t>Q6,Q9</t>
  </si>
  <si>
    <t>R8,R12,R24,R69,R16,R22</t>
  </si>
  <si>
    <t>110KR</t>
  </si>
  <si>
    <t>R18,R20,R25,R15,R19,R32</t>
  </si>
  <si>
    <t>R53</t>
  </si>
  <si>
    <t>R67,R35</t>
  </si>
  <si>
    <t>Q3,Q7,Q4</t>
  </si>
  <si>
    <t>PinHeader_1x02_P1.27mm_Vertical</t>
  </si>
  <si>
    <t>DFN-8-1EP_4x4mm_P0.8mm_EP2.3x3.24mm</t>
  </si>
  <si>
    <t>Q10,Q11</t>
  </si>
  <si>
    <t>D7</t>
  </si>
  <si>
    <t>D_0603_1608Metric</t>
  </si>
  <si>
    <t>CD0603-Z3</t>
  </si>
  <si>
    <t>D3,D4,D10</t>
  </si>
  <si>
    <t>IC1,IC2</t>
  </si>
  <si>
    <t>Q2</t>
  </si>
  <si>
    <t>SOT65P210X110-6N</t>
  </si>
  <si>
    <t>IC</t>
  </si>
  <si>
    <t>C18,C4,C7,C11,C14,C23,C24,C25,C26,C28,C31,C45,C46,C32,C33</t>
  </si>
  <si>
    <t>Cena Netto2</t>
  </si>
  <si>
    <t>Cena Netto3</t>
  </si>
  <si>
    <t>Cena Netto4</t>
  </si>
  <si>
    <t>https://pl.mouser.com/ProductDetail/Bourns/CD0603-Z3?qs=%2Fha2pyFadujPAOV5JeEqBSlylJgfwvzGdhwGB%2FwmVrA%3D</t>
  </si>
  <si>
    <t>https://pl.mouser.com/ProductDetail/Taiwan-Semiconductor/TSZU52C13-RGG?qs=%2Fha2pyFadujL0%2FrsIT9efJxDfYUOHnUakkLC8lXGJ46cvXaGqIUX5A%3D%3D</t>
  </si>
  <si>
    <t>https://pl.mouser.com/ProductDetail/Nexperia/PMV28XPEAR?qs=W%2FMpXkg%252BdQ6VcRCVGMTksA%3D%3D</t>
  </si>
  <si>
    <t>PMV28XPEAR</t>
  </si>
  <si>
    <t>TSZU52C13 RGG</t>
  </si>
  <si>
    <t>AP7381-33SA-7</t>
  </si>
  <si>
    <t>Netto Euro</t>
  </si>
  <si>
    <t>Netto Złoty</t>
  </si>
  <si>
    <t>Brutto Złoty</t>
  </si>
  <si>
    <t>Sumaryczna Ilosc Elemetnow</t>
  </si>
  <si>
    <t>Sumaryczna Cena</t>
  </si>
  <si>
    <t>Czy wszystko policzone</t>
  </si>
  <si>
    <t>Cena Za elementy konstrukcyjne</t>
  </si>
  <si>
    <t>Suma Policzona</t>
  </si>
  <si>
    <t>Cena za dostawe</t>
  </si>
  <si>
    <t>Całość</t>
  </si>
  <si>
    <t>Cena Kondesatory</t>
  </si>
  <si>
    <t>Cena Diody</t>
  </si>
  <si>
    <t>Cena  Bezpieczniki</t>
  </si>
  <si>
    <t>Cena Złącza</t>
  </si>
  <si>
    <t>Cena Cewki</t>
  </si>
  <si>
    <t>Cena Tranzystory</t>
  </si>
  <si>
    <t>Cena Oporniki</t>
  </si>
  <si>
    <t>Cena Termistory</t>
  </si>
  <si>
    <t>Cena Układy Scalone</t>
  </si>
  <si>
    <t>Na wniosek co już jest</t>
  </si>
  <si>
    <t>Cewki Kondesatory</t>
  </si>
  <si>
    <t>Wniosek 3171100-4 Elektyroniczne elementy składowe</t>
  </si>
  <si>
    <t>Wniosek 31712000-0 Mikroelektroniczne maszyny i aparatura oraz mikrosystemy</t>
  </si>
  <si>
    <t>Wniosek 311211300-1</t>
  </si>
  <si>
    <t>https://pl.mouser.com/ProductDetail/Susumu/RR0816P-4022-D-59C?qs=nCAm%252BcMdy9weaX%252Bt4a%2FdXg%3D%3D</t>
  </si>
  <si>
    <t>https://pl.mouser.com/ProductDetail/Susumu/RR0816P-273-D?qs=nCAm%252BcMdy9zBVcQEyxI7VA%3D%3D</t>
  </si>
  <si>
    <t>https://pl.mouser.com/ProductDetail/Susumu/RR0816P-114-D?qs=nCAm%252BcMdy9ywlgvThO5LLA%3D%3D</t>
  </si>
  <si>
    <t>https://pl.mouser.com/ProductDetail/Susumu/RR0816P-4991-D-68H?qs=nCAm%252BcMdy9xz1Qn%2FqPqpZQ%3D%3D</t>
  </si>
  <si>
    <t>https://pl.mouser.com/ProductDetail/Diodes-Incorporated/AP7381-70SA-7?qs=y6ZabgHbY%252BwkmBrIihhOlA%3D%3D</t>
  </si>
  <si>
    <t>Czy dodane do koszyka</t>
  </si>
  <si>
    <t>https://www.digikey.pl/product-detail/pl/stmicroeQlectronics/ST1S10PUR/497-6313-1-ND/1762234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</si>
</sst>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#,##0.00\ [$EUR]"/>
    <numFmt numFmtId="166" formatCode="#,##0.00\ [$PLN]"/>
  </numFmts>
  <fonts count="1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  <font>
      <b/>
      <sz val="14"/>
      <color rgb="FF333333"/>
      <name val="Inherit"/>
    </font>
    <font>
      <sz val="27"/>
      <color rgb="FF202124"/>
      <name val="Arial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7" fillId="0" borderId="0" xfId="0" applyNumberFormat="1" applyFont="1"/>
    <xf numFmtId="0" fontId="7" fillId="0" borderId="0" xfId="0" applyFont="1"/>
    <xf numFmtId="0" fontId="3" fillId="0" borderId="0" xfId="1" applyNumberFormat="1"/>
    <xf numFmtId="0" fontId="8" fillId="0" borderId="0" xfId="0" applyFont="1" applyAlignment="1">
      <alignment horizontal="left" vertical="center" wrapText="1" indent="1"/>
    </xf>
    <xf numFmtId="165" fontId="0" fillId="0" borderId="0" xfId="0" applyNumberFormat="1"/>
    <xf numFmtId="0" fontId="9" fillId="0" borderId="0" xfId="0" applyFont="1"/>
    <xf numFmtId="166" fontId="0" fillId="0" borderId="0" xfId="0" applyNumberFormat="1"/>
    <xf numFmtId="0" fontId="5" fillId="0" borderId="0" xfId="1" applyFont="1"/>
  </cellXfs>
  <cellStyles count="2">
    <cellStyle name="Hiperłącze" xfId="1" builtinId="8"/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EB26C1C2-AD2B-458D-9CDA-EA9187D878D1}" autoFormatId="16" applyNumberFormats="0" applyBorderFormats="0" applyFontFormats="0" applyPatternFormats="0" applyAlignmentFormats="0" applyWidthHeightFormats="0">
  <queryTableRefresh nextId="14" unboundColumnsRight="3">
    <queryTableFields count="12">
      <queryTableField id="1" name="Id" tableColumnId="1"/>
      <queryTableField id="2" name="Designator" tableColumnId="2"/>
      <queryTableField id="3" name="Package" tableColumnId="3"/>
      <queryTableField id="9" dataBound="0" tableColumnId="9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0" dataBound="0" tableColumnId="10"/>
      <queryTableField id="11" dataBound="0" tableColumnId="11"/>
      <queryTableField id="13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47" tableType="queryTable" totalsRowShown="0">
  <autoFilter ref="A1:K47" xr:uid="{2A262BBB-7054-4F69-A298-92732AA7F8BA}"/>
  <sortState xmlns:xlrd2="http://schemas.microsoft.com/office/spreadsheetml/2017/richdata2" ref="A2:K47">
    <sortCondition ref="G1:G47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20"/>
    <tableColumn id="3" xr3:uid="{47FB4149-AC9E-473C-BDC1-A5C735DA0319}" uniqueName="3" name="Package" queryTableFieldId="3" dataDxfId="19"/>
    <tableColumn id="4" xr3:uid="{8871A9EA-C2F7-4DE7-BC37-A7A082711A6A}" uniqueName="4" name="Quantity" queryTableFieldId="4"/>
    <tableColumn id="5" xr3:uid="{BA2A452E-7F7F-431B-9883-26C0115A955F}" uniqueName="5" name="Designation" queryTableFieldId="5" dataDxfId="18"/>
    <tableColumn id="6" xr3:uid="{BAD3E740-FC59-48FD-A579-89A1DC85BB4F}" uniqueName="6" name="Link" queryTableFieldId="6" dataDxfId="17"/>
    <tableColumn id="7" xr3:uid="{842BB877-EE61-4962-8264-FB3E509321F3}" uniqueName="7" name="Type" queryTableFieldId="7" dataDxfId="16"/>
    <tableColumn id="8" xr3:uid="{0F80C16A-8EA7-42C1-A0BB-1AB4E4EFA2E3}" uniqueName="8" name="Cena Netto" queryTableFieldId="8" dataDxfId="15"/>
    <tableColumn id="9" xr3:uid="{87806A67-D5D0-4524-A7E8-9DD726093E6D}" uniqueName="9" name="Cena Netto2" queryTableFieldId="12" dataDxfId="14"/>
    <tableColumn id="10" xr3:uid="{CC4BB473-6A00-4EAE-814E-834256E74286}" uniqueName="10" name="Cena Netto3" queryTableFieldId="11" dataDxfId="13">
      <calculatedColumnFormula>$B$54*rysboard[[#This Row],[Quantity]]*1.2</calculatedColumnFormula>
    </tableColumn>
    <tableColumn id="11" xr3:uid="{F6694A5C-C6AF-4543-A650-A961F5CA1647}" uniqueName="11" name="Cena Netto4" queryTableFieldId="10" dataDxfId="12">
      <calculatedColumnFormula>rysboard[[#This Row],[Cena Netto]]*rysboard[[#This Row],[Cena Netto3]]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0CD9F-AF3F-45B0-9300-FF6D9872C3E5}" name="rysboard__2" displayName="rysboard__2" ref="A1:L47" tableType="queryTable" totalsRowShown="0">
  <autoFilter ref="A1:L47" xr:uid="{3A5EF731-D4E1-4BF7-979A-BCA50AEBF5BE}"/>
  <sortState xmlns:xlrd2="http://schemas.microsoft.com/office/spreadsheetml/2017/richdata2" ref="A2:I47">
    <sortCondition ref="D1:D47"/>
  </sortState>
  <tableColumns count="12">
    <tableColumn id="1" xr3:uid="{2E7E1FC2-1957-410D-A64B-78A663D244DD}" uniqueName="1" name="Id" queryTableFieldId="1" dataDxfId="11"/>
    <tableColumn id="2" xr3:uid="{A1B152F2-837C-4265-A362-6CB09319227A}" uniqueName="2" name="Designator" queryTableFieldId="2" dataDxfId="10"/>
    <tableColumn id="3" xr3:uid="{1FCD6F60-56E7-41BB-9034-B55C5E46D042}" uniqueName="3" name="Package" queryTableFieldId="3" dataDxfId="9"/>
    <tableColumn id="9" xr3:uid="{6060499A-580E-46F5-846F-C36EF216E025}" uniqueName="9" name="Type" queryTableFieldId="9" dataDxfId="8"/>
    <tableColumn id="4" xr3:uid="{10F06B92-4337-44AF-B63B-C8512EC81C0B}" uniqueName="4" name="Quantity" queryTableFieldId="4" dataDxfId="7"/>
    <tableColumn id="5" xr3:uid="{6CF80118-A55E-418B-B5F8-F2124E71C2AC}" uniqueName="5" name="Designation" queryTableFieldId="5" dataDxfId="6"/>
    <tableColumn id="6" xr3:uid="{68E7913F-8719-4E05-AA84-456C567344F0}" uniqueName="6" name="Link" queryTableFieldId="6" dataDxfId="5"/>
    <tableColumn id="7" xr3:uid="{CD05D6E1-A439-4C9A-8BA2-F91EE6F9F4D7}" uniqueName="7" name="Cena Netto" queryTableFieldId="7" dataDxfId="4"/>
    <tableColumn id="8" xr3:uid="{AAB84CC6-ABD1-425D-BB77-E56DCA714B4B}" uniqueName="8" name="Cena Netto2" queryTableFieldId="8" dataDxfId="3"/>
    <tableColumn id="10" xr3:uid="{DC8DFAC8-92B3-46AE-81AC-2B6CD6E744A4}" uniqueName="10" name="Sumaryczna Ilosc Elemetnow" queryTableFieldId="10" dataDxfId="2">
      <calculatedColumnFormula>$B$55*rysboard__2[[#This Row],[Quantity]]*1</calculatedColumnFormula>
    </tableColumn>
    <tableColumn id="11" xr3:uid="{80E15494-7FC5-471B-9EFC-821684E0C266}" uniqueName="11" name="Sumaryczna Cena" queryTableFieldId="11" dataDxfId="1">
      <calculatedColumnFormula>rysboard__2[[#This Row],[Sumaryczna Ilosc Elemetnow]]*rysboard__2[[#This Row],[Cena Netto2]]</calculatedColumnFormula>
    </tableColumn>
    <tableColumn id="12" xr3:uid="{C1545E45-992F-43B2-B8C8-2192A8D66D21}" uniqueName="12" name="Czy dodane do koszyka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P2075UFDB-7/7930779" TargetMode="External"/><Relationship Id="rId13" Type="http://schemas.openxmlformats.org/officeDocument/2006/relationships/hyperlink" Target="https://www.tme.eu/pl/details/sk52-dio/diody-schottky-smd/diotec-semiconductor/sk52/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2" Type="http://schemas.openxmlformats.org/officeDocument/2006/relationships/hyperlink" Target="https://pl.mouser.com/ProductDetail/Bourns/SF-1206HIA300M-2?qs=GBLSl2AkirtSZzK8%2FgIDl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hyperlink" Target="https://pl.mouser.com/ProductDetail/ON-Semiconductor/NSR20F30NXT5G?qs=%2Fha2pyFaduiT4QgHJMtCRYYTP822FXVVx%2F52TlFmV4oVU2Zly4FJHw%3D%3D" TargetMode="External"/><Relationship Id="rId5" Type="http://schemas.openxmlformats.org/officeDocument/2006/relationships/hyperlink" Target="https://eu.mouser.com/ProductDetail/Wurth-Elektronik/885012206073?qs=0KOYDY2FL2%2F1RJfN8s28LA%3D%3D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pl.mouser.com/ProductDetail/Littelfuse/SZ1SMA15CAT3G?qs=sK5eIuwOod7pHTMBXRlUWw%3D%3D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Welwyn-Components-TT-Electronics/MFC1206-R01FT5?qs=sGAEpiMZZMtlubZbdhIBIOU49y9sWEe5tTvwbPszI4g%3D" TargetMode="External"/><Relationship Id="rId13" Type="http://schemas.openxmlformats.org/officeDocument/2006/relationships/hyperlink" Target="https://pl.mouser.com/ProductDetail/Bourns/SF-1206HIA300M-2?qs=GBLSl2AkirtSZzK8%2FgIDlg%3D%3D" TargetMode="External"/><Relationship Id="rId18" Type="http://schemas.openxmlformats.org/officeDocument/2006/relationships/hyperlink" Target="https://eu.mouser.com/ProductDetail/ROHM-Semiconductor/SFR03EZPF1002?qs=sGAEpiMZZMtlubZbdhIBIIR71ikvQRXL3s99k%2FjVgiA%3D" TargetMode="External"/><Relationship Id="rId26" Type="http://schemas.openxmlformats.org/officeDocument/2006/relationships/hyperlink" Target="https://eu.mouser.com/ProductDetail/Vishay-Dale/CRCW0603100KFKEAC?qs=sGAEpiMZZMtlubZbdhIBIIZe04wfiaJWGPWKSQhf9Xo%3D" TargetMode="External"/><Relationship Id="rId39" Type="http://schemas.openxmlformats.org/officeDocument/2006/relationships/hyperlink" Target="https://pl.mouser.com/ProductDetail/Vishay-Dale/TFPTL15L5001FL2B?qs=sGAEpiMZZMsAYIPNLIqEPLUa6ijTV2LatnsYz3vSJaw%3D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21" Type="http://schemas.openxmlformats.org/officeDocument/2006/relationships/hyperlink" Target="https://eu.mouser.com/ProductDetail/Yageo/RC0603FR-07100RL?qs=sGAEpiMZZMtlubZbdhIBICtsPjK35vDHFEzhP8agZzw%3D" TargetMode="External"/><Relationship Id="rId34" Type="http://schemas.openxmlformats.org/officeDocument/2006/relationships/hyperlink" Target="https://pl.mouser.com/ProductDetail/Taiwan-Semiconductor/TSZU52C13-RGG?qs=%2Fha2pyFadujL0%2FrsIT9efJxDfYUOHnUakkLC8lXGJ46cvXaGqIUX5A%3D%3D" TargetMode="External"/><Relationship Id="rId42" Type="http://schemas.openxmlformats.org/officeDocument/2006/relationships/hyperlink" Target="https://pl.mouser.com/ProductDetail/Nexperia/74HC2G00DC125?qs=P62ublwmbi%252Bf3XOH0C58Ng%3D%3D" TargetMode="External"/><Relationship Id="rId7" Type="http://schemas.openxmlformats.org/officeDocument/2006/relationships/hyperlink" Target="https://pl.mouser.com/ProductDetail/Susumu/RR0816P-4022-D-59C?qs=nCAm%252BcMdy9weaX%252Bt4a%2FdXg%3D%3D" TargetMode="External"/><Relationship Id="rId12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7" Type="http://schemas.openxmlformats.org/officeDocument/2006/relationships/hyperlink" Target="https://eu.mouser.com/ProductDetail/KEMET/T491D476M020AT7280?qs=rZB7yXOqaoumitdB3y4Ihg%3D%3D" TargetMode="External"/><Relationship Id="rId25" Type="http://schemas.openxmlformats.org/officeDocument/2006/relationships/hyperlink" Target="https://eu.mouser.com/ProductDetail/Vishay-Dale/CRCW060320K0FKEAC?qs=sGAEpiMZZMtlubZbdhIBIIZe04wfiaJWluRym%252BhQ1eU%3D" TargetMode="External"/><Relationship Id="rId33" Type="http://schemas.openxmlformats.org/officeDocument/2006/relationships/hyperlink" Target="https://pl.mouser.com/ProductDetail/Bourns/CD0603-Z3?qs=%2Fha2pyFadujPAOV5JeEqBSlylJgfwvzGdhwGB%2FwmVrA%3D" TargetMode="External"/><Relationship Id="rId38" Type="http://schemas.openxmlformats.org/officeDocument/2006/relationships/hyperlink" Target="https://pl.mouser.com/ProductDetail/ON-Semiconductor-Fairchild/FDG6304P?qs=%2Fha2pyFaduh4nY0umwtV%252BltF3kBr40C7oNAtftyznPQ%3D" TargetMode="External"/><Relationship Id="rId46" Type="http://schemas.openxmlformats.org/officeDocument/2006/relationships/table" Target="../tables/table2.xml"/><Relationship Id="rId2" Type="http://schemas.openxmlformats.org/officeDocument/2006/relationships/hyperlink" Target="https://eu.mouser.com/ProductDetail/AVX/06033C104KAT4A?qs=8C2chATdSPiv3E9zfPZulg%3D%3D" TargetMode="External"/><Relationship Id="rId16" Type="http://schemas.openxmlformats.org/officeDocument/2006/relationships/hyperlink" Target="https://www.newark.com/molex/22-11-2032/connector-header-3pos-1row-2-54mm/dp/81C8218?ost=0022112032&amp;CMP=AFC-MOLEX&amp;krypto=ZchJYUSt9JoGRlfGr8ihPzM7V3GX773Zlz%2FZYddpEAcQG8fZxi8hshIODsJJxIFAi%2BuHMcDuMKo3zS02f%2B1zBAKEW825NUCNi%2BWqbPbmR1qDr3fHTg3J5NZz7MQJYPo%2B" TargetMode="External"/><Relationship Id="rId20" Type="http://schemas.openxmlformats.org/officeDocument/2006/relationships/hyperlink" Target="https://pl.mouser.com/ProductDetail/Susumu/RR0816P-114-D?qs=nCAm%252BcMdy9ywlgvThO5LLA%3D%3D" TargetMode="External"/><Relationship Id="rId29" Type="http://schemas.openxmlformats.org/officeDocument/2006/relationships/hyperlink" Target="https://eu.mouser.com/ProductDetail/Panasonic/ERJ-1TY0R00U?qs=B4FmFqZlmaG2IVFwRSZ6yQ%3D%3D" TargetMode="External"/><Relationship Id="rId41" Type="http://schemas.openxmlformats.org/officeDocument/2006/relationships/hyperlink" Target="https://pl.mouser.com/ProductDetail/STMicroelectronics/STM32G031K6U6?qs=uwxL4vQweFNQLHMQe2MzpQ%3D%3D" TargetMode="External"/><Relationship Id="rId1" Type="http://schemas.openxmlformats.org/officeDocument/2006/relationships/hyperlink" Target="https://eu.mouser.com/ProductDetail/Wurth-Elektronik/885012206073?qs=0KOYDY2FL2%2F1RJfN8s28LA%3D%3D" TargetMode="External"/><Relationship Id="rId6" Type="http://schemas.openxmlformats.org/officeDocument/2006/relationships/hyperlink" Target="https://www.tme.eu/pl/details/sk52-dio/diody-schottky-smd/diotec-semiconductor/sk52/" TargetMode="External"/><Relationship Id="rId11" Type="http://schemas.openxmlformats.org/officeDocument/2006/relationships/hyperlink" Target="https://pl.farnell.com/stmicroelectronics/l6470h/motor-driver-microstpng-7a-28htssop/dp/2309411?st=l6470" TargetMode="External"/><Relationship Id="rId24" Type="http://schemas.openxmlformats.org/officeDocument/2006/relationships/hyperlink" Target="https://pl.mouser.com/ProductDetail/Susumu/RR0816P-4991-D-68H?qs=nCAm%252BcMdy9xz1Qn%2FqPqpZQ%3D%3D" TargetMode="External"/><Relationship Id="rId32" Type="http://schemas.openxmlformats.org/officeDocument/2006/relationships/hyperlink" Target="https://pl.mouser.com/ProductDetail/ROHM-Semiconductor/KDZVTR20B?qs=%2Fha2pyFadujsnvAmP2ghRVTAepBGHmE57wMTMNTBYDsFwtwEG05eSQ%3D%3D" TargetMode="External"/><Relationship Id="rId37" Type="http://schemas.openxmlformats.org/officeDocument/2006/relationships/hyperlink" Target="https://pl.mouser.com/ProductDetail/Nexperia/PMV28XPEAR?qs=W%2FMpXkg%252BdQ6VcRCVGMTksA%3D%3D" TargetMode="External"/><Relationship Id="rId40" Type="http://schemas.openxmlformats.org/officeDocument/2006/relationships/hyperlink" Target="https://pl.mouser.com/ProductDetail/Vishay-Dale/TFPT0805L5001FV?qs=xyz6lfZ1ktK3YPNZpkbbDg%3D%3D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pl.mouser.com/ProductDetail/ON-Semiconductor/NSR20F30NXT5G?qs=%2Fha2pyFaduiT4QgHJMtCRYYTP822FXVVx%2F52TlFmV4oVU2Zly4FJHw%3D%3D" TargetMode="External"/><Relationship Id="rId15" Type="http://schemas.openxmlformats.org/officeDocument/2006/relationships/hyperlink" Target="https://eu.mouser.com/ProductDetail/Samsung-Electro-Mechanics/CL31B106KAHNFNE?qs=xZ%2FP%252Ba9zWqbvZ%2FuLWvQDdQ%3D%3D" TargetMode="External"/><Relationship Id="rId23" Type="http://schemas.openxmlformats.org/officeDocument/2006/relationships/hyperlink" Target="https://eu.mouser.com/ProductDetail/Panasonic/ERJ-3RBD102V?qs=sGAEpiMZZMtlubZbdhIBIIXcrW52q0JVVX5Ts2WILwc%3D" TargetMode="External"/><Relationship Id="rId28" Type="http://schemas.openxmlformats.org/officeDocument/2006/relationships/hyperlink" Target="https://eu.mouser.com/ProductDetail/ROHM-Semiconductor/SFR03EZPF6800?qs=sGAEpiMZZMtlubZbdhIBIDDTn0wYDoXKwUvmbBdFQAY%3D" TargetMode="External"/><Relationship Id="rId36" Type="http://schemas.openxmlformats.org/officeDocument/2006/relationships/hyperlink" Target="https://pl.mouser.com/ProductDetail/ON-Semiconductor/NST847BDP6T5G/?qs=MmNasGTH8pLyCpcKKvZZxA%3D%3D" TargetMode="External"/><Relationship Id="rId10" Type="http://schemas.openxmlformats.org/officeDocument/2006/relationships/hyperlink" Target="https://www.digikey.pl/product-detail/pl/stmicroeQlectronics/ST1S10PUR/497-6313-1-ND/1762234" TargetMode="External"/><Relationship Id="rId19" Type="http://schemas.openxmlformats.org/officeDocument/2006/relationships/hyperlink" Target="https://pl.mouser.com/ProductDetail/Susumu/RR0816P-273-D?qs=nCAm%252BcMdy9zBVcQEyxI7VA%3D%3D" TargetMode="External"/><Relationship Id="rId31" Type="http://schemas.openxmlformats.org/officeDocument/2006/relationships/hyperlink" Target="https://eu.mouser.com/ProductDetail/Toshiba/BAV99WLF?qs=BZBei1rCqCDkxbBm007JFw%3D%3D" TargetMode="External"/><Relationship Id="rId44" Type="http://schemas.openxmlformats.org/officeDocument/2006/relationships/hyperlink" Target="https://pl.mouser.com/ProductDetail/Diodes-Incorporated/AP7381-70SA-7?qs=y6ZabgHbY%252BwkmBrIihhOlA%3D%3D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eu.mouser.com/ProductDetail/Bourns/CR0603-FX-2102ELF?qs=sGAEpiMZZMtlubZbdhIBIH9Gi%2FydmsaGZGGoQsvBPC8%3D" TargetMode="External"/><Relationship Id="rId14" Type="http://schemas.openxmlformats.org/officeDocument/2006/relationships/hyperlink" Target="https://pl.mouser.com/ProductDetail/Texas-Instruments/LM74801QDRRRQ1?qs=zW32dvEIR3uHxOfYWHY8FQ%3D%3D" TargetMode="External"/><Relationship Id="rId22" Type="http://schemas.openxmlformats.org/officeDocument/2006/relationships/hyperlink" Target="https://eu.mouser.com/ProductDetail/KOA-Speer/RN731JTTD8981D25?qs=WR0rAXMhdH1Wz03jqw%252BnoA%3D%3D" TargetMode="External"/><Relationship Id="rId27" Type="http://schemas.openxmlformats.org/officeDocument/2006/relationships/hyperlink" Target="https://eu.mouser.com/ProductDetail/Vishay-Dale/CRCW06032K80FKEA?qs=sGAEpiMZZMtlubZbdhIBIGsHzuAMiu5R%2FGYrqmuGx4I%3D" TargetMode="External"/><Relationship Id="rId30" Type="http://schemas.openxmlformats.org/officeDocument/2006/relationships/hyperlink" Target="https://pl.mouser.com/ProductDetail/OSRAM-Opto-Semiconductors/KRTBDWLM3232-T4U6-JW%2BAAAB-J3%2BR4S6-5V?qs=DPoM0jnrROWJ%2F8aeLsBacQ%3D%3D" TargetMode="External"/><Relationship Id="rId35" Type="http://schemas.openxmlformats.org/officeDocument/2006/relationships/hyperlink" Target="https://pl.mouser.com/ProductDetail/Diodes-Incorporated/DMP3036SSD-13?qs=%2Fha2pyFaduhKVb%2F0aIkjbzxk3J46NxuNdIp34hZJJvSBcNC6g3fZRQ%3D%3D" TargetMode="External"/><Relationship Id="rId43" Type="http://schemas.openxmlformats.org/officeDocument/2006/relationships/hyperlink" Target="https://eu.mouser.com/ProductDetail/Texas-Instruments/INA181A1QDBVRQ1?qs=EBDBlbfErPx7yYU5sEta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59"/>
  <sheetViews>
    <sheetView topLeftCell="A13" zoomScaleNormal="100" workbookViewId="0">
      <selection activeCell="I59" sqref="I59"/>
    </sheetView>
  </sheetViews>
  <sheetFormatPr defaultRowHeight="15"/>
  <cols>
    <col min="2" max="2" width="5" bestFit="1" customWidth="1"/>
    <col min="3" max="3" width="77.7109375" bestFit="1" customWidth="1"/>
    <col min="4" max="4" width="60.5703125" bestFit="1" customWidth="1"/>
    <col min="5" max="5" width="7.5703125" bestFit="1" customWidth="1"/>
    <col min="6" max="6" width="11" bestFit="1" customWidth="1"/>
    <col min="7" max="7" width="17.42578125" bestFit="1" customWidth="1"/>
    <col min="8" max="8" width="81.140625" bestFit="1" customWidth="1"/>
    <col min="9" max="9" width="13.28515625" bestFit="1" customWidth="1"/>
    <col min="10" max="12" width="14.28515625" bestFit="1" customWidth="1"/>
  </cols>
  <sheetData>
    <row r="3" spans="2:12">
      <c r="B3" t="s">
        <v>6</v>
      </c>
      <c r="C3" t="s">
        <v>7</v>
      </c>
      <c r="D3" t="s">
        <v>8</v>
      </c>
      <c r="E3" t="s">
        <v>111</v>
      </c>
      <c r="F3" t="s">
        <v>9</v>
      </c>
      <c r="G3" t="s">
        <v>10</v>
      </c>
      <c r="H3" t="s">
        <v>0</v>
      </c>
      <c r="I3" t="s">
        <v>121</v>
      </c>
      <c r="J3" t="s">
        <v>212</v>
      </c>
      <c r="K3" t="s">
        <v>213</v>
      </c>
      <c r="L3" t="s">
        <v>214</v>
      </c>
    </row>
    <row r="4" spans="2:12" ht="23.25">
      <c r="E4" s="1"/>
      <c r="F4" s="5"/>
      <c r="H4" s="3"/>
    </row>
    <row r="5" spans="2:12">
      <c r="F5" s="5"/>
      <c r="J5" s="3"/>
    </row>
    <row r="6" spans="2:12">
      <c r="F6" s="5"/>
      <c r="J6" s="3"/>
    </row>
    <row r="7" spans="2:12">
      <c r="F7" s="5"/>
      <c r="J7" s="3"/>
    </row>
    <row r="8" spans="2:12">
      <c r="F8" s="5"/>
    </row>
    <row r="9" spans="2:12">
      <c r="F9" s="6"/>
    </row>
    <row r="18" spans="2:12">
      <c r="B18">
        <v>69</v>
      </c>
      <c r="C18" t="s">
        <v>207</v>
      </c>
      <c r="D18" t="s">
        <v>181</v>
      </c>
      <c r="E18" t="s">
        <v>210</v>
      </c>
      <c r="F18">
        <v>2</v>
      </c>
      <c r="G18" t="s">
        <v>181</v>
      </c>
      <c r="H18" t="s">
        <v>182</v>
      </c>
      <c r="J18">
        <v>2.61</v>
      </c>
      <c r="K18">
        <v>6</v>
      </c>
      <c r="L18">
        <v>1.6080000000000001</v>
      </c>
    </row>
    <row r="22" spans="2:12">
      <c r="B22">
        <v>33</v>
      </c>
      <c r="C22" t="s">
        <v>59</v>
      </c>
      <c r="D22" t="s">
        <v>60</v>
      </c>
      <c r="E22" t="s">
        <v>119</v>
      </c>
      <c r="F22">
        <v>2</v>
      </c>
      <c r="G22" t="s">
        <v>2</v>
      </c>
      <c r="H22" t="s">
        <v>161</v>
      </c>
      <c r="J22">
        <v>0.68600000000000005</v>
      </c>
      <c r="K22">
        <v>12</v>
      </c>
      <c r="L22">
        <v>6.5856000000000003</v>
      </c>
    </row>
    <row r="23" spans="2:12">
      <c r="B23">
        <v>34</v>
      </c>
      <c r="C23" t="s">
        <v>193</v>
      </c>
      <c r="D23" t="s">
        <v>64</v>
      </c>
      <c r="E23" t="s">
        <v>119</v>
      </c>
      <c r="F23">
        <v>2</v>
      </c>
      <c r="G23" t="s">
        <v>1</v>
      </c>
      <c r="H23" t="s">
        <v>162</v>
      </c>
      <c r="J23">
        <v>1.25</v>
      </c>
      <c r="K23">
        <v>18</v>
      </c>
      <c r="L23">
        <v>4.9967999999999995</v>
      </c>
    </row>
    <row r="24" spans="2:12">
      <c r="B24">
        <v>59</v>
      </c>
      <c r="C24" t="s">
        <v>199</v>
      </c>
      <c r="D24" t="s">
        <v>62</v>
      </c>
      <c r="E24" t="s">
        <v>119</v>
      </c>
      <c r="F24">
        <v>3</v>
      </c>
      <c r="G24" t="s">
        <v>63</v>
      </c>
      <c r="H24" t="s">
        <v>160</v>
      </c>
      <c r="J24">
        <v>0.34699999999999998</v>
      </c>
      <c r="K24">
        <v>18</v>
      </c>
      <c r="L24">
        <v>18</v>
      </c>
    </row>
    <row r="25" spans="2:12">
      <c r="B25">
        <v>66</v>
      </c>
      <c r="C25" t="s">
        <v>202</v>
      </c>
      <c r="D25" t="s">
        <v>42</v>
      </c>
      <c r="E25" t="s">
        <v>119</v>
      </c>
      <c r="F25">
        <v>4</v>
      </c>
      <c r="G25" t="s">
        <v>218</v>
      </c>
      <c r="H25" t="s">
        <v>217</v>
      </c>
      <c r="I25" t="s">
        <v>187</v>
      </c>
      <c r="J25">
        <v>0.38100000000000001</v>
      </c>
      <c r="K25">
        <v>12</v>
      </c>
      <c r="L25">
        <v>4.8959999999999999</v>
      </c>
    </row>
    <row r="26" spans="2:12">
      <c r="B26">
        <v>70</v>
      </c>
      <c r="C26" t="s">
        <v>208</v>
      </c>
      <c r="D26" t="s">
        <v>209</v>
      </c>
      <c r="E26" t="s">
        <v>119</v>
      </c>
      <c r="F26">
        <v>1</v>
      </c>
      <c r="G26" t="s">
        <v>180</v>
      </c>
      <c r="H26" t="s">
        <v>179</v>
      </c>
      <c r="J26">
        <v>0.39</v>
      </c>
      <c r="K26">
        <v>132</v>
      </c>
      <c r="L26">
        <v>3.0623999999999998</v>
      </c>
    </row>
    <row r="44" spans="2:12">
      <c r="B44">
        <v>11</v>
      </c>
      <c r="C44" t="s">
        <v>29</v>
      </c>
      <c r="D44" t="s">
        <v>30</v>
      </c>
      <c r="E44" t="s">
        <v>114</v>
      </c>
      <c r="F44">
        <v>2</v>
      </c>
      <c r="G44" t="s">
        <v>31</v>
      </c>
      <c r="H44" t="s">
        <v>153</v>
      </c>
      <c r="J44">
        <v>8.8000000000000007</v>
      </c>
      <c r="K44">
        <v>6</v>
      </c>
      <c r="L44">
        <v>7.5839999999999996</v>
      </c>
    </row>
    <row r="45" spans="2:12">
      <c r="B45">
        <v>51</v>
      </c>
      <c r="C45" t="s">
        <v>93</v>
      </c>
      <c r="D45" t="s">
        <v>94</v>
      </c>
      <c r="E45" t="s">
        <v>114</v>
      </c>
      <c r="F45">
        <v>1</v>
      </c>
      <c r="G45" t="s">
        <v>95</v>
      </c>
      <c r="H45" t="s">
        <v>157</v>
      </c>
      <c r="J45">
        <v>1.83</v>
      </c>
      <c r="K45">
        <v>12</v>
      </c>
      <c r="L45">
        <v>84.48</v>
      </c>
    </row>
    <row r="46" spans="2:12">
      <c r="B46">
        <v>52</v>
      </c>
      <c r="C46" t="s">
        <v>96</v>
      </c>
      <c r="D46" t="s">
        <v>97</v>
      </c>
      <c r="E46" t="s">
        <v>114</v>
      </c>
      <c r="F46">
        <v>1</v>
      </c>
      <c r="G46" t="s">
        <v>98</v>
      </c>
      <c r="H46" t="s">
        <v>156</v>
      </c>
      <c r="J46">
        <v>0.34699999999999998</v>
      </c>
      <c r="K46">
        <v>6</v>
      </c>
      <c r="L46">
        <v>8.7840000000000007</v>
      </c>
    </row>
    <row r="47" spans="2:12">
      <c r="B47">
        <v>53</v>
      </c>
      <c r="C47" t="s">
        <v>99</v>
      </c>
      <c r="D47" t="s">
        <v>18</v>
      </c>
      <c r="E47" t="s">
        <v>114</v>
      </c>
      <c r="F47">
        <v>1</v>
      </c>
      <c r="G47" t="s">
        <v>100</v>
      </c>
      <c r="H47" t="s">
        <v>154</v>
      </c>
      <c r="J47">
        <v>0.53400000000000003</v>
      </c>
      <c r="K47">
        <v>6</v>
      </c>
      <c r="L47">
        <v>1.6655999999999997</v>
      </c>
    </row>
    <row r="48" spans="2:12">
      <c r="B48">
        <v>60</v>
      </c>
      <c r="C48" t="s">
        <v>109</v>
      </c>
      <c r="D48" t="s">
        <v>42</v>
      </c>
      <c r="E48" t="s">
        <v>114</v>
      </c>
      <c r="F48">
        <v>1</v>
      </c>
      <c r="G48" t="s">
        <v>220</v>
      </c>
      <c r="H48" t="s">
        <v>155</v>
      </c>
      <c r="J48">
        <v>0.34699999999999998</v>
      </c>
      <c r="K48">
        <v>6</v>
      </c>
      <c r="L48">
        <v>2.5632000000000001</v>
      </c>
    </row>
    <row r="49" spans="2:12">
      <c r="B49">
        <v>65</v>
      </c>
      <c r="C49" t="s">
        <v>24</v>
      </c>
      <c r="D49" t="s">
        <v>201</v>
      </c>
      <c r="E49" t="s">
        <v>114</v>
      </c>
      <c r="F49">
        <v>1</v>
      </c>
      <c r="G49" t="s">
        <v>25</v>
      </c>
      <c r="H49" t="s">
        <v>167</v>
      </c>
      <c r="J49">
        <v>1.58</v>
      </c>
      <c r="K49">
        <v>6</v>
      </c>
      <c r="L49">
        <v>1.6655999999999997</v>
      </c>
    </row>
    <row r="55" spans="2:12" ht="33.75">
      <c r="I55" t="s">
        <v>183</v>
      </c>
      <c r="J55" s="18">
        <v>4.5599999999999996</v>
      </c>
    </row>
    <row r="57" spans="2:12">
      <c r="H57" t="s">
        <v>186</v>
      </c>
      <c r="I57" t="s">
        <v>126</v>
      </c>
      <c r="J57" t="s">
        <v>184</v>
      </c>
      <c r="K57" t="s">
        <v>185</v>
      </c>
    </row>
    <row r="58" spans="2:12">
      <c r="H58">
        <v>5</v>
      </c>
      <c r="I58" s="17">
        <f>SUM(#REF!)</f>
        <v>145.89120000000003</v>
      </c>
      <c r="J58" s="19">
        <f>I58*J55</f>
        <v>665.26387200000011</v>
      </c>
      <c r="K58" s="19">
        <f>J58*1.23</f>
        <v>818.27456256000016</v>
      </c>
    </row>
    <row r="59" spans="2:12">
      <c r="I59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B4:L58"/>
  <sheetViews>
    <sheetView topLeftCell="A4" workbookViewId="0">
      <selection activeCell="H67" sqref="H67"/>
    </sheetView>
  </sheetViews>
  <sheetFormatPr defaultRowHeight="15"/>
  <cols>
    <col min="2" max="2" width="5.7109375" bestFit="1" customWidth="1"/>
    <col min="3" max="3" width="77.7109375" bestFit="1" customWidth="1"/>
    <col min="4" max="4" width="60.5703125" bestFit="1" customWidth="1"/>
    <col min="5" max="5" width="9" bestFit="1" customWidth="1"/>
    <col min="6" max="6" width="13.5703125" bestFit="1" customWidth="1"/>
    <col min="7" max="7" width="20.5703125" bestFit="1" customWidth="1"/>
    <col min="8" max="8" width="81.140625" bestFit="1" customWidth="1"/>
    <col min="9" max="9" width="16.5703125" bestFit="1" customWidth="1"/>
    <col min="10" max="12" width="18" bestFit="1" customWidth="1"/>
  </cols>
  <sheetData>
    <row r="4" spans="2:12" ht="18.75">
      <c r="B4" s="7" t="s">
        <v>6</v>
      </c>
      <c r="C4" s="7" t="s">
        <v>7</v>
      </c>
      <c r="D4" s="9" t="s">
        <v>8</v>
      </c>
      <c r="E4" s="9" t="s">
        <v>111</v>
      </c>
      <c r="F4" s="7" t="s">
        <v>9</v>
      </c>
      <c r="G4" s="20" t="s">
        <v>10</v>
      </c>
      <c r="H4" s="7" t="s">
        <v>0</v>
      </c>
      <c r="I4" s="7" t="s">
        <v>121</v>
      </c>
      <c r="J4" s="7" t="s">
        <v>212</v>
      </c>
      <c r="K4" s="7" t="s">
        <v>213</v>
      </c>
      <c r="L4" s="7" t="s">
        <v>214</v>
      </c>
    </row>
    <row r="5" spans="2:12" ht="18.75">
      <c r="B5" s="7"/>
      <c r="C5" s="7"/>
      <c r="D5" s="7"/>
      <c r="E5" s="9"/>
      <c r="F5" s="7"/>
      <c r="G5" s="7"/>
      <c r="H5" s="7"/>
      <c r="I5" s="8"/>
      <c r="J5" s="7"/>
      <c r="K5" s="7"/>
    </row>
    <row r="6" spans="2:12" ht="18.75">
      <c r="B6" s="7"/>
      <c r="C6" s="7"/>
      <c r="D6" s="7"/>
      <c r="E6" s="9"/>
      <c r="F6" s="7"/>
      <c r="G6" s="7"/>
      <c r="H6" s="7"/>
      <c r="I6" s="8"/>
      <c r="J6" s="7"/>
      <c r="K6" s="7"/>
    </row>
    <row r="7" spans="2:12" ht="18.75">
      <c r="B7" s="7"/>
      <c r="C7" s="7"/>
      <c r="D7" s="7"/>
      <c r="E7" s="9"/>
      <c r="F7" s="7"/>
      <c r="G7" s="7"/>
      <c r="H7" s="7"/>
      <c r="I7" s="8"/>
      <c r="J7" s="7"/>
      <c r="K7" s="7"/>
    </row>
    <row r="8" spans="2:12" ht="18.75">
      <c r="B8" s="7"/>
      <c r="C8" s="7"/>
      <c r="D8" s="7"/>
      <c r="E8" s="9"/>
      <c r="F8" s="7"/>
      <c r="G8" s="7"/>
      <c r="H8" s="7"/>
      <c r="I8" s="7"/>
      <c r="J8" s="7"/>
      <c r="K8" s="7"/>
    </row>
    <row r="9" spans="2:12" ht="18.75">
      <c r="B9" s="7"/>
      <c r="C9" s="7"/>
      <c r="D9" s="7"/>
      <c r="E9" s="7"/>
      <c r="F9" s="7"/>
      <c r="G9" s="7"/>
      <c r="H9" s="7"/>
      <c r="I9" s="7"/>
      <c r="J9" s="7"/>
      <c r="K9" s="7"/>
    </row>
    <row r="10" spans="2:12" ht="18.75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2:12" ht="18.7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2" ht="18.7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2" ht="18.7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2" ht="18.75">
      <c r="B14" s="7"/>
      <c r="C14" s="7"/>
      <c r="D14" s="7"/>
      <c r="E14" s="7"/>
      <c r="F14" s="7"/>
      <c r="G14" s="7"/>
      <c r="H14" s="7"/>
      <c r="I14" s="7"/>
      <c r="J14" s="7"/>
      <c r="K14" s="7"/>
    </row>
    <row r="18" spans="2:12">
      <c r="B18">
        <v>31</v>
      </c>
      <c r="C18" t="s">
        <v>53</v>
      </c>
      <c r="D18" t="s">
        <v>54</v>
      </c>
      <c r="E18" t="s">
        <v>118</v>
      </c>
      <c r="F18">
        <v>2</v>
      </c>
      <c r="G18" t="s">
        <v>55</v>
      </c>
      <c r="H18" t="s">
        <v>172</v>
      </c>
      <c r="J18">
        <v>0.90600000000000003</v>
      </c>
      <c r="K18">
        <v>6</v>
      </c>
      <c r="L18">
        <v>4.3487999999999998</v>
      </c>
    </row>
    <row r="20" spans="2:12">
      <c r="B20">
        <v>32</v>
      </c>
      <c r="C20" t="s">
        <v>56</v>
      </c>
      <c r="D20" t="s">
        <v>57</v>
      </c>
      <c r="E20" t="s">
        <v>115</v>
      </c>
      <c r="F20">
        <v>1</v>
      </c>
      <c r="G20" t="s">
        <v>58</v>
      </c>
      <c r="H20" t="s">
        <v>175</v>
      </c>
      <c r="J20">
        <v>0.33500000000000002</v>
      </c>
      <c r="K20">
        <v>6</v>
      </c>
      <c r="L20">
        <v>3.36</v>
      </c>
    </row>
    <row r="21" spans="2:12">
      <c r="B21">
        <v>63</v>
      </c>
      <c r="C21" t="s">
        <v>106</v>
      </c>
      <c r="D21" t="s">
        <v>200</v>
      </c>
      <c r="E21" t="s">
        <v>115</v>
      </c>
      <c r="F21">
        <v>1</v>
      </c>
      <c r="G21" t="s">
        <v>108</v>
      </c>
      <c r="H21" t="s">
        <v>176</v>
      </c>
      <c r="J21">
        <v>0.7</v>
      </c>
      <c r="K21">
        <v>6</v>
      </c>
      <c r="L21">
        <v>1.9679999999999997</v>
      </c>
    </row>
    <row r="22" spans="2:12">
      <c r="B22">
        <v>6</v>
      </c>
      <c r="C22" t="s">
        <v>19</v>
      </c>
      <c r="D22" t="s">
        <v>20</v>
      </c>
      <c r="E22" t="s">
        <v>116</v>
      </c>
      <c r="F22">
        <v>1</v>
      </c>
      <c r="G22" t="s">
        <v>21</v>
      </c>
      <c r="H22" t="s">
        <v>174</v>
      </c>
      <c r="J22">
        <v>0.41</v>
      </c>
      <c r="K22">
        <v>12</v>
      </c>
      <c r="L22">
        <v>3.7439999999999998</v>
      </c>
    </row>
    <row r="28" spans="2:12">
      <c r="B28">
        <v>3</v>
      </c>
      <c r="C28" t="s">
        <v>188</v>
      </c>
      <c r="D28" t="s">
        <v>11</v>
      </c>
      <c r="E28" t="s">
        <v>112</v>
      </c>
      <c r="F28">
        <v>21</v>
      </c>
      <c r="G28" t="s">
        <v>189</v>
      </c>
      <c r="H28" t="s">
        <v>122</v>
      </c>
      <c r="J28">
        <v>2.9000000000000001E-2</v>
      </c>
      <c r="K28">
        <v>30</v>
      </c>
      <c r="L28">
        <v>15.24</v>
      </c>
    </row>
    <row r="29" spans="2:12">
      <c r="B29">
        <v>35</v>
      </c>
      <c r="C29" t="s">
        <v>67</v>
      </c>
      <c r="D29" t="s">
        <v>11</v>
      </c>
      <c r="E29" t="s">
        <v>112</v>
      </c>
      <c r="F29">
        <v>5</v>
      </c>
      <c r="G29" t="s">
        <v>68</v>
      </c>
      <c r="H29" t="s">
        <v>139</v>
      </c>
      <c r="J29">
        <v>0.63500000000000001</v>
      </c>
      <c r="K29">
        <v>12</v>
      </c>
      <c r="L29">
        <v>0.81600000000000006</v>
      </c>
    </row>
    <row r="30" spans="2:12">
      <c r="B30">
        <v>36</v>
      </c>
      <c r="C30" t="s">
        <v>69</v>
      </c>
      <c r="D30" t="s">
        <v>11</v>
      </c>
      <c r="E30" t="s">
        <v>112</v>
      </c>
      <c r="F30">
        <v>2</v>
      </c>
      <c r="G30" t="s">
        <v>70</v>
      </c>
      <c r="H30" t="s">
        <v>139</v>
      </c>
      <c r="J30">
        <v>8.5000000000000006E-2</v>
      </c>
      <c r="K30">
        <v>24</v>
      </c>
      <c r="L30">
        <v>1.6320000000000001</v>
      </c>
    </row>
    <row r="31" spans="2:12">
      <c r="B31">
        <v>37</v>
      </c>
      <c r="C31" t="s">
        <v>194</v>
      </c>
      <c r="D31" t="s">
        <v>11</v>
      </c>
      <c r="E31" t="s">
        <v>112</v>
      </c>
      <c r="F31">
        <v>7</v>
      </c>
      <c r="G31" t="s">
        <v>195</v>
      </c>
      <c r="H31" t="s">
        <v>139</v>
      </c>
      <c r="J31">
        <v>8.5000000000000006E-2</v>
      </c>
      <c r="K31">
        <v>6</v>
      </c>
      <c r="L31">
        <v>0.40800000000000003</v>
      </c>
    </row>
    <row r="32" spans="2:12">
      <c r="B32">
        <v>40</v>
      </c>
      <c r="C32" t="s">
        <v>72</v>
      </c>
      <c r="D32" t="s">
        <v>11</v>
      </c>
      <c r="E32" t="s">
        <v>112</v>
      </c>
      <c r="F32">
        <v>1</v>
      </c>
      <c r="G32" t="s">
        <v>73</v>
      </c>
      <c r="H32" t="s">
        <v>136</v>
      </c>
      <c r="J32">
        <v>8.5000000000000006E-2</v>
      </c>
      <c r="K32">
        <v>30</v>
      </c>
      <c r="L32">
        <v>2.04</v>
      </c>
    </row>
    <row r="33" spans="2:12">
      <c r="B33">
        <v>41</v>
      </c>
      <c r="C33" t="s">
        <v>196</v>
      </c>
      <c r="D33" t="s">
        <v>11</v>
      </c>
      <c r="E33" t="s">
        <v>112</v>
      </c>
      <c r="F33">
        <v>6</v>
      </c>
      <c r="G33" t="s">
        <v>75</v>
      </c>
      <c r="H33" t="s">
        <v>135</v>
      </c>
      <c r="J33">
        <v>8.5000000000000006E-2</v>
      </c>
      <c r="K33">
        <v>6</v>
      </c>
      <c r="L33">
        <v>1.6272</v>
      </c>
    </row>
    <row r="34" spans="2:12">
      <c r="B34">
        <v>42</v>
      </c>
      <c r="C34" t="s">
        <v>76</v>
      </c>
      <c r="D34" t="s">
        <v>77</v>
      </c>
      <c r="E34" t="s">
        <v>112</v>
      </c>
      <c r="F34">
        <v>1</v>
      </c>
      <c r="G34" t="s">
        <v>78</v>
      </c>
      <c r="H34" t="s">
        <v>134</v>
      </c>
      <c r="J34">
        <v>0.33900000000000002</v>
      </c>
      <c r="K34">
        <v>6</v>
      </c>
      <c r="L34">
        <v>0.7248</v>
      </c>
    </row>
    <row r="35" spans="2:12">
      <c r="B35">
        <v>44</v>
      </c>
      <c r="C35" t="s">
        <v>79</v>
      </c>
      <c r="D35" t="s">
        <v>11</v>
      </c>
      <c r="E35" t="s">
        <v>112</v>
      </c>
      <c r="F35">
        <v>1</v>
      </c>
      <c r="G35" t="s">
        <v>80</v>
      </c>
      <c r="H35" t="s">
        <v>133</v>
      </c>
      <c r="J35">
        <v>0.151</v>
      </c>
      <c r="K35">
        <v>36</v>
      </c>
      <c r="L35">
        <v>2.448</v>
      </c>
    </row>
    <row r="36" spans="2:12">
      <c r="B36">
        <v>45</v>
      </c>
      <c r="C36" t="s">
        <v>197</v>
      </c>
      <c r="D36" t="s">
        <v>11</v>
      </c>
      <c r="E36" t="s">
        <v>112</v>
      </c>
      <c r="F36">
        <v>6</v>
      </c>
      <c r="G36" t="s">
        <v>81</v>
      </c>
      <c r="H36" t="s">
        <v>132</v>
      </c>
      <c r="J36">
        <v>8.5000000000000006E-2</v>
      </c>
      <c r="K36">
        <v>12</v>
      </c>
      <c r="L36">
        <v>27.84</v>
      </c>
    </row>
    <row r="37" spans="2:12">
      <c r="B37">
        <v>46</v>
      </c>
      <c r="C37" t="s">
        <v>82</v>
      </c>
      <c r="D37" t="s">
        <v>11</v>
      </c>
      <c r="E37" t="s">
        <v>112</v>
      </c>
      <c r="F37">
        <v>2</v>
      </c>
      <c r="G37" t="s">
        <v>83</v>
      </c>
      <c r="H37" t="s">
        <v>131</v>
      </c>
      <c r="J37">
        <v>2.9</v>
      </c>
      <c r="K37">
        <v>6</v>
      </c>
      <c r="L37">
        <v>0.40800000000000003</v>
      </c>
    </row>
    <row r="38" spans="2:12">
      <c r="B38">
        <v>47</v>
      </c>
      <c r="C38" t="s">
        <v>84</v>
      </c>
      <c r="D38" t="s">
        <v>11</v>
      </c>
      <c r="E38" t="s">
        <v>112</v>
      </c>
      <c r="F38">
        <v>1</v>
      </c>
      <c r="G38" t="s">
        <v>85</v>
      </c>
      <c r="H38" t="s">
        <v>130</v>
      </c>
      <c r="J38">
        <v>8.5000000000000006E-2</v>
      </c>
      <c r="K38">
        <v>6</v>
      </c>
      <c r="L38">
        <v>0.40800000000000003</v>
      </c>
    </row>
    <row r="39" spans="2:12">
      <c r="B39">
        <v>48</v>
      </c>
      <c r="C39" t="s">
        <v>86</v>
      </c>
      <c r="D39" t="s">
        <v>11</v>
      </c>
      <c r="E39" t="s">
        <v>112</v>
      </c>
      <c r="F39">
        <v>1</v>
      </c>
      <c r="G39" t="s">
        <v>87</v>
      </c>
      <c r="H39" t="s">
        <v>129</v>
      </c>
      <c r="J39">
        <v>8.5000000000000006E-2</v>
      </c>
      <c r="K39">
        <v>6</v>
      </c>
      <c r="L39">
        <v>0.40800000000000003</v>
      </c>
    </row>
    <row r="40" spans="2:12">
      <c r="B40">
        <v>49</v>
      </c>
      <c r="C40" t="s">
        <v>198</v>
      </c>
      <c r="D40" t="s">
        <v>11</v>
      </c>
      <c r="E40" t="s">
        <v>112</v>
      </c>
      <c r="F40">
        <v>2</v>
      </c>
      <c r="G40" t="s">
        <v>89</v>
      </c>
      <c r="H40" t="s">
        <v>128</v>
      </c>
      <c r="J40">
        <v>8.5000000000000006E-2</v>
      </c>
      <c r="K40">
        <v>6</v>
      </c>
      <c r="L40">
        <v>0.40800000000000003</v>
      </c>
    </row>
    <row r="41" spans="2:12">
      <c r="B41">
        <v>56</v>
      </c>
      <c r="C41" t="s">
        <v>101</v>
      </c>
      <c r="D41" t="s">
        <v>11</v>
      </c>
      <c r="E41" t="s">
        <v>112</v>
      </c>
      <c r="F41">
        <v>1</v>
      </c>
      <c r="G41" t="s">
        <v>102</v>
      </c>
      <c r="H41" t="s">
        <v>140</v>
      </c>
      <c r="J41">
        <v>8.5000000000000006E-2</v>
      </c>
      <c r="K41">
        <v>6</v>
      </c>
      <c r="L41">
        <v>1.1375999999999999</v>
      </c>
    </row>
    <row r="42" spans="2:12">
      <c r="B42">
        <v>57</v>
      </c>
      <c r="C42" t="s">
        <v>103</v>
      </c>
      <c r="D42" t="s">
        <v>104</v>
      </c>
      <c r="E42" t="s">
        <v>112</v>
      </c>
      <c r="F42">
        <v>1</v>
      </c>
      <c r="G42" t="s">
        <v>105</v>
      </c>
      <c r="H42" t="s">
        <v>127</v>
      </c>
      <c r="J42">
        <v>0.23699999999999999</v>
      </c>
      <c r="K42">
        <v>12</v>
      </c>
      <c r="L42">
        <v>29.759999999999998</v>
      </c>
    </row>
    <row r="43" spans="2:12">
      <c r="B43">
        <v>66</v>
      </c>
      <c r="D43" t="s">
        <v>91</v>
      </c>
      <c r="F43">
        <v>2</v>
      </c>
      <c r="G43" t="s">
        <v>92</v>
      </c>
      <c r="H43" t="s">
        <v>178</v>
      </c>
      <c r="J43">
        <v>2.13</v>
      </c>
      <c r="K43">
        <v>12</v>
      </c>
      <c r="L43">
        <v>20.447999999999997</v>
      </c>
    </row>
    <row r="44" spans="2:12">
      <c r="B44">
        <v>50</v>
      </c>
      <c r="C44" t="s">
        <v>90</v>
      </c>
      <c r="D44" t="s">
        <v>91</v>
      </c>
      <c r="E44" t="s">
        <v>120</v>
      </c>
      <c r="F44">
        <v>2</v>
      </c>
      <c r="G44" t="s">
        <v>92</v>
      </c>
      <c r="H44" t="s">
        <v>177</v>
      </c>
      <c r="J44">
        <v>3.1</v>
      </c>
      <c r="K44">
        <v>12</v>
      </c>
      <c r="L44">
        <v>25.055999999999997</v>
      </c>
    </row>
    <row r="55" spans="7:10" ht="33.75">
      <c r="H55" t="s">
        <v>183</v>
      </c>
      <c r="I55" s="18">
        <v>4.5599999999999996</v>
      </c>
    </row>
    <row r="57" spans="7:10">
      <c r="G57" t="s">
        <v>186</v>
      </c>
      <c r="H57" t="s">
        <v>126</v>
      </c>
      <c r="I57" t="s">
        <v>184</v>
      </c>
      <c r="J57" t="s">
        <v>185</v>
      </c>
    </row>
    <row r="58" spans="7:10">
      <c r="G58">
        <v>5</v>
      </c>
      <c r="H58" s="17">
        <f>SUM(#REF!)</f>
        <v>144.2304</v>
      </c>
      <c r="I58" s="19">
        <f>H58*I55</f>
        <v>657.69062399999996</v>
      </c>
      <c r="J58" s="19">
        <f>I58*1.23</f>
        <v>808.95946751999998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2:K60"/>
  <sheetViews>
    <sheetView topLeftCell="A10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2" spans="1:11">
      <c r="A2" t="s">
        <v>6</v>
      </c>
      <c r="B2" t="s">
        <v>7</v>
      </c>
      <c r="C2" t="s">
        <v>8</v>
      </c>
      <c r="D2" t="s">
        <v>111</v>
      </c>
      <c r="E2" t="s">
        <v>9</v>
      </c>
      <c r="F2" t="s">
        <v>10</v>
      </c>
      <c r="G2" t="s">
        <v>0</v>
      </c>
      <c r="H2" t="s">
        <v>121</v>
      </c>
      <c r="I2" t="s">
        <v>212</v>
      </c>
      <c r="J2" t="s">
        <v>213</v>
      </c>
      <c r="K2" t="s">
        <v>214</v>
      </c>
    </row>
    <row r="18" spans="1:11">
      <c r="A18">
        <v>32</v>
      </c>
      <c r="B18" t="s">
        <v>56</v>
      </c>
      <c r="C18" t="s">
        <v>57</v>
      </c>
      <c r="D18" t="s">
        <v>115</v>
      </c>
      <c r="E18">
        <v>1</v>
      </c>
      <c r="F18" t="s">
        <v>58</v>
      </c>
      <c r="G18" t="s">
        <v>175</v>
      </c>
      <c r="I18">
        <v>0.33500000000000002</v>
      </c>
      <c r="J18">
        <v>6</v>
      </c>
      <c r="K18">
        <v>3.36</v>
      </c>
    </row>
    <row r="19" spans="1:11">
      <c r="A19">
        <v>63</v>
      </c>
      <c r="B19" t="s">
        <v>106</v>
      </c>
      <c r="C19" t="s">
        <v>200</v>
      </c>
      <c r="D19" t="s">
        <v>115</v>
      </c>
      <c r="E19">
        <v>1</v>
      </c>
      <c r="F19" t="s">
        <v>108</v>
      </c>
      <c r="G19" t="s">
        <v>176</v>
      </c>
      <c r="I19">
        <v>0.7</v>
      </c>
      <c r="J19">
        <v>6</v>
      </c>
      <c r="K19">
        <v>1.9679999999999997</v>
      </c>
    </row>
    <row r="57" spans="7:10" ht="33.75">
      <c r="H57" t="s">
        <v>183</v>
      </c>
      <c r="I57" s="18">
        <v>4.5599999999999996</v>
      </c>
    </row>
    <row r="59" spans="7:10">
      <c r="G59" t="s">
        <v>186</v>
      </c>
      <c r="H59" t="s">
        <v>126</v>
      </c>
      <c r="I59" t="s">
        <v>184</v>
      </c>
      <c r="J59" t="s">
        <v>185</v>
      </c>
    </row>
    <row r="60" spans="7:10">
      <c r="G60">
        <f>B60</f>
        <v>0</v>
      </c>
      <c r="H60" s="17">
        <f>SUM(#REF!)</f>
        <v>5.3279999999999994</v>
      </c>
      <c r="I60" s="19">
        <f>H60*I57</f>
        <v>24.295679999999994</v>
      </c>
      <c r="J60" s="19">
        <f>I60*1.23</f>
        <v>29.883686399999991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K66"/>
  <sheetViews>
    <sheetView topLeftCell="A7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4" spans="1:11">
      <c r="A4" t="s">
        <v>6</v>
      </c>
      <c r="B4" t="s">
        <v>7</v>
      </c>
      <c r="C4" s="10" t="s">
        <v>8</v>
      </c>
      <c r="D4" t="s">
        <v>111</v>
      </c>
      <c r="E4" t="s">
        <v>9</v>
      </c>
      <c r="F4" t="s">
        <v>10</v>
      </c>
      <c r="G4" t="s">
        <v>0</v>
      </c>
      <c r="H4" t="s">
        <v>121</v>
      </c>
      <c r="I4" t="s">
        <v>212</v>
      </c>
      <c r="J4" t="s">
        <v>213</v>
      </c>
      <c r="K4" t="s">
        <v>214</v>
      </c>
    </row>
    <row r="5" spans="1:11" ht="22.5">
      <c r="C5" s="10"/>
      <c r="D5" s="4"/>
      <c r="F5" s="3"/>
    </row>
    <row r="6" spans="1:11" ht="31.5">
      <c r="C6" s="10"/>
      <c r="D6" s="2"/>
    </row>
    <row r="7" spans="1:11">
      <c r="C7" s="10"/>
    </row>
    <row r="8" spans="1:11" ht="31.5">
      <c r="C8" s="10"/>
      <c r="D8" s="2"/>
      <c r="F8" s="3"/>
    </row>
    <row r="9" spans="1:11" ht="31.5">
      <c r="C9" s="10"/>
      <c r="D9" s="11"/>
      <c r="F9" s="3"/>
    </row>
    <row r="10" spans="1:11" ht="31.5">
      <c r="C10" s="10"/>
      <c r="D10" s="2"/>
    </row>
    <row r="11" spans="1:11">
      <c r="A11">
        <v>4</v>
      </c>
      <c r="B11" t="s">
        <v>13</v>
      </c>
      <c r="C11" s="10" t="s">
        <v>5</v>
      </c>
      <c r="D11" t="s">
        <v>113</v>
      </c>
      <c r="E11">
        <v>1</v>
      </c>
      <c r="F11" t="s">
        <v>14</v>
      </c>
      <c r="G11" t="s">
        <v>164</v>
      </c>
      <c r="I11">
        <v>0.76200000000000001</v>
      </c>
      <c r="J11">
        <v>6</v>
      </c>
      <c r="K11">
        <v>3.6576</v>
      </c>
    </row>
    <row r="12" spans="1:11">
      <c r="A12">
        <v>10</v>
      </c>
      <c r="B12" t="s">
        <v>26</v>
      </c>
      <c r="C12" s="10" t="s">
        <v>27</v>
      </c>
      <c r="D12" t="s">
        <v>113</v>
      </c>
      <c r="E12">
        <v>1</v>
      </c>
      <c r="F12" t="s">
        <v>28</v>
      </c>
      <c r="G12" t="s">
        <v>173</v>
      </c>
      <c r="I12">
        <v>0.14000000000000001</v>
      </c>
      <c r="J12">
        <v>36</v>
      </c>
      <c r="K12">
        <v>20.966399999999997</v>
      </c>
    </row>
    <row r="13" spans="1:11">
      <c r="A13">
        <v>28</v>
      </c>
      <c r="B13" t="s">
        <v>41</v>
      </c>
      <c r="C13" s="10" t="s">
        <v>42</v>
      </c>
      <c r="D13" t="s">
        <v>113</v>
      </c>
      <c r="E13">
        <v>2</v>
      </c>
      <c r="F13" t="s">
        <v>43</v>
      </c>
      <c r="G13" t="s">
        <v>152</v>
      </c>
      <c r="I13">
        <v>0.186</v>
      </c>
      <c r="J13">
        <v>6</v>
      </c>
      <c r="K13">
        <v>0.67200000000000004</v>
      </c>
    </row>
    <row r="14" spans="1:11">
      <c r="A14">
        <v>29</v>
      </c>
      <c r="B14" t="s">
        <v>44</v>
      </c>
      <c r="C14" s="10" t="s">
        <v>45</v>
      </c>
      <c r="D14" t="s">
        <v>113</v>
      </c>
      <c r="E14">
        <v>2</v>
      </c>
      <c r="F14" t="s">
        <v>46</v>
      </c>
      <c r="G14" t="s">
        <v>169</v>
      </c>
      <c r="I14">
        <v>0.373</v>
      </c>
      <c r="J14">
        <v>12</v>
      </c>
      <c r="K14">
        <v>1.7855999999999999</v>
      </c>
    </row>
    <row r="15" spans="1:11">
      <c r="A15">
        <v>30</v>
      </c>
      <c r="B15" t="s">
        <v>47</v>
      </c>
      <c r="C15" s="10" t="s">
        <v>48</v>
      </c>
      <c r="D15" t="s">
        <v>113</v>
      </c>
      <c r="E15">
        <v>1</v>
      </c>
      <c r="F15" t="s">
        <v>49</v>
      </c>
      <c r="G15" t="s">
        <v>170</v>
      </c>
      <c r="I15">
        <v>0.30499999999999999</v>
      </c>
      <c r="J15">
        <v>12</v>
      </c>
      <c r="K15">
        <v>3.5808</v>
      </c>
    </row>
    <row r="16" spans="1:11">
      <c r="A16">
        <v>67</v>
      </c>
      <c r="B16" t="s">
        <v>203</v>
      </c>
      <c r="C16" s="10" t="s">
        <v>204</v>
      </c>
      <c r="D16" t="s">
        <v>113</v>
      </c>
      <c r="E16">
        <v>2</v>
      </c>
      <c r="F16" t="s">
        <v>205</v>
      </c>
      <c r="G16" t="s">
        <v>215</v>
      </c>
      <c r="H16" t="s">
        <v>187</v>
      </c>
      <c r="I16">
        <v>0.38100000000000001</v>
      </c>
      <c r="J16">
        <v>6</v>
      </c>
      <c r="K16">
        <v>1.464</v>
      </c>
    </row>
    <row r="17" spans="1:11">
      <c r="A17">
        <v>68</v>
      </c>
      <c r="B17" t="s">
        <v>206</v>
      </c>
      <c r="C17" s="10" t="s">
        <v>204</v>
      </c>
      <c r="D17" t="s">
        <v>113</v>
      </c>
      <c r="E17">
        <v>4</v>
      </c>
      <c r="F17" t="s">
        <v>219</v>
      </c>
      <c r="G17" t="s">
        <v>216</v>
      </c>
      <c r="H17" t="s">
        <v>187</v>
      </c>
      <c r="I17">
        <v>0.35599999999999998</v>
      </c>
      <c r="J17">
        <v>6</v>
      </c>
      <c r="K17">
        <v>1.7471999999999999</v>
      </c>
    </row>
    <row r="18" spans="1:11">
      <c r="C18" s="10"/>
    </row>
    <row r="19" spans="1:11">
      <c r="C19" s="10"/>
    </row>
    <row r="20" spans="1:11">
      <c r="C20" s="10"/>
    </row>
    <row r="21" spans="1:11">
      <c r="C21" s="10"/>
    </row>
    <row r="22" spans="1:11">
      <c r="C22" s="10"/>
    </row>
    <row r="23" spans="1:11">
      <c r="C23" s="10"/>
    </row>
    <row r="24" spans="1:11">
      <c r="C24" s="10"/>
    </row>
    <row r="25" spans="1:11">
      <c r="C25" s="10"/>
    </row>
    <row r="26" spans="1:11">
      <c r="C26" s="10"/>
    </row>
    <row r="27" spans="1:11">
      <c r="C27" s="10"/>
    </row>
    <row r="28" spans="1:11">
      <c r="C28" s="10"/>
    </row>
    <row r="29" spans="1:11">
      <c r="C29" s="10"/>
    </row>
    <row r="30" spans="1:11">
      <c r="C30" s="10"/>
    </row>
    <row r="31" spans="1:11">
      <c r="C31" s="10"/>
    </row>
    <row r="32" spans="1:11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10">
      <c r="C49" s="10"/>
    </row>
    <row r="50" spans="3:10">
      <c r="C50" s="10"/>
    </row>
    <row r="51" spans="3:10">
      <c r="C51" s="10"/>
    </row>
    <row r="52" spans="3:10">
      <c r="C52" s="10"/>
    </row>
    <row r="53" spans="3:10">
      <c r="C53" s="10"/>
    </row>
    <row r="54" spans="3:10">
      <c r="C54" s="10"/>
    </row>
    <row r="55" spans="3:10">
      <c r="C55" s="10"/>
    </row>
    <row r="56" spans="3:10">
      <c r="C56" s="10"/>
    </row>
    <row r="57" spans="3:10" ht="33.75">
      <c r="C57" s="10"/>
      <c r="H57" t="s">
        <v>183</v>
      </c>
      <c r="I57" s="18">
        <v>4.5599999999999996</v>
      </c>
    </row>
    <row r="58" spans="3:10">
      <c r="C58" s="10"/>
    </row>
    <row r="59" spans="3:10">
      <c r="C59" s="10"/>
      <c r="G59" t="s">
        <v>186</v>
      </c>
      <c r="H59" t="s">
        <v>126</v>
      </c>
      <c r="I59" t="s">
        <v>184</v>
      </c>
      <c r="J59" t="s">
        <v>185</v>
      </c>
    </row>
    <row r="60" spans="3:10">
      <c r="C60" s="10"/>
      <c r="G60">
        <f>B60</f>
        <v>0</v>
      </c>
      <c r="H60" s="17">
        <f>SUM(#REF!)</f>
        <v>33.873599999999996</v>
      </c>
      <c r="I60" s="19">
        <f>H60*I57</f>
        <v>154.46361599999997</v>
      </c>
      <c r="J60" s="19">
        <f>I60*1.23</f>
        <v>189.99024767999995</v>
      </c>
    </row>
    <row r="61" spans="3:10">
      <c r="C61" s="10"/>
    </row>
    <row r="62" spans="3:10">
      <c r="C62" s="10"/>
    </row>
    <row r="63" spans="3:10">
      <c r="C63" s="10"/>
    </row>
    <row r="64" spans="3:10">
      <c r="C64" s="10"/>
    </row>
    <row r="65" spans="3:3">
      <c r="C65" s="10"/>
    </row>
    <row r="66" spans="3:3">
      <c r="C6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57"/>
  <sheetViews>
    <sheetView topLeftCell="C22" zoomScale="115" zoomScaleNormal="115" workbookViewId="0">
      <selection activeCell="C41" sqref="C41"/>
    </sheetView>
  </sheetViews>
  <sheetFormatPr defaultRowHeight="1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111</v>
      </c>
      <c r="H1" t="s">
        <v>121</v>
      </c>
      <c r="I1" t="s">
        <v>212</v>
      </c>
      <c r="J1" t="s">
        <v>213</v>
      </c>
      <c r="K1" t="s">
        <v>214</v>
      </c>
    </row>
    <row r="2" spans="1:11">
      <c r="A2">
        <v>7</v>
      </c>
      <c r="B2" s="12" t="s">
        <v>145</v>
      </c>
      <c r="C2" s="12" t="s">
        <v>22</v>
      </c>
      <c r="D2">
        <v>10</v>
      </c>
      <c r="E2" s="12" t="s">
        <v>23</v>
      </c>
      <c r="F2" s="12" t="s">
        <v>151</v>
      </c>
      <c r="G2" s="12" t="s">
        <v>117</v>
      </c>
      <c r="H2" s="14">
        <v>0.22900000000000001</v>
      </c>
      <c r="I2" s="12"/>
      <c r="J2">
        <f>$B$54*rysboard[[#This Row],[Quantity]]*1.2</f>
        <v>48</v>
      </c>
      <c r="K2" s="14">
        <v>0.22900000000000001</v>
      </c>
    </row>
    <row r="3" spans="1:11">
      <c r="A3">
        <v>21</v>
      </c>
      <c r="B3" s="12" t="s">
        <v>143</v>
      </c>
      <c r="C3" s="12" t="s">
        <v>32</v>
      </c>
      <c r="D3">
        <v>15</v>
      </c>
      <c r="E3" s="12" t="s">
        <v>144</v>
      </c>
      <c r="F3" s="15" t="s">
        <v>150</v>
      </c>
      <c r="G3" s="12" t="s">
        <v>117</v>
      </c>
      <c r="H3" s="14">
        <v>7.5999999999999998E-2</v>
      </c>
      <c r="I3" s="12"/>
      <c r="J3">
        <f>$B$54*rysboard[[#This Row],[Quantity]]*1.2</f>
        <v>72</v>
      </c>
      <c r="K3" s="14">
        <v>7.5999999999999998E-2</v>
      </c>
    </row>
    <row r="4" spans="1:11">
      <c r="A4">
        <v>26</v>
      </c>
      <c r="B4" s="12" t="s">
        <v>33</v>
      </c>
      <c r="C4" s="12" t="s">
        <v>34</v>
      </c>
      <c r="D4">
        <v>2</v>
      </c>
      <c r="E4" s="12" t="s">
        <v>35</v>
      </c>
      <c r="F4" s="15" t="s">
        <v>149</v>
      </c>
      <c r="G4" s="12" t="s">
        <v>117</v>
      </c>
      <c r="H4" s="14">
        <v>8.5000000000000006E-2</v>
      </c>
      <c r="I4" s="12"/>
      <c r="J4">
        <f>$B$54*rysboard[[#This Row],[Quantity]]*1.2</f>
        <v>9.6</v>
      </c>
      <c r="K4" s="14">
        <v>8.5000000000000006E-2</v>
      </c>
    </row>
    <row r="5" spans="1:11">
      <c r="A5">
        <v>27</v>
      </c>
      <c r="B5" s="12" t="s">
        <v>36</v>
      </c>
      <c r="C5" s="12" t="s">
        <v>32</v>
      </c>
      <c r="D5">
        <v>2</v>
      </c>
      <c r="E5" s="12" t="s">
        <v>37</v>
      </c>
      <c r="F5" s="15" t="s">
        <v>148</v>
      </c>
      <c r="G5" s="12" t="s">
        <v>117</v>
      </c>
      <c r="H5" s="14">
        <v>7.5999999999999998E-2</v>
      </c>
      <c r="I5" s="12"/>
      <c r="J5">
        <f>$B$54*rysboard[[#This Row],[Quantity]]*1.2</f>
        <v>9.6</v>
      </c>
      <c r="K5" s="12">
        <f>rysboard[[#This Row],[Cena Netto]]*rysboard[[#This Row],[Cena Netto3]]</f>
        <v>0.72959999999999992</v>
      </c>
    </row>
    <row r="6" spans="1:11">
      <c r="A6">
        <v>28</v>
      </c>
      <c r="B6" s="12" t="s">
        <v>142</v>
      </c>
      <c r="C6" s="12" t="s">
        <v>38</v>
      </c>
      <c r="D6">
        <v>5</v>
      </c>
      <c r="E6" s="12" t="s">
        <v>39</v>
      </c>
      <c r="F6" s="12" t="s">
        <v>147</v>
      </c>
      <c r="G6" s="12" t="s">
        <v>117</v>
      </c>
      <c r="H6" s="14">
        <v>1.08</v>
      </c>
      <c r="I6" s="12"/>
      <c r="J6">
        <f>$B$54*rysboard[[#This Row],[Quantity]]*1.2</f>
        <v>24</v>
      </c>
      <c r="K6" s="12">
        <f>rysboard[[#This Row],[Cena Netto]]*rysboard[[#This Row],[Cena Netto3]]</f>
        <v>25.92</v>
      </c>
    </row>
    <row r="7" spans="1:11">
      <c r="A7">
        <v>29</v>
      </c>
      <c r="B7" s="12" t="s">
        <v>40</v>
      </c>
      <c r="C7" s="12" t="s">
        <v>32</v>
      </c>
      <c r="D7">
        <v>1</v>
      </c>
      <c r="E7" s="12" t="s">
        <v>3</v>
      </c>
      <c r="F7" s="15" t="s">
        <v>146</v>
      </c>
      <c r="G7" s="12" t="s">
        <v>117</v>
      </c>
      <c r="H7" s="14">
        <v>0.373</v>
      </c>
      <c r="I7" s="12"/>
      <c r="J7">
        <f>$B$54*rysboard[[#This Row],[Quantity]]*1.2</f>
        <v>4.8</v>
      </c>
      <c r="K7" s="12">
        <f>rysboard[[#This Row],[Cena Netto]]*rysboard[[#This Row],[Cena Netto3]]</f>
        <v>1.7904</v>
      </c>
    </row>
    <row r="8" spans="1:11">
      <c r="A8">
        <v>2</v>
      </c>
      <c r="B8" s="12" t="s">
        <v>13</v>
      </c>
      <c r="C8" s="12" t="s">
        <v>5</v>
      </c>
      <c r="D8">
        <v>1</v>
      </c>
      <c r="E8" s="12" t="s">
        <v>14</v>
      </c>
      <c r="F8" s="12" t="s">
        <v>164</v>
      </c>
      <c r="G8" s="12" t="s">
        <v>113</v>
      </c>
      <c r="H8" s="14">
        <v>0.76200000000000001</v>
      </c>
      <c r="I8" s="12"/>
      <c r="J8">
        <f>$B$54*rysboard[[#This Row],[Quantity]]*1.2</f>
        <v>4.8</v>
      </c>
      <c r="K8" s="12">
        <f>rysboard[[#This Row],[Cena Netto]]*rysboard[[#This Row],[Cena Netto3]]</f>
        <v>3.6576</v>
      </c>
    </row>
    <row r="9" spans="1:11">
      <c r="A9">
        <v>3</v>
      </c>
      <c r="B9" s="12" t="s">
        <v>15</v>
      </c>
      <c r="C9" s="12" t="s">
        <v>16</v>
      </c>
      <c r="D9">
        <v>6</v>
      </c>
      <c r="E9" s="12" t="s">
        <v>166</v>
      </c>
      <c r="F9" s="15" t="s">
        <v>165</v>
      </c>
      <c r="G9" s="12" t="s">
        <v>113</v>
      </c>
      <c r="H9">
        <v>0.72799999999999998</v>
      </c>
      <c r="I9" s="12"/>
      <c r="J9">
        <f>$B$54*rysboard[[#This Row],[Quantity]]*1.2</f>
        <v>28.799999999999997</v>
      </c>
      <c r="K9" s="12">
        <f>rysboard[[#This Row],[Cena Netto]]*rysboard[[#This Row],[Cena Netto3]]</f>
        <v>20.966399999999997</v>
      </c>
    </row>
    <row r="10" spans="1:11">
      <c r="A10">
        <v>11</v>
      </c>
      <c r="B10" s="12" t="s">
        <v>26</v>
      </c>
      <c r="C10" s="12" t="s">
        <v>27</v>
      </c>
      <c r="D10">
        <v>1</v>
      </c>
      <c r="E10" s="12" t="s">
        <v>28</v>
      </c>
      <c r="F10" s="15" t="s">
        <v>173</v>
      </c>
      <c r="G10" s="12" t="s">
        <v>113</v>
      </c>
      <c r="H10">
        <v>0.14000000000000001</v>
      </c>
      <c r="I10" s="12"/>
      <c r="J10">
        <f>$B$54*rysboard[[#This Row],[Quantity]]*1.2</f>
        <v>4.8</v>
      </c>
      <c r="K10" s="12">
        <f>rysboard[[#This Row],[Cena Netto]]*rysboard[[#This Row],[Cena Netto3]]</f>
        <v>0.67200000000000004</v>
      </c>
    </row>
    <row r="11" spans="1:11">
      <c r="A11">
        <v>33</v>
      </c>
      <c r="B11" s="12" t="s">
        <v>41</v>
      </c>
      <c r="C11" s="12" t="s">
        <v>42</v>
      </c>
      <c r="D11">
        <v>2</v>
      </c>
      <c r="E11" s="12" t="s">
        <v>43</v>
      </c>
      <c r="F11" s="12" t="s">
        <v>152</v>
      </c>
      <c r="G11" s="12" t="s">
        <v>113</v>
      </c>
      <c r="H11" s="14">
        <v>0.186</v>
      </c>
      <c r="I11" s="12"/>
      <c r="J11">
        <f>$B$54*rysboard[[#This Row],[Quantity]]*1.2</f>
        <v>9.6</v>
      </c>
      <c r="K11" s="12">
        <f>rysboard[[#This Row],[Cena Netto]]*rysboard[[#This Row],[Cena Netto3]]</f>
        <v>1.7855999999999999</v>
      </c>
    </row>
    <row r="12" spans="1:11">
      <c r="A12">
        <v>35</v>
      </c>
      <c r="B12" s="12" t="s">
        <v>44</v>
      </c>
      <c r="C12" s="12" t="s">
        <v>45</v>
      </c>
      <c r="D12">
        <v>2</v>
      </c>
      <c r="E12" s="12" t="s">
        <v>46</v>
      </c>
      <c r="F12" s="15" t="s">
        <v>169</v>
      </c>
      <c r="G12" s="12" t="s">
        <v>113</v>
      </c>
      <c r="H12" s="14">
        <v>0.373</v>
      </c>
      <c r="I12" s="12"/>
      <c r="J12">
        <f>$B$54*rysboard[[#This Row],[Quantity]]*1.2</f>
        <v>9.6</v>
      </c>
      <c r="K12" s="12">
        <f>rysboard[[#This Row],[Cena Netto]]*rysboard[[#This Row],[Cena Netto3]]</f>
        <v>3.5808</v>
      </c>
    </row>
    <row r="13" spans="1:11">
      <c r="A13">
        <v>37</v>
      </c>
      <c r="B13" s="12" t="s">
        <v>47</v>
      </c>
      <c r="C13" s="12" t="s">
        <v>48</v>
      </c>
      <c r="D13">
        <v>1</v>
      </c>
      <c r="E13" s="12" t="s">
        <v>49</v>
      </c>
      <c r="F13" s="12" t="s">
        <v>170</v>
      </c>
      <c r="G13" s="12" t="s">
        <v>113</v>
      </c>
      <c r="H13" s="14">
        <v>0.30499999999999999</v>
      </c>
      <c r="I13" s="12"/>
      <c r="J13">
        <f>$B$54*rysboard[[#This Row],[Quantity]]*1.2</f>
        <v>4.8</v>
      </c>
      <c r="K13" s="12">
        <f>rysboard[[#This Row],[Cena Netto]]*rysboard[[#This Row],[Cena Netto3]]</f>
        <v>1.464</v>
      </c>
    </row>
    <row r="14" spans="1:11">
      <c r="A14">
        <v>38</v>
      </c>
      <c r="B14" s="12" t="s">
        <v>50</v>
      </c>
      <c r="C14" s="12" t="s">
        <v>51</v>
      </c>
      <c r="D14">
        <v>1</v>
      </c>
      <c r="E14" s="12" t="s">
        <v>52</v>
      </c>
      <c r="F14" s="12" t="s">
        <v>171</v>
      </c>
      <c r="G14" s="12" t="s">
        <v>113</v>
      </c>
      <c r="H14" s="14">
        <v>0.36399999999999999</v>
      </c>
      <c r="I14" s="12"/>
      <c r="J14">
        <f>$B$54*rysboard[[#This Row],[Quantity]]*1.2</f>
        <v>4.8</v>
      </c>
      <c r="K14" s="12">
        <f>rysboard[[#This Row],[Cena Netto]]*rysboard[[#This Row],[Cena Netto3]]</f>
        <v>1.7471999999999999</v>
      </c>
    </row>
    <row r="15" spans="1:11">
      <c r="A15">
        <v>39</v>
      </c>
      <c r="B15" s="12" t="s">
        <v>53</v>
      </c>
      <c r="C15" s="12" t="s">
        <v>54</v>
      </c>
      <c r="D15">
        <v>1</v>
      </c>
      <c r="E15" s="12" t="s">
        <v>55</v>
      </c>
      <c r="F15" s="15" t="s">
        <v>172</v>
      </c>
      <c r="G15" s="12" t="s">
        <v>118</v>
      </c>
      <c r="H15" s="14">
        <v>0.90600000000000003</v>
      </c>
      <c r="I15" s="12"/>
      <c r="J15">
        <f>$B$54*rysboard[[#This Row],[Quantity]]*1.2</f>
        <v>4.8</v>
      </c>
      <c r="K15" s="12">
        <f>rysboard[[#This Row],[Cena Netto]]*rysboard[[#This Row],[Cena Netto3]]</f>
        <v>4.3487999999999998</v>
      </c>
    </row>
    <row r="16" spans="1:11">
      <c r="A16">
        <v>41</v>
      </c>
      <c r="B16" s="12" t="s">
        <v>56</v>
      </c>
      <c r="C16" s="12" t="s">
        <v>57</v>
      </c>
      <c r="D16">
        <v>1</v>
      </c>
      <c r="E16" s="12" t="s">
        <v>58</v>
      </c>
      <c r="F16" s="12" t="s">
        <v>175</v>
      </c>
      <c r="G16" s="12" t="s">
        <v>115</v>
      </c>
      <c r="H16">
        <v>0.33500000000000002</v>
      </c>
      <c r="I16" s="12"/>
      <c r="J16">
        <f>$B$54*rysboard[[#This Row],[Quantity]]*1.2</f>
        <v>4.8</v>
      </c>
      <c r="K16" s="12">
        <f>rysboard[[#This Row],[Cena Netto]]*rysboard[[#This Row],[Cena Netto3]]</f>
        <v>1.6080000000000001</v>
      </c>
    </row>
    <row r="17" spans="1:11">
      <c r="A17">
        <v>75</v>
      </c>
      <c r="B17" s="12" t="s">
        <v>106</v>
      </c>
      <c r="C17" s="12" t="s">
        <v>107</v>
      </c>
      <c r="D17">
        <v>1</v>
      </c>
      <c r="E17" s="12" t="s">
        <v>108</v>
      </c>
      <c r="F17" s="12" t="s">
        <v>176</v>
      </c>
      <c r="G17" s="12" t="s">
        <v>115</v>
      </c>
      <c r="H17" s="12">
        <v>0.7</v>
      </c>
      <c r="I17" s="12"/>
      <c r="J17">
        <f>$B$54*rysboard[[#This Row],[Quantity]]*1.2</f>
        <v>4.8</v>
      </c>
      <c r="K17" s="12">
        <f>rysboard[[#This Row],[Cena Netto]]*rysboard[[#This Row],[Cena Netto3]]</f>
        <v>3.36</v>
      </c>
    </row>
    <row r="18" spans="1:11">
      <c r="A18">
        <v>6</v>
      </c>
      <c r="B18" s="12" t="s">
        <v>19</v>
      </c>
      <c r="C18" s="12" t="s">
        <v>20</v>
      </c>
      <c r="D18">
        <v>1</v>
      </c>
      <c r="E18" s="12" t="s">
        <v>21</v>
      </c>
      <c r="F18" s="12" t="s">
        <v>174</v>
      </c>
      <c r="G18" s="12" t="s">
        <v>116</v>
      </c>
      <c r="H18" s="12">
        <v>0.41</v>
      </c>
      <c r="I18" s="12"/>
      <c r="J18">
        <f>$B$54*rysboard[[#This Row],[Quantity]]*1.2</f>
        <v>4.8</v>
      </c>
      <c r="K18" s="12">
        <f>rysboard[[#This Row],[Cena Netto]]*rysboard[[#This Row],[Cena Netto3]]</f>
        <v>1.9679999999999997</v>
      </c>
    </row>
    <row r="19" spans="1:11" ht="18">
      <c r="B19" s="12"/>
      <c r="C19" s="12"/>
      <c r="D19">
        <v>2</v>
      </c>
      <c r="E19" s="16" t="s">
        <v>180</v>
      </c>
      <c r="F19" s="12" t="s">
        <v>179</v>
      </c>
      <c r="G19" s="12" t="s">
        <v>119</v>
      </c>
      <c r="H19" s="14">
        <v>0.39</v>
      </c>
      <c r="I19" s="12"/>
      <c r="J19" s="12">
        <f>$B$54*rysboard[[#This Row],[Quantity]]*1.2</f>
        <v>9.6</v>
      </c>
      <c r="K19" s="12">
        <f>rysboard[[#This Row],[Cena Netto]]*rysboard[[#This Row],[Cena Netto3]]</f>
        <v>3.7439999999999998</v>
      </c>
    </row>
    <row r="20" spans="1:11">
      <c r="A20">
        <v>42</v>
      </c>
      <c r="B20" s="12" t="s">
        <v>59</v>
      </c>
      <c r="C20" s="12" t="s">
        <v>60</v>
      </c>
      <c r="D20">
        <v>2</v>
      </c>
      <c r="E20" s="12" t="s">
        <v>2</v>
      </c>
      <c r="F20" s="12" t="s">
        <v>161</v>
      </c>
      <c r="G20" s="12" t="s">
        <v>119</v>
      </c>
      <c r="H20" s="14">
        <v>0.68600000000000005</v>
      </c>
      <c r="I20" s="12"/>
      <c r="J20">
        <f>$B$54*rysboard[[#This Row],[Quantity]]*1.2</f>
        <v>9.6</v>
      </c>
      <c r="K20" s="12">
        <f>rysboard[[#This Row],[Cena Netto]]*rysboard[[#This Row],[Cena Netto3]]</f>
        <v>6.5856000000000003</v>
      </c>
    </row>
    <row r="21" spans="1:11">
      <c r="A21">
        <v>43</v>
      </c>
      <c r="B21" s="12" t="s">
        <v>61</v>
      </c>
      <c r="C21" s="12" t="s">
        <v>62</v>
      </c>
      <c r="D21">
        <v>3</v>
      </c>
      <c r="E21" s="12" t="s">
        <v>63</v>
      </c>
      <c r="F21" s="12" t="s">
        <v>160</v>
      </c>
      <c r="G21" s="12" t="s">
        <v>119</v>
      </c>
      <c r="H21" s="14">
        <v>0.34699999999999998</v>
      </c>
      <c r="I21" s="12"/>
      <c r="J21">
        <f>$B$54*rysboard[[#This Row],[Quantity]]*1.2</f>
        <v>14.399999999999999</v>
      </c>
      <c r="K21" s="12">
        <f>rysboard[[#This Row],[Cena Netto]]*rysboard[[#This Row],[Cena Netto3]]</f>
        <v>4.9967999999999995</v>
      </c>
    </row>
    <row r="22" spans="1:11">
      <c r="A22">
        <v>44</v>
      </c>
      <c r="B22" s="12" t="s">
        <v>163</v>
      </c>
      <c r="C22" s="12" t="s">
        <v>64</v>
      </c>
      <c r="D22">
        <v>3</v>
      </c>
      <c r="E22" s="12" t="s">
        <v>1</v>
      </c>
      <c r="F22" s="15" t="s">
        <v>162</v>
      </c>
      <c r="G22" s="12" t="s">
        <v>119</v>
      </c>
      <c r="H22" s="14">
        <v>1.25</v>
      </c>
      <c r="I22" s="12"/>
      <c r="J22">
        <f>$B$54*rysboard[[#This Row],[Quantity]]*1.2</f>
        <v>14.399999999999999</v>
      </c>
      <c r="K22" s="12">
        <f>rysboard[[#This Row],[Cena Netto]]*rysboard[[#This Row],[Cena Netto3]]</f>
        <v>18</v>
      </c>
    </row>
    <row r="23" spans="1:11">
      <c r="A23">
        <v>46</v>
      </c>
      <c r="B23" s="12" t="s">
        <v>159</v>
      </c>
      <c r="C23" s="12" t="s">
        <v>65</v>
      </c>
      <c r="D23">
        <v>2</v>
      </c>
      <c r="E23" s="12" t="s">
        <v>66</v>
      </c>
      <c r="F23" s="15" t="s">
        <v>158</v>
      </c>
      <c r="G23" s="12" t="s">
        <v>119</v>
      </c>
      <c r="H23" s="12">
        <v>0.51</v>
      </c>
      <c r="I23" s="12"/>
      <c r="J23">
        <f>$B$54*rysboard[[#This Row],[Quantity]]*1.2</f>
        <v>9.6</v>
      </c>
      <c r="K23" s="12">
        <f>rysboard[[#This Row],[Cena Netto]]*rysboard[[#This Row],[Cena Netto3]]</f>
        <v>4.8959999999999999</v>
      </c>
    </row>
    <row r="24" spans="1:11">
      <c r="A24">
        <v>1</v>
      </c>
      <c r="B24" s="12" t="s">
        <v>124</v>
      </c>
      <c r="C24" s="12" t="s">
        <v>11</v>
      </c>
      <c r="D24">
        <v>22</v>
      </c>
      <c r="E24" s="12" t="s">
        <v>12</v>
      </c>
      <c r="F24" s="12" t="s">
        <v>122</v>
      </c>
      <c r="G24" s="12" t="s">
        <v>112</v>
      </c>
      <c r="H24" s="13">
        <v>2.9000000000000001E-2</v>
      </c>
      <c r="I24" s="12"/>
      <c r="J24">
        <f>$B$54*rysboard[[#This Row],[Quantity]]*1.2</f>
        <v>105.6</v>
      </c>
      <c r="K24" s="12">
        <f>rysboard[[#This Row],[Cena Netto]]*rysboard[[#This Row],[Cena Netto3]]</f>
        <v>3.0623999999999998</v>
      </c>
    </row>
    <row r="25" spans="1:11">
      <c r="A25">
        <v>47</v>
      </c>
      <c r="B25" s="12" t="s">
        <v>67</v>
      </c>
      <c r="C25" s="12" t="s">
        <v>11</v>
      </c>
      <c r="D25">
        <v>5</v>
      </c>
      <c r="E25" s="12" t="s">
        <v>68</v>
      </c>
      <c r="F25" s="12" t="s">
        <v>139</v>
      </c>
      <c r="G25" s="12" t="s">
        <v>112</v>
      </c>
      <c r="H25" s="14">
        <v>0.63500000000000001</v>
      </c>
      <c r="I25" s="12"/>
      <c r="J25">
        <f>$B$54*rysboard[[#This Row],[Quantity]]*1.2</f>
        <v>24</v>
      </c>
      <c r="K25" s="12">
        <f>rysboard[[#This Row],[Cena Netto]]*rysboard[[#This Row],[Cena Netto3]]</f>
        <v>15.24</v>
      </c>
    </row>
    <row r="26" spans="1:11">
      <c r="A26">
        <v>48</v>
      </c>
      <c r="B26" s="12" t="s">
        <v>69</v>
      </c>
      <c r="C26" s="12" t="s">
        <v>11</v>
      </c>
      <c r="D26">
        <v>2</v>
      </c>
      <c r="E26" s="12" t="s">
        <v>70</v>
      </c>
      <c r="F26" s="12" t="s">
        <v>138</v>
      </c>
      <c r="G26" s="12" t="s">
        <v>112</v>
      </c>
      <c r="H26" s="14">
        <v>8.5000000000000006E-2</v>
      </c>
      <c r="I26" s="12"/>
      <c r="J26">
        <f>$B$54*rysboard[[#This Row],[Quantity]]*1.2</f>
        <v>9.6</v>
      </c>
      <c r="K26" s="12">
        <f>rysboard[[#This Row],[Cena Netto]]*rysboard[[#This Row],[Cena Netto3]]</f>
        <v>0.81600000000000006</v>
      </c>
    </row>
    <row r="27" spans="1:11">
      <c r="A27">
        <v>53</v>
      </c>
      <c r="B27" s="12" t="s">
        <v>123</v>
      </c>
      <c r="C27" s="12" t="s">
        <v>11</v>
      </c>
      <c r="D27">
        <v>4</v>
      </c>
      <c r="E27" s="12" t="s">
        <v>71</v>
      </c>
      <c r="F27" s="12" t="s">
        <v>137</v>
      </c>
      <c r="G27" s="12" t="s">
        <v>112</v>
      </c>
      <c r="H27" s="14">
        <v>8.5000000000000006E-2</v>
      </c>
      <c r="I27" s="12"/>
      <c r="J27">
        <f>$B$54*rysboard[[#This Row],[Quantity]]*1.2</f>
        <v>19.2</v>
      </c>
      <c r="K27" s="12">
        <f>rysboard[[#This Row],[Cena Netto]]*rysboard[[#This Row],[Cena Netto3]]</f>
        <v>1.6320000000000001</v>
      </c>
    </row>
    <row r="28" spans="1:11">
      <c r="A28">
        <v>54</v>
      </c>
      <c r="B28" s="12" t="s">
        <v>72</v>
      </c>
      <c r="C28" s="12" t="s">
        <v>11</v>
      </c>
      <c r="D28">
        <v>1</v>
      </c>
      <c r="E28" s="12" t="s">
        <v>73</v>
      </c>
      <c r="F28" s="15" t="s">
        <v>136</v>
      </c>
      <c r="G28" s="12" t="s">
        <v>112</v>
      </c>
      <c r="H28" s="14">
        <v>8.5000000000000006E-2</v>
      </c>
      <c r="I28" s="12"/>
      <c r="J28">
        <f>$B$54*rysboard[[#This Row],[Quantity]]*1.2</f>
        <v>4.8</v>
      </c>
      <c r="K28" s="12">
        <f>rysboard[[#This Row],[Cena Netto]]*rysboard[[#This Row],[Cena Netto3]]</f>
        <v>0.40800000000000003</v>
      </c>
    </row>
    <row r="29" spans="1:11">
      <c r="A29">
        <v>55</v>
      </c>
      <c r="B29" s="12" t="s">
        <v>74</v>
      </c>
      <c r="C29" s="12" t="s">
        <v>11</v>
      </c>
      <c r="D29">
        <v>5</v>
      </c>
      <c r="E29" s="12" t="s">
        <v>75</v>
      </c>
      <c r="F29" s="12" t="s">
        <v>135</v>
      </c>
      <c r="G29" s="12" t="s">
        <v>112</v>
      </c>
      <c r="H29" s="14">
        <v>8.5000000000000006E-2</v>
      </c>
      <c r="I29" s="12"/>
      <c r="J29">
        <f>$B$54*rysboard[[#This Row],[Quantity]]*1.2</f>
        <v>24</v>
      </c>
      <c r="K29" s="12">
        <f>rysboard[[#This Row],[Cena Netto]]*rysboard[[#This Row],[Cena Netto3]]</f>
        <v>2.04</v>
      </c>
    </row>
    <row r="30" spans="1:11">
      <c r="A30">
        <v>57</v>
      </c>
      <c r="B30" s="12" t="s">
        <v>76</v>
      </c>
      <c r="C30" s="12" t="s">
        <v>77</v>
      </c>
      <c r="D30">
        <v>1</v>
      </c>
      <c r="E30" s="12" t="s">
        <v>78</v>
      </c>
      <c r="F30" s="15" t="s">
        <v>134</v>
      </c>
      <c r="G30" s="12" t="s">
        <v>112</v>
      </c>
      <c r="H30" s="14">
        <v>0.33900000000000002</v>
      </c>
      <c r="I30" s="12"/>
      <c r="J30">
        <f>$B$54*rysboard[[#This Row],[Quantity]]*1.2</f>
        <v>4.8</v>
      </c>
      <c r="K30" s="12">
        <f>rysboard[[#This Row],[Cena Netto]]*rysboard[[#This Row],[Cena Netto3]]</f>
        <v>1.6272</v>
      </c>
    </row>
    <row r="31" spans="1:11">
      <c r="A31">
        <v>59</v>
      </c>
      <c r="B31" s="12" t="s">
        <v>79</v>
      </c>
      <c r="C31" s="12" t="s">
        <v>11</v>
      </c>
      <c r="D31">
        <v>1</v>
      </c>
      <c r="E31" s="12" t="s">
        <v>80</v>
      </c>
      <c r="F31" s="12" t="s">
        <v>133</v>
      </c>
      <c r="G31" s="12" t="s">
        <v>112</v>
      </c>
      <c r="H31" s="14">
        <v>0.151</v>
      </c>
      <c r="I31" s="12"/>
      <c r="J31">
        <f>$B$54*rysboard[[#This Row],[Quantity]]*1.2</f>
        <v>4.8</v>
      </c>
      <c r="K31" s="12">
        <f>rysboard[[#This Row],[Cena Netto]]*rysboard[[#This Row],[Cena Netto3]]</f>
        <v>0.7248</v>
      </c>
    </row>
    <row r="32" spans="1:11">
      <c r="A32">
        <v>60</v>
      </c>
      <c r="B32" s="12" t="s">
        <v>125</v>
      </c>
      <c r="C32" s="12" t="s">
        <v>11</v>
      </c>
      <c r="D32">
        <v>6</v>
      </c>
      <c r="E32" s="12" t="s">
        <v>81</v>
      </c>
      <c r="F32" s="12" t="s">
        <v>132</v>
      </c>
      <c r="G32" s="12" t="s">
        <v>112</v>
      </c>
      <c r="H32" s="14">
        <v>8.5000000000000006E-2</v>
      </c>
      <c r="I32" s="12"/>
      <c r="J32">
        <f>$B$54*rysboard[[#This Row],[Quantity]]*1.2</f>
        <v>28.799999999999997</v>
      </c>
      <c r="K32" s="12">
        <f>rysboard[[#This Row],[Cena Netto]]*rysboard[[#This Row],[Cena Netto3]]</f>
        <v>2.448</v>
      </c>
    </row>
    <row r="33" spans="1:11">
      <c r="A33">
        <v>61</v>
      </c>
      <c r="B33" s="12" t="s">
        <v>82</v>
      </c>
      <c r="C33" s="12" t="s">
        <v>11</v>
      </c>
      <c r="D33">
        <v>2</v>
      </c>
      <c r="E33" s="12" t="s">
        <v>83</v>
      </c>
      <c r="F33" s="12" t="s">
        <v>131</v>
      </c>
      <c r="G33" s="12" t="s">
        <v>112</v>
      </c>
      <c r="H33" s="14">
        <v>2.9</v>
      </c>
      <c r="I33" s="12"/>
      <c r="J33">
        <f>$B$54*rysboard[[#This Row],[Quantity]]*1.2</f>
        <v>9.6</v>
      </c>
      <c r="K33" s="12">
        <f>rysboard[[#This Row],[Cena Netto]]*rysboard[[#This Row],[Cena Netto3]]</f>
        <v>27.84</v>
      </c>
    </row>
    <row r="34" spans="1:11">
      <c r="A34">
        <v>62</v>
      </c>
      <c r="B34" s="12" t="s">
        <v>84</v>
      </c>
      <c r="C34" s="12" t="s">
        <v>11</v>
      </c>
      <c r="D34">
        <v>1</v>
      </c>
      <c r="E34" s="12" t="s">
        <v>85</v>
      </c>
      <c r="F34" s="12" t="s">
        <v>130</v>
      </c>
      <c r="G34" s="12" t="s">
        <v>112</v>
      </c>
      <c r="H34" s="14">
        <v>8.5000000000000006E-2</v>
      </c>
      <c r="I34" s="12"/>
      <c r="J34">
        <f>$B$54*rysboard[[#This Row],[Quantity]]*1.2</f>
        <v>4.8</v>
      </c>
      <c r="K34" s="12">
        <f>rysboard[[#This Row],[Cena Netto]]*rysboard[[#This Row],[Cena Netto3]]</f>
        <v>0.40800000000000003</v>
      </c>
    </row>
    <row r="35" spans="1:11">
      <c r="A35">
        <v>63</v>
      </c>
      <c r="B35" s="12" t="s">
        <v>86</v>
      </c>
      <c r="C35" s="12" t="s">
        <v>11</v>
      </c>
      <c r="D35">
        <v>1</v>
      </c>
      <c r="E35" s="12" t="s">
        <v>87</v>
      </c>
      <c r="F35" s="12" t="s">
        <v>129</v>
      </c>
      <c r="G35" s="12" t="s">
        <v>112</v>
      </c>
      <c r="H35" s="14">
        <v>8.5000000000000006E-2</v>
      </c>
      <c r="I35" s="12"/>
      <c r="J35">
        <f>$B$54*rysboard[[#This Row],[Quantity]]*1.2</f>
        <v>4.8</v>
      </c>
      <c r="K35" s="12">
        <f>rysboard[[#This Row],[Cena Netto]]*rysboard[[#This Row],[Cena Netto3]]</f>
        <v>0.40800000000000003</v>
      </c>
    </row>
    <row r="36" spans="1:11">
      <c r="A36">
        <v>64</v>
      </c>
      <c r="B36" s="12" t="s">
        <v>88</v>
      </c>
      <c r="C36" s="12" t="s">
        <v>11</v>
      </c>
      <c r="D36">
        <v>1</v>
      </c>
      <c r="E36" s="12" t="s">
        <v>89</v>
      </c>
      <c r="F36" s="12" t="s">
        <v>128</v>
      </c>
      <c r="G36" s="12" t="s">
        <v>112</v>
      </c>
      <c r="H36" s="14">
        <v>8.5000000000000006E-2</v>
      </c>
      <c r="I36" s="12"/>
      <c r="J36">
        <f>$B$54*rysboard[[#This Row],[Quantity]]*1.2</f>
        <v>4.8</v>
      </c>
      <c r="K36" s="12">
        <f>rysboard[[#This Row],[Cena Netto]]*rysboard[[#This Row],[Cena Netto3]]</f>
        <v>0.40800000000000003</v>
      </c>
    </row>
    <row r="37" spans="1:11">
      <c r="A37">
        <v>71</v>
      </c>
      <c r="B37" s="12" t="s">
        <v>101</v>
      </c>
      <c r="C37" s="12" t="s">
        <v>11</v>
      </c>
      <c r="D37">
        <v>1</v>
      </c>
      <c r="E37" s="12" t="s">
        <v>102</v>
      </c>
      <c r="F37" s="15" t="s">
        <v>140</v>
      </c>
      <c r="G37" s="12" t="s">
        <v>112</v>
      </c>
      <c r="H37" s="14">
        <v>8.5000000000000006E-2</v>
      </c>
      <c r="I37" s="12"/>
      <c r="J37">
        <f>$B$54*rysboard[[#This Row],[Quantity]]*1.2</f>
        <v>4.8</v>
      </c>
      <c r="K37" s="12">
        <f>rysboard[[#This Row],[Cena Netto]]*rysboard[[#This Row],[Cena Netto3]]</f>
        <v>0.40800000000000003</v>
      </c>
    </row>
    <row r="38" spans="1:11">
      <c r="A38">
        <v>73</v>
      </c>
      <c r="B38" s="12" t="s">
        <v>103</v>
      </c>
      <c r="C38" s="12" t="s">
        <v>104</v>
      </c>
      <c r="D38">
        <v>1</v>
      </c>
      <c r="E38" s="12" t="s">
        <v>105</v>
      </c>
      <c r="F38" s="12" t="s">
        <v>127</v>
      </c>
      <c r="G38" s="12" t="s">
        <v>112</v>
      </c>
      <c r="H38" s="14">
        <v>0.23699999999999999</v>
      </c>
      <c r="I38" s="12"/>
      <c r="J38">
        <f>$B$54*rysboard[[#This Row],[Quantity]]*1.2</f>
        <v>4.8</v>
      </c>
      <c r="K38" s="12">
        <f>rysboard[[#This Row],[Cena Netto]]*rysboard[[#This Row],[Cena Netto3]]</f>
        <v>1.1375999999999999</v>
      </c>
    </row>
    <row r="39" spans="1:11">
      <c r="A39">
        <v>65</v>
      </c>
      <c r="B39" s="12" t="s">
        <v>90</v>
      </c>
      <c r="C39" s="12" t="s">
        <v>91</v>
      </c>
      <c r="D39">
        <v>2</v>
      </c>
      <c r="E39" s="12" t="s">
        <v>92</v>
      </c>
      <c r="F39" s="12" t="s">
        <v>177</v>
      </c>
      <c r="G39" s="12" t="s">
        <v>120</v>
      </c>
      <c r="H39">
        <v>3.1</v>
      </c>
      <c r="I39" s="12"/>
      <c r="J39">
        <f>$B$54*rysboard[[#This Row],[Quantity]]*1.2</f>
        <v>9.6</v>
      </c>
      <c r="K39" s="12">
        <f>rysboard[[#This Row],[Cena Netto]]*rysboard[[#This Row],[Cena Netto3]]</f>
        <v>29.759999999999998</v>
      </c>
    </row>
    <row r="40" spans="1:11">
      <c r="A40">
        <v>73</v>
      </c>
      <c r="B40" s="12" t="s">
        <v>90</v>
      </c>
      <c r="C40" s="12"/>
      <c r="D40">
        <v>2</v>
      </c>
      <c r="E40" s="12" t="s">
        <v>92</v>
      </c>
      <c r="F40" s="12" t="s">
        <v>178</v>
      </c>
      <c r="G40" s="12" t="s">
        <v>120</v>
      </c>
      <c r="H40">
        <v>2.13</v>
      </c>
      <c r="I40" s="12"/>
      <c r="J40" s="12">
        <f>$B$54*rysboard[[#This Row],[Quantity]]*1.2</f>
        <v>9.6</v>
      </c>
      <c r="K40" s="12">
        <f>rysboard[[#This Row],[Cena Netto]]*rysboard[[#This Row],[Cena Netto3]]</f>
        <v>20.447999999999997</v>
      </c>
    </row>
    <row r="41" spans="1:11" ht="31.5">
      <c r="A41">
        <v>4</v>
      </c>
      <c r="B41" s="12" t="s">
        <v>17</v>
      </c>
      <c r="C41" s="12" t="s">
        <v>181</v>
      </c>
      <c r="D41">
        <v>2</v>
      </c>
      <c r="E41" s="2"/>
      <c r="F41" s="15" t="s">
        <v>182</v>
      </c>
      <c r="G41" s="12" t="s">
        <v>114</v>
      </c>
      <c r="H41">
        <v>2.61</v>
      </c>
      <c r="I41" s="12"/>
      <c r="J41">
        <f>$B$54*rysboard[[#This Row],[Quantity]]*1.2</f>
        <v>9.6</v>
      </c>
      <c r="K41" s="12">
        <f>rysboard[[#This Row],[Cena Netto]]*rysboard[[#This Row],[Cena Netto3]]</f>
        <v>25.055999999999997</v>
      </c>
    </row>
    <row r="42" spans="1:11">
      <c r="A42">
        <v>10</v>
      </c>
      <c r="B42" s="12" t="s">
        <v>24</v>
      </c>
      <c r="C42" t="s">
        <v>168</v>
      </c>
      <c r="D42">
        <v>1</v>
      </c>
      <c r="E42" s="12" t="s">
        <v>25</v>
      </c>
      <c r="F42" s="15" t="s">
        <v>167</v>
      </c>
      <c r="G42" s="12" t="s">
        <v>114</v>
      </c>
      <c r="H42" s="14">
        <v>1.58</v>
      </c>
      <c r="I42" s="12"/>
      <c r="J42">
        <f>$B$54*rysboard[[#This Row],[Quantity]]*1.2</f>
        <v>4.8</v>
      </c>
      <c r="K42" s="12">
        <f>rysboard[[#This Row],[Cena Netto]]*rysboard[[#This Row],[Cena Netto3]]</f>
        <v>7.5839999999999996</v>
      </c>
    </row>
    <row r="43" spans="1:11">
      <c r="A43">
        <v>12</v>
      </c>
      <c r="B43" s="12" t="s">
        <v>29</v>
      </c>
      <c r="C43" s="12" t="s">
        <v>30</v>
      </c>
      <c r="D43">
        <v>2</v>
      </c>
      <c r="E43" s="12" t="s">
        <v>31</v>
      </c>
      <c r="F43" s="12" t="s">
        <v>153</v>
      </c>
      <c r="G43" s="12" t="s">
        <v>114</v>
      </c>
      <c r="H43" s="12">
        <v>8.8000000000000007</v>
      </c>
      <c r="I43" s="12"/>
      <c r="J43">
        <f>$B$54*rysboard[[#This Row],[Quantity]]*1.2</f>
        <v>9.6</v>
      </c>
      <c r="K43" s="12">
        <f>rysboard[[#This Row],[Cena Netto]]*rysboard[[#This Row],[Cena Netto3]]</f>
        <v>84.48</v>
      </c>
    </row>
    <row r="44" spans="1:11">
      <c r="A44">
        <v>66</v>
      </c>
      <c r="B44" s="12" t="s">
        <v>93</v>
      </c>
      <c r="C44" s="12" t="s">
        <v>94</v>
      </c>
      <c r="D44">
        <v>1</v>
      </c>
      <c r="E44" s="12" t="s">
        <v>95</v>
      </c>
      <c r="F44" s="12" t="s">
        <v>157</v>
      </c>
      <c r="G44" s="12" t="s">
        <v>114</v>
      </c>
      <c r="H44" s="14">
        <v>1.83</v>
      </c>
      <c r="I44" s="12"/>
      <c r="J44">
        <f>$B$54*rysboard[[#This Row],[Quantity]]*1.2</f>
        <v>4.8</v>
      </c>
      <c r="K44" s="12">
        <f>rysboard[[#This Row],[Cena Netto]]*rysboard[[#This Row],[Cena Netto3]]</f>
        <v>8.7840000000000007</v>
      </c>
    </row>
    <row r="45" spans="1:11">
      <c r="A45">
        <v>67</v>
      </c>
      <c r="B45" s="12" t="s">
        <v>96</v>
      </c>
      <c r="C45" s="12" t="s">
        <v>97</v>
      </c>
      <c r="D45">
        <v>1</v>
      </c>
      <c r="E45" s="12" t="s">
        <v>98</v>
      </c>
      <c r="F45" s="12" t="s">
        <v>156</v>
      </c>
      <c r="G45" s="12" t="s">
        <v>114</v>
      </c>
      <c r="H45" s="14">
        <v>0.34699999999999998</v>
      </c>
      <c r="I45" s="12"/>
      <c r="J45">
        <f>$B$54*rysboard[[#This Row],[Quantity]]*1.2</f>
        <v>4.8</v>
      </c>
      <c r="K45" s="12">
        <f>rysboard[[#This Row],[Cena Netto]]*rysboard[[#This Row],[Cena Netto3]]</f>
        <v>1.6655999999999997</v>
      </c>
    </row>
    <row r="46" spans="1:11">
      <c r="A46">
        <v>68</v>
      </c>
      <c r="B46" s="12" t="s">
        <v>99</v>
      </c>
      <c r="C46" s="12" t="s">
        <v>18</v>
      </c>
      <c r="D46">
        <v>1</v>
      </c>
      <c r="E46" s="12" t="s">
        <v>100</v>
      </c>
      <c r="F46" s="12" t="s">
        <v>154</v>
      </c>
      <c r="G46" s="12" t="s">
        <v>114</v>
      </c>
      <c r="H46" s="14">
        <v>0.53400000000000003</v>
      </c>
      <c r="I46" s="12"/>
      <c r="J46">
        <f>$B$54*rysboard[[#This Row],[Quantity]]*1.2</f>
        <v>4.8</v>
      </c>
      <c r="K46" s="12">
        <f>rysboard[[#This Row],[Cena Netto]]*rysboard[[#This Row],[Cena Netto3]]</f>
        <v>2.5632000000000001</v>
      </c>
    </row>
    <row r="47" spans="1:11">
      <c r="A47">
        <v>77</v>
      </c>
      <c r="B47" s="12" t="s">
        <v>109</v>
      </c>
      <c r="C47" s="12" t="s">
        <v>42</v>
      </c>
      <c r="D47">
        <v>1</v>
      </c>
      <c r="E47" s="12" t="s">
        <v>110</v>
      </c>
      <c r="F47" s="12" t="s">
        <v>155</v>
      </c>
      <c r="G47" s="12" t="s">
        <v>114</v>
      </c>
      <c r="H47" s="14">
        <v>0.34699999999999998</v>
      </c>
      <c r="I47" s="12"/>
      <c r="J47">
        <f>$B$54*rysboard[[#This Row],[Quantity]]*1.2</f>
        <v>4.8</v>
      </c>
      <c r="K47" s="12">
        <f>rysboard[[#This Row],[Cena Netto]]*rysboard[[#This Row],[Cena Netto3]]</f>
        <v>1.6655999999999997</v>
      </c>
    </row>
    <row r="53" spans="2:11">
      <c r="B53" t="s">
        <v>141</v>
      </c>
    </row>
    <row r="54" spans="2:11" ht="33.75">
      <c r="B54">
        <v>4</v>
      </c>
      <c r="I54" t="s">
        <v>183</v>
      </c>
      <c r="J54" s="18">
        <v>4.5599999999999996</v>
      </c>
    </row>
    <row r="56" spans="2:11">
      <c r="H56" t="s">
        <v>186</v>
      </c>
      <c r="I56" t="s">
        <v>126</v>
      </c>
      <c r="J56" t="s">
        <v>184</v>
      </c>
      <c r="K56" t="s">
        <v>185</v>
      </c>
    </row>
    <row r="57" spans="2:11">
      <c r="H57">
        <f>B54</f>
        <v>4</v>
      </c>
      <c r="I57" s="17">
        <f>SUM(rysboard[Cena Netto4])</f>
        <v>352.82519999999988</v>
      </c>
      <c r="J57" s="19">
        <f>I57*J54</f>
        <v>1608.8829119999994</v>
      </c>
      <c r="K57" s="19">
        <f>J57*1.23</f>
        <v>1978.9259817599991</v>
      </c>
    </row>
  </sheetData>
  <hyperlinks>
    <hyperlink ref="F30" r:id="rId1" xr:uid="{C6995237-7AFB-4C1A-8F94-7717F841A064}"/>
    <hyperlink ref="F28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22" r:id="rId7" xr:uid="{BA6D0023-28B1-4E68-AE5F-48E4EEB48FC2}"/>
    <hyperlink ref="F23" r:id="rId8" xr:uid="{EC84BA0A-7F19-440F-8655-FE0EBBAEB767}"/>
    <hyperlink ref="F9" r:id="rId9" xr:uid="{A22612F5-9CDE-4ECD-9E4B-98A3811155A7}"/>
    <hyperlink ref="F42" r:id="rId10" xr:uid="{2C34729D-970D-49E8-9482-896062E2E0CB}"/>
    <hyperlink ref="F12" r:id="rId11" xr:uid="{896E43D8-AF05-46BB-83A5-EC7D0505B816}"/>
    <hyperlink ref="F15" r:id="rId12" xr:uid="{65D4BCC7-D870-4BD8-9CE7-FC5AD3CFB3AA}"/>
    <hyperlink ref="F10" r:id="rId13" xr:uid="{D3DE6548-8EF9-45CE-816E-163136BD1B99}"/>
  </hyperlinks>
  <pageMargins left="0.7" right="0.7" top="0.75" bottom="0.75" header="0.3" footer="0.3"/>
  <pageSetup paperSize="9" orientation="portrait" horizontalDpi="300" verticalDpi="300" r:id="rId14"/>
  <tableParts count="1"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5CA-01D9-4B9F-A7CF-387655020D2C}">
  <dimension ref="A1:V66"/>
  <sheetViews>
    <sheetView tabSelected="1" topLeftCell="C16" zoomScaleNormal="100" workbookViewId="0">
      <selection activeCell="G47" sqref="G47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60.5703125" customWidth="1"/>
    <col min="5" max="5" width="11" bestFit="1" customWidth="1"/>
    <col min="6" max="6" width="18.28515625" bestFit="1" customWidth="1"/>
    <col min="7" max="7" width="17" customWidth="1"/>
    <col min="8" max="8" width="64.7109375" customWidth="1"/>
    <col min="9" max="9" width="21.28515625" customWidth="1"/>
    <col min="10" max="11" width="14.28515625" bestFit="1" customWidth="1"/>
    <col min="12" max="12" width="71.85546875" customWidth="1"/>
    <col min="13" max="13" width="17.28515625" bestFit="1" customWidth="1"/>
    <col min="14" max="14" width="11" bestFit="1" customWidth="1"/>
    <col min="15" max="15" width="17.5703125" bestFit="1" customWidth="1"/>
    <col min="16" max="16" width="11.140625" bestFit="1" customWidth="1"/>
    <col min="17" max="17" width="11.28515625" bestFit="1" customWidth="1"/>
    <col min="18" max="18" width="16.140625" bestFit="1" customWidth="1"/>
    <col min="19" max="19" width="13.7109375" bestFit="1" customWidth="1"/>
    <col min="20" max="20" width="15.5703125" bestFit="1" customWidth="1"/>
    <col min="21" max="22" width="19.42578125" bestFit="1" customWidth="1"/>
    <col min="23" max="23" width="14.85546875" customWidth="1"/>
    <col min="30" max="30" width="18.85546875" bestFit="1" customWidth="1"/>
    <col min="31" max="31" width="32" customWidth="1"/>
  </cols>
  <sheetData>
    <row r="1" spans="1:22">
      <c r="A1" t="s">
        <v>6</v>
      </c>
      <c r="B1" s="12" t="s">
        <v>7</v>
      </c>
      <c r="C1" s="12" t="s">
        <v>8</v>
      </c>
      <c r="D1" s="12" t="s">
        <v>111</v>
      </c>
      <c r="E1" s="12" t="s">
        <v>9</v>
      </c>
      <c r="F1" s="12" t="s">
        <v>10</v>
      </c>
      <c r="G1" s="12" t="s">
        <v>0</v>
      </c>
      <c r="H1" s="12" t="s">
        <v>121</v>
      </c>
      <c r="I1" s="12" t="s">
        <v>212</v>
      </c>
      <c r="J1" s="12" t="s">
        <v>224</v>
      </c>
      <c r="K1" s="12" t="s">
        <v>225</v>
      </c>
      <c r="L1" t="s">
        <v>250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239</v>
      </c>
    </row>
    <row r="2" spans="1:22">
      <c r="A2" s="12">
        <v>7</v>
      </c>
      <c r="B2" s="12" t="s">
        <v>190</v>
      </c>
      <c r="C2" s="12" t="s">
        <v>22</v>
      </c>
      <c r="D2" s="12" t="s">
        <v>117</v>
      </c>
      <c r="E2" s="12">
        <v>10</v>
      </c>
      <c r="F2" s="12" t="s">
        <v>23</v>
      </c>
      <c r="G2" s="15" t="s">
        <v>151</v>
      </c>
      <c r="H2" s="12"/>
      <c r="I2" s="12">
        <v>0.22900000000000001</v>
      </c>
      <c r="J2" s="12">
        <f>$B$55*rysboard__2[[#This Row],[Quantity]]*1</f>
        <v>40</v>
      </c>
      <c r="K2" s="12">
        <f>rysboard__2[[#This Row],[Sumaryczna Ilosc Elemetnow]]*rysboard__2[[#This Row],[Cena Netto2]]</f>
        <v>9.16</v>
      </c>
      <c r="L2" s="12">
        <v>1</v>
      </c>
      <c r="M2">
        <f>IF(rysboard__2[[#This Row],[Type]]="C", rysboard__2[[#This Row],[Sumaryczna Cena]]+0, 0)</f>
        <v>9.16</v>
      </c>
      <c r="N2">
        <f>IF(rysboard__2[[#This Row],[Type]]="D", rysboard__2[[#This Row],[Sumaryczna Cena]]+0, 0)</f>
        <v>0</v>
      </c>
      <c r="O2">
        <f>IF(rysboard__2[[#This Row],[Type]]="F", rysboard__2[[#This Row],[Sumaryczna Cena]]+0, 0)</f>
        <v>0</v>
      </c>
      <c r="P2">
        <f>IF(rysboard__2[[#This Row],[Type]]="J", rysboard__2[[#This Row],[Sumaryczna Cena]]+0, 0)</f>
        <v>0</v>
      </c>
      <c r="Q2">
        <f>IF(rysboard__2[[#This Row],[Type]]="L", rysboard__2[[#This Row],[Sumaryczna Cena]]+0, 0)</f>
        <v>0</v>
      </c>
      <c r="R2">
        <f>IF(rysboard__2[[#This Row],[Type]]="Q", rysboard__2[[#This Row],[Sumaryczna Cena]]+0, 0)</f>
        <v>0</v>
      </c>
      <c r="S2">
        <f>IF(rysboard__2[[#This Row],[Type]]="R", rysboard__2[[#This Row],[Sumaryczna Cena]]+0, 0)</f>
        <v>0</v>
      </c>
      <c r="T2">
        <f>IF(rysboard__2[[#This Row],[Type]]="TH", rysboard__2[[#This Row],[Sumaryczna Cena]]+0, 0)</f>
        <v>0</v>
      </c>
      <c r="U2">
        <f>IF(rysboard__2[[#This Row],[Type]]="U", rysboard__2[[#This Row],[Sumaryczna Cena]]+0, 0)</f>
        <v>0</v>
      </c>
      <c r="V2">
        <f>IF(rysboard__2[[#This Row],[Type]]="IC", rysboard__2[[#This Row],[Sumaryczna Cena]]+0, 0)</f>
        <v>0</v>
      </c>
    </row>
    <row r="3" spans="1:22">
      <c r="A3" s="12">
        <v>20</v>
      </c>
      <c r="B3" s="12" t="s">
        <v>211</v>
      </c>
      <c r="C3" s="12" t="s">
        <v>32</v>
      </c>
      <c r="D3" s="12" t="s">
        <v>117</v>
      </c>
      <c r="E3" s="12">
        <v>15</v>
      </c>
      <c r="F3" s="12" t="s">
        <v>191</v>
      </c>
      <c r="G3" s="15" t="s">
        <v>150</v>
      </c>
      <c r="H3" s="12"/>
      <c r="I3" s="12">
        <v>7.5999999999999998E-2</v>
      </c>
      <c r="J3" s="12">
        <f>$B$55*rysboard__2[[#This Row],[Quantity]]*1</f>
        <v>60</v>
      </c>
      <c r="K3" s="12">
        <f>rysboard__2[[#This Row],[Sumaryczna Ilosc Elemetnow]]*rysboard__2[[#This Row],[Cena Netto2]]</f>
        <v>4.5599999999999996</v>
      </c>
      <c r="L3" s="12">
        <v>1</v>
      </c>
      <c r="M3">
        <f>IF(rysboard__2[[#This Row],[Type]]="C", rysboard__2[[#This Row],[Sumaryczna Cena]]+0, 0)</f>
        <v>4.5599999999999996</v>
      </c>
      <c r="N3">
        <f>IF(rysboard__2[[#This Row],[Type]]="D", rysboard__2[[#This Row],[Sumaryczna Cena]]+0, 0)</f>
        <v>0</v>
      </c>
      <c r="O3">
        <f>IF(rysboard__2[[#This Row],[Type]]="F", rysboard__2[[#This Row],[Sumaryczna Cena]]+0, 0)</f>
        <v>0</v>
      </c>
      <c r="P3">
        <f>IF(rysboard__2[[#This Row],[Type]]="J", rysboard__2[[#This Row],[Sumaryczna Cena]]+0, 0)</f>
        <v>0</v>
      </c>
      <c r="Q3">
        <f>IF(rysboard__2[[#This Row],[Type]]="L", rysboard__2[[#This Row],[Sumaryczna Cena]]+0, 0)</f>
        <v>0</v>
      </c>
      <c r="R3">
        <f>IF(rysboard__2[[#This Row],[Type]]="Q", rysboard__2[[#This Row],[Sumaryczna Cena]]+0, 0)</f>
        <v>0</v>
      </c>
      <c r="S3">
        <f>IF(rysboard__2[[#This Row],[Type]]="R", rysboard__2[[#This Row],[Sumaryczna Cena]]+0, 0)</f>
        <v>0</v>
      </c>
      <c r="T3">
        <f>IF(rysboard__2[[#This Row],[Type]]="TH", rysboard__2[[#This Row],[Sumaryczna Cena]]+0, 0)</f>
        <v>0</v>
      </c>
      <c r="U3">
        <f>IF(rysboard__2[[#This Row],[Type]]="U", rysboard__2[[#This Row],[Sumaryczna Cena]]+0, 0)</f>
        <v>0</v>
      </c>
      <c r="V3">
        <f>IF(rysboard__2[[#This Row],[Type]]="IC", rysboard__2[[#This Row],[Sumaryczna Cena]]+0, 0)</f>
        <v>0</v>
      </c>
    </row>
    <row r="4" spans="1:22">
      <c r="A4" s="12">
        <v>23</v>
      </c>
      <c r="B4" s="12" t="s">
        <v>33</v>
      </c>
      <c r="C4" s="12" t="s">
        <v>34</v>
      </c>
      <c r="D4" s="12" t="s">
        <v>117</v>
      </c>
      <c r="E4" s="12">
        <v>2</v>
      </c>
      <c r="F4" s="12" t="s">
        <v>35</v>
      </c>
      <c r="G4" s="15" t="s">
        <v>149</v>
      </c>
      <c r="H4" s="12"/>
      <c r="I4" s="12">
        <v>8.5000000000000006E-2</v>
      </c>
      <c r="J4" s="12">
        <f>$B$55*rysboard__2[[#This Row],[Quantity]]*1</f>
        <v>8</v>
      </c>
      <c r="K4" s="12">
        <f>rysboard__2[[#This Row],[Sumaryczna Ilosc Elemetnow]]*rysboard__2[[#This Row],[Cena Netto2]]</f>
        <v>0.68</v>
      </c>
      <c r="L4" s="12">
        <v>1</v>
      </c>
      <c r="M4">
        <f>IF(rysboard__2[[#This Row],[Type]]="C", rysboard__2[[#This Row],[Sumaryczna Cena]]+0, 0)</f>
        <v>0.68</v>
      </c>
      <c r="N4">
        <f>IF(rysboard__2[[#This Row],[Type]]="D", rysboard__2[[#This Row],[Sumaryczna Cena]]+0, 0)</f>
        <v>0</v>
      </c>
      <c r="O4">
        <f>IF(rysboard__2[[#This Row],[Type]]="F", rysboard__2[[#This Row],[Sumaryczna Cena]]+0, 0)</f>
        <v>0</v>
      </c>
      <c r="P4">
        <f>IF(rysboard__2[[#This Row],[Type]]="J", rysboard__2[[#This Row],[Sumaryczna Cena]]+0, 0)</f>
        <v>0</v>
      </c>
      <c r="Q4">
        <f>IF(rysboard__2[[#This Row],[Type]]="L", rysboard__2[[#This Row],[Sumaryczna Cena]]+0, 0)</f>
        <v>0</v>
      </c>
      <c r="R4">
        <f>IF(rysboard__2[[#This Row],[Type]]="Q", rysboard__2[[#This Row],[Sumaryczna Cena]]+0, 0)</f>
        <v>0</v>
      </c>
      <c r="S4">
        <f>IF(rysboard__2[[#This Row],[Type]]="R", rysboard__2[[#This Row],[Sumaryczna Cena]]+0, 0)</f>
        <v>0</v>
      </c>
      <c r="T4">
        <f>IF(rysboard__2[[#This Row],[Type]]="TH", rysboard__2[[#This Row],[Sumaryczna Cena]]+0, 0)</f>
        <v>0</v>
      </c>
      <c r="U4">
        <f>IF(rysboard__2[[#This Row],[Type]]="U", rysboard__2[[#This Row],[Sumaryczna Cena]]+0, 0)</f>
        <v>0</v>
      </c>
      <c r="V4">
        <f>IF(rysboard__2[[#This Row],[Type]]="IC", rysboard__2[[#This Row],[Sumaryczna Cena]]+0, 0)</f>
        <v>0</v>
      </c>
    </row>
    <row r="5" spans="1:22">
      <c r="A5" s="12">
        <v>24</v>
      </c>
      <c r="B5" s="12" t="s">
        <v>36</v>
      </c>
      <c r="C5" s="12" t="s">
        <v>32</v>
      </c>
      <c r="D5" s="12" t="s">
        <v>117</v>
      </c>
      <c r="E5" s="12">
        <v>2</v>
      </c>
      <c r="F5" s="12" t="s">
        <v>37</v>
      </c>
      <c r="G5" s="15" t="s">
        <v>148</v>
      </c>
      <c r="H5" s="12"/>
      <c r="I5" s="12">
        <v>7.5999999999999998E-2</v>
      </c>
      <c r="J5" s="12">
        <f>$B$55*rysboard__2[[#This Row],[Quantity]]*1</f>
        <v>8</v>
      </c>
      <c r="K5" s="12">
        <f>rysboard__2[[#This Row],[Sumaryczna Ilosc Elemetnow]]*rysboard__2[[#This Row],[Cena Netto2]]</f>
        <v>0.60799999999999998</v>
      </c>
      <c r="L5" s="12">
        <v>1</v>
      </c>
      <c r="M5">
        <f>IF(rysboard__2[[#This Row],[Type]]="C", rysboard__2[[#This Row],[Sumaryczna Cena]]+0, 0)</f>
        <v>0.60799999999999998</v>
      </c>
      <c r="N5">
        <f>IF(rysboard__2[[#This Row],[Type]]="D", rysboard__2[[#This Row],[Sumaryczna Cena]]+0, 0)</f>
        <v>0</v>
      </c>
      <c r="O5">
        <f>IF(rysboard__2[[#This Row],[Type]]="F", rysboard__2[[#This Row],[Sumaryczna Cena]]+0, 0)</f>
        <v>0</v>
      </c>
      <c r="P5">
        <f>IF(rysboard__2[[#This Row],[Type]]="J", rysboard__2[[#This Row],[Sumaryczna Cena]]+0, 0)</f>
        <v>0</v>
      </c>
      <c r="Q5">
        <f>IF(rysboard__2[[#This Row],[Type]]="L", rysboard__2[[#This Row],[Sumaryczna Cena]]+0, 0)</f>
        <v>0</v>
      </c>
      <c r="R5">
        <f>IF(rysboard__2[[#This Row],[Type]]="Q", rysboard__2[[#This Row],[Sumaryczna Cena]]+0, 0)</f>
        <v>0</v>
      </c>
      <c r="S5">
        <f>IF(rysboard__2[[#This Row],[Type]]="R", rysboard__2[[#This Row],[Sumaryczna Cena]]+0, 0)</f>
        <v>0</v>
      </c>
      <c r="T5">
        <f>IF(rysboard__2[[#This Row],[Type]]="TH", rysboard__2[[#This Row],[Sumaryczna Cena]]+0, 0)</f>
        <v>0</v>
      </c>
      <c r="U5">
        <f>IF(rysboard__2[[#This Row],[Type]]="U", rysboard__2[[#This Row],[Sumaryczna Cena]]+0, 0)</f>
        <v>0</v>
      </c>
      <c r="V5">
        <f>IF(rysboard__2[[#This Row],[Type]]="IC", rysboard__2[[#This Row],[Sumaryczna Cena]]+0, 0)</f>
        <v>0</v>
      </c>
    </row>
    <row r="6" spans="1:22">
      <c r="A6" s="12">
        <v>25</v>
      </c>
      <c r="B6" s="12" t="s">
        <v>192</v>
      </c>
      <c r="C6" s="12" t="s">
        <v>38</v>
      </c>
      <c r="D6" s="12" t="s">
        <v>117</v>
      </c>
      <c r="E6" s="12">
        <v>5</v>
      </c>
      <c r="F6" s="12" t="s">
        <v>39</v>
      </c>
      <c r="G6" s="15" t="s">
        <v>147</v>
      </c>
      <c r="H6" s="12"/>
      <c r="I6" s="12">
        <v>1.08</v>
      </c>
      <c r="J6" s="12">
        <f>$B$55*rysboard__2[[#This Row],[Quantity]]*1</f>
        <v>20</v>
      </c>
      <c r="K6" s="12">
        <f>rysboard__2[[#This Row],[Sumaryczna Ilosc Elemetnow]]*rysboard__2[[#This Row],[Cena Netto2]]</f>
        <v>21.6</v>
      </c>
      <c r="L6" s="12">
        <v>1</v>
      </c>
      <c r="M6">
        <f>IF(rysboard__2[[#This Row],[Type]]="C", rysboard__2[[#This Row],[Sumaryczna Cena]]+0, 0)</f>
        <v>21.6</v>
      </c>
      <c r="N6">
        <f>IF(rysboard__2[[#This Row],[Type]]="D", rysboard__2[[#This Row],[Sumaryczna Cena]]+0, 0)</f>
        <v>0</v>
      </c>
      <c r="O6">
        <f>IF(rysboard__2[[#This Row],[Type]]="F", rysboard__2[[#This Row],[Sumaryczna Cena]]+0, 0)</f>
        <v>0</v>
      </c>
      <c r="P6">
        <f>IF(rysboard__2[[#This Row],[Type]]="J", rysboard__2[[#This Row],[Sumaryczna Cena]]+0, 0)</f>
        <v>0</v>
      </c>
      <c r="Q6">
        <f>IF(rysboard__2[[#This Row],[Type]]="L", rysboard__2[[#This Row],[Sumaryczna Cena]]+0, 0)</f>
        <v>0</v>
      </c>
      <c r="R6">
        <f>IF(rysboard__2[[#This Row],[Type]]="Q", rysboard__2[[#This Row],[Sumaryczna Cena]]+0, 0)</f>
        <v>0</v>
      </c>
      <c r="S6">
        <f>IF(rysboard__2[[#This Row],[Type]]="R", rysboard__2[[#This Row],[Sumaryczna Cena]]+0, 0)</f>
        <v>0</v>
      </c>
      <c r="T6">
        <f>IF(rysboard__2[[#This Row],[Type]]="TH", rysboard__2[[#This Row],[Sumaryczna Cena]]+0, 0)</f>
        <v>0</v>
      </c>
      <c r="U6">
        <f>IF(rysboard__2[[#This Row],[Type]]="U", rysboard__2[[#This Row],[Sumaryczna Cena]]+0, 0)</f>
        <v>0</v>
      </c>
      <c r="V6">
        <f>IF(rysboard__2[[#This Row],[Type]]="IC", rysboard__2[[#This Row],[Sumaryczna Cena]]+0, 0)</f>
        <v>0</v>
      </c>
    </row>
    <row r="7" spans="1:22">
      <c r="A7" s="12">
        <v>26</v>
      </c>
      <c r="B7" s="12" t="s">
        <v>40</v>
      </c>
      <c r="C7" s="12" t="s">
        <v>32</v>
      </c>
      <c r="D7" s="12" t="s">
        <v>117</v>
      </c>
      <c r="E7" s="12">
        <v>1</v>
      </c>
      <c r="F7" s="12" t="s">
        <v>3</v>
      </c>
      <c r="G7" s="15" t="s">
        <v>146</v>
      </c>
      <c r="H7" s="12"/>
      <c r="I7" s="12">
        <v>0.373</v>
      </c>
      <c r="J7" s="12">
        <f>$B$55*rysboard__2[[#This Row],[Quantity]]*1</f>
        <v>4</v>
      </c>
      <c r="K7" s="12">
        <f>rysboard__2[[#This Row],[Sumaryczna Ilosc Elemetnow]]*rysboard__2[[#This Row],[Cena Netto2]]</f>
        <v>1.492</v>
      </c>
      <c r="L7" s="12">
        <v>1</v>
      </c>
      <c r="M7">
        <f>IF(rysboard__2[[#This Row],[Type]]="C", rysboard__2[[#This Row],[Sumaryczna Cena]]+0, 0)</f>
        <v>1.492</v>
      </c>
      <c r="N7">
        <f>IF(rysboard__2[[#This Row],[Type]]="D", rysboard__2[[#This Row],[Sumaryczna Cena]]+0, 0)</f>
        <v>0</v>
      </c>
      <c r="O7">
        <f>IF(rysboard__2[[#This Row],[Type]]="F", rysboard__2[[#This Row],[Sumaryczna Cena]]+0, 0)</f>
        <v>0</v>
      </c>
      <c r="P7">
        <f>IF(rysboard__2[[#This Row],[Type]]="J", rysboard__2[[#This Row],[Sumaryczna Cena]]+0, 0)</f>
        <v>0</v>
      </c>
      <c r="Q7">
        <f>IF(rysboard__2[[#This Row],[Type]]="L", rysboard__2[[#This Row],[Sumaryczna Cena]]+0, 0)</f>
        <v>0</v>
      </c>
      <c r="R7">
        <f>IF(rysboard__2[[#This Row],[Type]]="Q", rysboard__2[[#This Row],[Sumaryczna Cena]]+0, 0)</f>
        <v>0</v>
      </c>
      <c r="S7">
        <f>IF(rysboard__2[[#This Row],[Type]]="R", rysboard__2[[#This Row],[Sumaryczna Cena]]+0, 0)</f>
        <v>0</v>
      </c>
      <c r="T7">
        <f>IF(rysboard__2[[#This Row],[Type]]="TH", rysboard__2[[#This Row],[Sumaryczna Cena]]+0, 0)</f>
        <v>0</v>
      </c>
      <c r="U7">
        <f>IF(rysboard__2[[#This Row],[Type]]="U", rysboard__2[[#This Row],[Sumaryczna Cena]]+0, 0)</f>
        <v>0</v>
      </c>
      <c r="V7">
        <f>IF(rysboard__2[[#This Row],[Type]]="IC", rysboard__2[[#This Row],[Sumaryczna Cena]]+0, 0)</f>
        <v>0</v>
      </c>
    </row>
    <row r="8" spans="1:22">
      <c r="A8" s="12">
        <v>4</v>
      </c>
      <c r="B8" s="12" t="s">
        <v>13</v>
      </c>
      <c r="C8" s="12" t="s">
        <v>5</v>
      </c>
      <c r="D8" s="12" t="s">
        <v>113</v>
      </c>
      <c r="E8" s="12">
        <v>1</v>
      </c>
      <c r="F8" s="12" t="s">
        <v>14</v>
      </c>
      <c r="G8" s="15" t="s">
        <v>164</v>
      </c>
      <c r="H8" s="12"/>
      <c r="I8" s="12">
        <v>0.76200000000000001</v>
      </c>
      <c r="J8" s="12">
        <f>$B$55*rysboard__2[[#This Row],[Quantity]]*1</f>
        <v>4</v>
      </c>
      <c r="K8" s="12">
        <f>rysboard__2[[#This Row],[Sumaryczna Ilosc Elemetnow]]*rysboard__2[[#This Row],[Cena Netto2]]</f>
        <v>3.048</v>
      </c>
      <c r="L8" s="12">
        <v>1</v>
      </c>
      <c r="M8">
        <f>IF(rysboard__2[[#This Row],[Type]]="C", rysboard__2[[#This Row],[Sumaryczna Cena]]+0, 0)</f>
        <v>0</v>
      </c>
      <c r="N8">
        <f>IF(rysboard__2[[#This Row],[Type]]="D", rysboard__2[[#This Row],[Sumaryczna Cena]]+0, 0)</f>
        <v>3.048</v>
      </c>
      <c r="O8">
        <f>IF(rysboard__2[[#This Row],[Type]]="F", rysboard__2[[#This Row],[Sumaryczna Cena]]+0, 0)</f>
        <v>0</v>
      </c>
      <c r="P8">
        <f>IF(rysboard__2[[#This Row],[Type]]="J", rysboard__2[[#This Row],[Sumaryczna Cena]]+0, 0)</f>
        <v>0</v>
      </c>
      <c r="Q8">
        <f>IF(rysboard__2[[#This Row],[Type]]="L", rysboard__2[[#This Row],[Sumaryczna Cena]]+0, 0)</f>
        <v>0</v>
      </c>
      <c r="R8">
        <f>IF(rysboard__2[[#This Row],[Type]]="Q", rysboard__2[[#This Row],[Sumaryczna Cena]]+0, 0)</f>
        <v>0</v>
      </c>
      <c r="S8">
        <f>IF(rysboard__2[[#This Row],[Type]]="R", rysboard__2[[#This Row],[Sumaryczna Cena]]+0, 0)</f>
        <v>0</v>
      </c>
      <c r="T8">
        <f>IF(rysboard__2[[#This Row],[Type]]="TH", rysboard__2[[#This Row],[Sumaryczna Cena]]+0, 0)</f>
        <v>0</v>
      </c>
      <c r="U8">
        <f>IF(rysboard__2[[#This Row],[Type]]="U", rysboard__2[[#This Row],[Sumaryczna Cena]]+0, 0)</f>
        <v>0</v>
      </c>
      <c r="V8">
        <f>IF(rysboard__2[[#This Row],[Type]]="IC", rysboard__2[[#This Row],[Sumaryczna Cena]]+0, 0)</f>
        <v>0</v>
      </c>
    </row>
    <row r="9" spans="1:22">
      <c r="A9" s="12">
        <v>10</v>
      </c>
      <c r="B9" s="12" t="s">
        <v>26</v>
      </c>
      <c r="C9" s="12" t="s">
        <v>27</v>
      </c>
      <c r="D9" s="12" t="s">
        <v>113</v>
      </c>
      <c r="E9" s="12">
        <v>1</v>
      </c>
      <c r="F9" s="12" t="s">
        <v>28</v>
      </c>
      <c r="G9" s="15" t="s">
        <v>173</v>
      </c>
      <c r="H9" s="12"/>
      <c r="I9" s="12">
        <v>0.14000000000000001</v>
      </c>
      <c r="J9" s="12">
        <f>$B$55*rysboard__2[[#This Row],[Quantity]]*1</f>
        <v>4</v>
      </c>
      <c r="K9" s="12">
        <f>rysboard__2[[#This Row],[Sumaryczna Ilosc Elemetnow]]*rysboard__2[[#This Row],[Cena Netto2]]</f>
        <v>0.56000000000000005</v>
      </c>
      <c r="L9" s="12">
        <v>0</v>
      </c>
      <c r="M9">
        <f>IF(rysboard__2[[#This Row],[Type]]="C", rysboard__2[[#This Row],[Sumaryczna Cena]]+0, 0)</f>
        <v>0</v>
      </c>
      <c r="N9">
        <f>IF(rysboard__2[[#This Row],[Type]]="D", rysboard__2[[#This Row],[Sumaryczna Cena]]+0, 0)</f>
        <v>0.56000000000000005</v>
      </c>
      <c r="O9">
        <f>IF(rysboard__2[[#This Row],[Type]]="F", rysboard__2[[#This Row],[Sumaryczna Cena]]+0, 0)</f>
        <v>0</v>
      </c>
      <c r="P9">
        <f>IF(rysboard__2[[#This Row],[Type]]="J", rysboard__2[[#This Row],[Sumaryczna Cena]]+0, 0)</f>
        <v>0</v>
      </c>
      <c r="Q9">
        <f>IF(rysboard__2[[#This Row],[Type]]="L", rysboard__2[[#This Row],[Sumaryczna Cena]]+0, 0)</f>
        <v>0</v>
      </c>
      <c r="R9">
        <f>IF(rysboard__2[[#This Row],[Type]]="Q", rysboard__2[[#This Row],[Sumaryczna Cena]]+0, 0)</f>
        <v>0</v>
      </c>
      <c r="S9">
        <f>IF(rysboard__2[[#This Row],[Type]]="R", rysboard__2[[#This Row],[Sumaryczna Cena]]+0, 0)</f>
        <v>0</v>
      </c>
      <c r="T9">
        <f>IF(rysboard__2[[#This Row],[Type]]="TH", rysboard__2[[#This Row],[Sumaryczna Cena]]+0, 0)</f>
        <v>0</v>
      </c>
      <c r="U9">
        <f>IF(rysboard__2[[#This Row],[Type]]="U", rysboard__2[[#This Row],[Sumaryczna Cena]]+0, 0)</f>
        <v>0</v>
      </c>
      <c r="V9">
        <f>IF(rysboard__2[[#This Row],[Type]]="IC", rysboard__2[[#This Row],[Sumaryczna Cena]]+0, 0)</f>
        <v>0</v>
      </c>
    </row>
    <row r="10" spans="1:22">
      <c r="A10" s="12">
        <v>28</v>
      </c>
      <c r="B10" s="12" t="s">
        <v>41</v>
      </c>
      <c r="C10" s="12" t="s">
        <v>42</v>
      </c>
      <c r="D10" s="12" t="s">
        <v>113</v>
      </c>
      <c r="E10" s="12">
        <v>2</v>
      </c>
      <c r="F10" s="12" t="s">
        <v>43</v>
      </c>
      <c r="G10" s="15" t="s">
        <v>152</v>
      </c>
      <c r="H10" s="12"/>
      <c r="I10" s="12">
        <v>0.186</v>
      </c>
      <c r="J10" s="12">
        <f>$B$55*rysboard__2[[#This Row],[Quantity]]*1</f>
        <v>8</v>
      </c>
      <c r="K10" s="12">
        <f>rysboard__2[[#This Row],[Sumaryczna Ilosc Elemetnow]]*rysboard__2[[#This Row],[Cena Netto2]]</f>
        <v>1.488</v>
      </c>
      <c r="L10" s="12">
        <v>1</v>
      </c>
      <c r="M10">
        <f>IF(rysboard__2[[#This Row],[Type]]="C", rysboard__2[[#This Row],[Sumaryczna Cena]]+0, 0)</f>
        <v>0</v>
      </c>
      <c r="N10">
        <f>IF(rysboard__2[[#This Row],[Type]]="D", rysboard__2[[#This Row],[Sumaryczna Cena]]+0, 0)</f>
        <v>1.488</v>
      </c>
      <c r="O10">
        <f>IF(rysboard__2[[#This Row],[Type]]="F", rysboard__2[[#This Row],[Sumaryczna Cena]]+0, 0)</f>
        <v>0</v>
      </c>
      <c r="P10">
        <f>IF(rysboard__2[[#This Row],[Type]]="J", rysboard__2[[#This Row],[Sumaryczna Cena]]+0, 0)</f>
        <v>0</v>
      </c>
      <c r="Q10">
        <f>IF(rysboard__2[[#This Row],[Type]]="L", rysboard__2[[#This Row],[Sumaryczna Cena]]+0, 0)</f>
        <v>0</v>
      </c>
      <c r="R10">
        <f>IF(rysboard__2[[#This Row],[Type]]="Q", rysboard__2[[#This Row],[Sumaryczna Cena]]+0, 0)</f>
        <v>0</v>
      </c>
      <c r="S10">
        <f>IF(rysboard__2[[#This Row],[Type]]="R", rysboard__2[[#This Row],[Sumaryczna Cena]]+0, 0)</f>
        <v>0</v>
      </c>
      <c r="T10">
        <f>IF(rysboard__2[[#This Row],[Type]]="TH", rysboard__2[[#This Row],[Sumaryczna Cena]]+0, 0)</f>
        <v>0</v>
      </c>
      <c r="U10">
        <f>IF(rysboard__2[[#This Row],[Type]]="U", rysboard__2[[#This Row],[Sumaryczna Cena]]+0, 0)</f>
        <v>0</v>
      </c>
      <c r="V10">
        <f>IF(rysboard__2[[#This Row],[Type]]="IC", rysboard__2[[#This Row],[Sumaryczna Cena]]+0, 0)</f>
        <v>0</v>
      </c>
    </row>
    <row r="11" spans="1:22">
      <c r="A11" s="12">
        <v>29</v>
      </c>
      <c r="B11" s="12" t="s">
        <v>44</v>
      </c>
      <c r="C11" s="12" t="s">
        <v>45</v>
      </c>
      <c r="D11" s="12" t="s">
        <v>113</v>
      </c>
      <c r="E11" s="12">
        <v>2</v>
      </c>
      <c r="F11" s="12" t="s">
        <v>46</v>
      </c>
      <c r="G11" s="15" t="s">
        <v>169</v>
      </c>
      <c r="H11" s="12"/>
      <c r="I11" s="12">
        <v>0.373</v>
      </c>
      <c r="J11" s="12">
        <f>$B$55*rysboard__2[[#This Row],[Quantity]]*1</f>
        <v>8</v>
      </c>
      <c r="K11" s="12">
        <f>rysboard__2[[#This Row],[Sumaryczna Ilosc Elemetnow]]*rysboard__2[[#This Row],[Cena Netto2]]</f>
        <v>2.984</v>
      </c>
      <c r="L11" s="12">
        <v>1</v>
      </c>
      <c r="M11">
        <f>IF(rysboard__2[[#This Row],[Type]]="C", rysboard__2[[#This Row],[Sumaryczna Cena]]+0, 0)</f>
        <v>0</v>
      </c>
      <c r="N11">
        <f>IF(rysboard__2[[#This Row],[Type]]="D", rysboard__2[[#This Row],[Sumaryczna Cena]]+0, 0)</f>
        <v>2.984</v>
      </c>
      <c r="O11">
        <f>IF(rysboard__2[[#This Row],[Type]]="F", rysboard__2[[#This Row],[Sumaryczna Cena]]+0, 0)</f>
        <v>0</v>
      </c>
      <c r="P11">
        <f>IF(rysboard__2[[#This Row],[Type]]="J", rysboard__2[[#This Row],[Sumaryczna Cena]]+0, 0)</f>
        <v>0</v>
      </c>
      <c r="Q11">
        <f>IF(rysboard__2[[#This Row],[Type]]="L", rysboard__2[[#This Row],[Sumaryczna Cena]]+0, 0)</f>
        <v>0</v>
      </c>
      <c r="R11">
        <f>IF(rysboard__2[[#This Row],[Type]]="Q", rysboard__2[[#This Row],[Sumaryczna Cena]]+0, 0)</f>
        <v>0</v>
      </c>
      <c r="S11">
        <f>IF(rysboard__2[[#This Row],[Type]]="R", rysboard__2[[#This Row],[Sumaryczna Cena]]+0, 0)</f>
        <v>0</v>
      </c>
      <c r="T11">
        <f>IF(rysboard__2[[#This Row],[Type]]="TH", rysboard__2[[#This Row],[Sumaryczna Cena]]+0, 0)</f>
        <v>0</v>
      </c>
      <c r="U11">
        <f>IF(rysboard__2[[#This Row],[Type]]="U", rysboard__2[[#This Row],[Sumaryczna Cena]]+0, 0)</f>
        <v>0</v>
      </c>
      <c r="V11">
        <f>IF(rysboard__2[[#This Row],[Type]]="IC", rysboard__2[[#This Row],[Sumaryczna Cena]]+0, 0)</f>
        <v>0</v>
      </c>
    </row>
    <row r="12" spans="1:22">
      <c r="A12" s="12">
        <v>30</v>
      </c>
      <c r="B12" s="12" t="s">
        <v>47</v>
      </c>
      <c r="C12" s="12" t="s">
        <v>48</v>
      </c>
      <c r="D12" s="12" t="s">
        <v>113</v>
      </c>
      <c r="E12" s="12">
        <v>1</v>
      </c>
      <c r="F12" s="12" t="s">
        <v>49</v>
      </c>
      <c r="G12" s="15" t="s">
        <v>170</v>
      </c>
      <c r="H12" s="12"/>
      <c r="I12" s="12">
        <v>0.30499999999999999</v>
      </c>
      <c r="J12" s="12">
        <f>$B$55*rysboard__2[[#This Row],[Quantity]]*1</f>
        <v>4</v>
      </c>
      <c r="K12" s="12">
        <f>rysboard__2[[#This Row],[Sumaryczna Ilosc Elemetnow]]*rysboard__2[[#This Row],[Cena Netto2]]</f>
        <v>1.22</v>
      </c>
      <c r="L12" s="12">
        <v>1</v>
      </c>
      <c r="M12">
        <f>IF(rysboard__2[[#This Row],[Type]]="C", rysboard__2[[#This Row],[Sumaryczna Cena]]+0, 0)</f>
        <v>0</v>
      </c>
      <c r="N12">
        <f>IF(rysboard__2[[#This Row],[Type]]="D", rysboard__2[[#This Row],[Sumaryczna Cena]]+0, 0)</f>
        <v>1.22</v>
      </c>
      <c r="O12">
        <f>IF(rysboard__2[[#This Row],[Type]]="F", rysboard__2[[#This Row],[Sumaryczna Cena]]+0, 0)</f>
        <v>0</v>
      </c>
      <c r="P12">
        <f>IF(rysboard__2[[#This Row],[Type]]="J", rysboard__2[[#This Row],[Sumaryczna Cena]]+0, 0)</f>
        <v>0</v>
      </c>
      <c r="Q12">
        <f>IF(rysboard__2[[#This Row],[Type]]="L", rysboard__2[[#This Row],[Sumaryczna Cena]]+0, 0)</f>
        <v>0</v>
      </c>
      <c r="R12">
        <f>IF(rysboard__2[[#This Row],[Type]]="Q", rysboard__2[[#This Row],[Sumaryczna Cena]]+0, 0)</f>
        <v>0</v>
      </c>
      <c r="S12">
        <f>IF(rysboard__2[[#This Row],[Type]]="R", rysboard__2[[#This Row],[Sumaryczna Cena]]+0, 0)</f>
        <v>0</v>
      </c>
      <c r="T12">
        <f>IF(rysboard__2[[#This Row],[Type]]="TH", rysboard__2[[#This Row],[Sumaryczna Cena]]+0, 0)</f>
        <v>0</v>
      </c>
      <c r="U12">
        <f>IF(rysboard__2[[#This Row],[Type]]="U", rysboard__2[[#This Row],[Sumaryczna Cena]]+0, 0)</f>
        <v>0</v>
      </c>
      <c r="V12">
        <f>IF(rysboard__2[[#This Row],[Type]]="IC", rysboard__2[[#This Row],[Sumaryczna Cena]]+0, 0)</f>
        <v>0</v>
      </c>
    </row>
    <row r="13" spans="1:22">
      <c r="A13" s="12">
        <v>67</v>
      </c>
      <c r="B13" s="12" t="s">
        <v>203</v>
      </c>
      <c r="C13" s="12" t="s">
        <v>204</v>
      </c>
      <c r="D13" s="12" t="s">
        <v>113</v>
      </c>
      <c r="E13" s="12">
        <v>2</v>
      </c>
      <c r="F13" s="12" t="s">
        <v>205</v>
      </c>
      <c r="G13" s="15" t="s">
        <v>215</v>
      </c>
      <c r="H13" s="12" t="s">
        <v>187</v>
      </c>
      <c r="I13" s="12">
        <v>0.38100000000000001</v>
      </c>
      <c r="J13" s="12">
        <f>$B$55*rysboard__2[[#This Row],[Quantity]]*1</f>
        <v>8</v>
      </c>
      <c r="K13" s="12">
        <f>rysboard__2[[#This Row],[Sumaryczna Ilosc Elemetnow]]*rysboard__2[[#This Row],[Cena Netto2]]</f>
        <v>3.048</v>
      </c>
      <c r="L13" s="12">
        <v>1</v>
      </c>
      <c r="M13">
        <f>IF(rysboard__2[[#This Row],[Type]]="C", rysboard__2[[#This Row],[Sumaryczna Cena]]+0, 0)</f>
        <v>0</v>
      </c>
      <c r="N13">
        <f>IF(rysboard__2[[#This Row],[Type]]="D", rysboard__2[[#This Row],[Sumaryczna Cena]]+0, 0)</f>
        <v>3.048</v>
      </c>
      <c r="O13">
        <f>IF(rysboard__2[[#This Row],[Type]]="F", rysboard__2[[#This Row],[Sumaryczna Cena]]+0, 0)</f>
        <v>0</v>
      </c>
      <c r="P13">
        <f>IF(rysboard__2[[#This Row],[Type]]="J", rysboard__2[[#This Row],[Sumaryczna Cena]]+0, 0)</f>
        <v>0</v>
      </c>
      <c r="Q13">
        <f>IF(rysboard__2[[#This Row],[Type]]="L", rysboard__2[[#This Row],[Sumaryczna Cena]]+0, 0)</f>
        <v>0</v>
      </c>
      <c r="R13">
        <f>IF(rysboard__2[[#This Row],[Type]]="Q", rysboard__2[[#This Row],[Sumaryczna Cena]]+0, 0)</f>
        <v>0</v>
      </c>
      <c r="S13">
        <f>IF(rysboard__2[[#This Row],[Type]]="R", rysboard__2[[#This Row],[Sumaryczna Cena]]+0, 0)</f>
        <v>0</v>
      </c>
      <c r="T13">
        <f>IF(rysboard__2[[#This Row],[Type]]="TH", rysboard__2[[#This Row],[Sumaryczna Cena]]+0, 0)</f>
        <v>0</v>
      </c>
      <c r="U13">
        <f>IF(rysboard__2[[#This Row],[Type]]="U", rysboard__2[[#This Row],[Sumaryczna Cena]]+0, 0)</f>
        <v>0</v>
      </c>
      <c r="V13">
        <f>IF(rysboard__2[[#This Row],[Type]]="IC", rysboard__2[[#This Row],[Sumaryczna Cena]]+0, 0)</f>
        <v>0</v>
      </c>
    </row>
    <row r="14" spans="1:22">
      <c r="A14" s="12">
        <v>68</v>
      </c>
      <c r="B14" s="12" t="s">
        <v>206</v>
      </c>
      <c r="C14" s="12" t="s">
        <v>204</v>
      </c>
      <c r="D14" s="12" t="s">
        <v>113</v>
      </c>
      <c r="E14" s="12">
        <v>4</v>
      </c>
      <c r="F14" s="12" t="s">
        <v>4</v>
      </c>
      <c r="G14" s="15" t="s">
        <v>216</v>
      </c>
      <c r="H14" s="12" t="s">
        <v>187</v>
      </c>
      <c r="I14" s="12">
        <v>0.35599999999999998</v>
      </c>
      <c r="J14" s="12">
        <f>$B$55*rysboard__2[[#This Row],[Quantity]]*1</f>
        <v>16</v>
      </c>
      <c r="K14" s="12">
        <f>rysboard__2[[#This Row],[Sumaryczna Ilosc Elemetnow]]*rysboard__2[[#This Row],[Cena Netto2]]</f>
        <v>5.6959999999999997</v>
      </c>
      <c r="L14" s="12">
        <v>1</v>
      </c>
      <c r="M14">
        <f>IF(rysboard__2[[#This Row],[Type]]="C", rysboard__2[[#This Row],[Sumaryczna Cena]]+0, 0)</f>
        <v>0</v>
      </c>
      <c r="N14">
        <f>IF(rysboard__2[[#This Row],[Type]]="D", rysboard__2[[#This Row],[Sumaryczna Cena]]+0, 0)</f>
        <v>5.6959999999999997</v>
      </c>
      <c r="O14">
        <f>IF(rysboard__2[[#This Row],[Type]]="F", rysboard__2[[#This Row],[Sumaryczna Cena]]+0, 0)</f>
        <v>0</v>
      </c>
      <c r="P14">
        <f>IF(rysboard__2[[#This Row],[Type]]="J", rysboard__2[[#This Row],[Sumaryczna Cena]]+0, 0)</f>
        <v>0</v>
      </c>
      <c r="Q14">
        <f>IF(rysboard__2[[#This Row],[Type]]="L", rysboard__2[[#This Row],[Sumaryczna Cena]]+0, 0)</f>
        <v>0</v>
      </c>
      <c r="R14">
        <f>IF(rysboard__2[[#This Row],[Type]]="Q", rysboard__2[[#This Row],[Sumaryczna Cena]]+0, 0)</f>
        <v>0</v>
      </c>
      <c r="S14">
        <f>IF(rysboard__2[[#This Row],[Type]]="R", rysboard__2[[#This Row],[Sumaryczna Cena]]+0, 0)</f>
        <v>0</v>
      </c>
      <c r="T14">
        <f>IF(rysboard__2[[#This Row],[Type]]="TH", rysboard__2[[#This Row],[Sumaryczna Cena]]+0, 0)</f>
        <v>0</v>
      </c>
      <c r="U14">
        <f>IF(rysboard__2[[#This Row],[Type]]="U", rysboard__2[[#This Row],[Sumaryczna Cena]]+0, 0)</f>
        <v>0</v>
      </c>
      <c r="V14">
        <f>IF(rysboard__2[[#This Row],[Type]]="IC", rysboard__2[[#This Row],[Sumaryczna Cena]]+0, 0)</f>
        <v>0</v>
      </c>
    </row>
    <row r="15" spans="1:22">
      <c r="A15" s="12">
        <v>31</v>
      </c>
      <c r="B15" s="12" t="s">
        <v>53</v>
      </c>
      <c r="C15" s="12" t="s">
        <v>54</v>
      </c>
      <c r="D15" s="12" t="s">
        <v>118</v>
      </c>
      <c r="E15" s="12">
        <v>2</v>
      </c>
      <c r="F15" s="12" t="s">
        <v>55</v>
      </c>
      <c r="G15" s="12" t="s">
        <v>172</v>
      </c>
      <c r="H15" s="12"/>
      <c r="I15" s="12">
        <v>0.90600000000000003</v>
      </c>
      <c r="J15" s="12">
        <f>$B$55*rysboard__2[[#This Row],[Quantity]]*1</f>
        <v>8</v>
      </c>
      <c r="K15" s="12">
        <f>rysboard__2[[#This Row],[Sumaryczna Ilosc Elemetnow]]*rysboard__2[[#This Row],[Cena Netto2]]</f>
        <v>7.2480000000000002</v>
      </c>
      <c r="L15" s="12">
        <v>0</v>
      </c>
      <c r="M15">
        <f>IF(rysboard__2[[#This Row],[Type]]="C", rysboard__2[[#This Row],[Sumaryczna Cena]]+0, 0)</f>
        <v>0</v>
      </c>
      <c r="N15">
        <f>IF(rysboard__2[[#This Row],[Type]]="D", rysboard__2[[#This Row],[Sumaryczna Cena]]+0, 0)</f>
        <v>0</v>
      </c>
      <c r="O15">
        <f>IF(rysboard__2[[#This Row],[Type]]="F", rysboard__2[[#This Row],[Sumaryczna Cena]]+0, 0)</f>
        <v>7.2480000000000002</v>
      </c>
      <c r="P15">
        <f>IF(rysboard__2[[#This Row],[Type]]="J", rysboard__2[[#This Row],[Sumaryczna Cena]]+0, 0)</f>
        <v>0</v>
      </c>
      <c r="Q15">
        <f>IF(rysboard__2[[#This Row],[Type]]="L", rysboard__2[[#This Row],[Sumaryczna Cena]]+0, 0)</f>
        <v>0</v>
      </c>
      <c r="R15">
        <f>IF(rysboard__2[[#This Row],[Type]]="Q", rysboard__2[[#This Row],[Sumaryczna Cena]]+0, 0)</f>
        <v>0</v>
      </c>
      <c r="S15">
        <f>IF(rysboard__2[[#This Row],[Type]]="R", rysboard__2[[#This Row],[Sumaryczna Cena]]+0, 0)</f>
        <v>0</v>
      </c>
      <c r="T15">
        <f>IF(rysboard__2[[#This Row],[Type]]="TH", rysboard__2[[#This Row],[Sumaryczna Cena]]+0, 0)</f>
        <v>0</v>
      </c>
      <c r="U15">
        <f>IF(rysboard__2[[#This Row],[Type]]="U", rysboard__2[[#This Row],[Sumaryczna Cena]]+0, 0)</f>
        <v>0</v>
      </c>
      <c r="V15">
        <f>IF(rysboard__2[[#This Row],[Type]]="IC", rysboard__2[[#This Row],[Sumaryczna Cena]]+0, 0)</f>
        <v>0</v>
      </c>
    </row>
    <row r="16" spans="1:22">
      <c r="A16" s="12">
        <v>69</v>
      </c>
      <c r="B16" s="12" t="s">
        <v>207</v>
      </c>
      <c r="C16" s="12" t="s">
        <v>181</v>
      </c>
      <c r="D16" s="12" t="s">
        <v>210</v>
      </c>
      <c r="E16" s="12">
        <v>2</v>
      </c>
      <c r="F16" s="12" t="s">
        <v>181</v>
      </c>
      <c r="G16" s="15" t="s">
        <v>182</v>
      </c>
      <c r="H16" s="12"/>
      <c r="I16">
        <v>2.61</v>
      </c>
      <c r="J16" s="12">
        <f>$B$55*rysboard__2[[#This Row],[Quantity]]*1</f>
        <v>8</v>
      </c>
      <c r="K16" s="12">
        <f>rysboard__2[[#This Row],[Sumaryczna Ilosc Elemetnow]]*rysboard__2[[#This Row],[Cena Netto2]]</f>
        <v>20.88</v>
      </c>
      <c r="L16" s="12"/>
      <c r="M16">
        <f>IF(rysboard__2[[#This Row],[Type]]="C", rysboard__2[[#This Row],[Sumaryczna Cena]]+0, 0)</f>
        <v>0</v>
      </c>
      <c r="N16">
        <f>IF(rysboard__2[[#This Row],[Type]]="D", rysboard__2[[#This Row],[Sumaryczna Cena]]+0, 0)</f>
        <v>0</v>
      </c>
      <c r="O16">
        <f>IF(rysboard__2[[#This Row],[Type]]="F", rysboard__2[[#This Row],[Sumaryczna Cena]]+0, 0)</f>
        <v>0</v>
      </c>
      <c r="P16">
        <f>IF(rysboard__2[[#This Row],[Type]]="J", rysboard__2[[#This Row],[Sumaryczna Cena]]+0, 0)</f>
        <v>0</v>
      </c>
      <c r="Q16">
        <f>IF(rysboard__2[[#This Row],[Type]]="L", rysboard__2[[#This Row],[Sumaryczna Cena]]+0, 0)</f>
        <v>0</v>
      </c>
      <c r="R16">
        <f>IF(rysboard__2[[#This Row],[Type]]="Q", rysboard__2[[#This Row],[Sumaryczna Cena]]+0, 0)</f>
        <v>0</v>
      </c>
      <c r="S16">
        <f>IF(rysboard__2[[#This Row],[Type]]="R", rysboard__2[[#This Row],[Sumaryczna Cena]]+0, 0)</f>
        <v>0</v>
      </c>
      <c r="T16">
        <f>IF(rysboard__2[[#This Row],[Type]]="TH", rysboard__2[[#This Row],[Sumaryczna Cena]]+0, 0)</f>
        <v>0</v>
      </c>
      <c r="U16">
        <f>IF(rysboard__2[[#This Row],[Type]]="U", rysboard__2[[#This Row],[Sumaryczna Cena]]+0, 0)</f>
        <v>0</v>
      </c>
      <c r="V16">
        <f>IF(rysboard__2[[#This Row],[Type]]="IC", rysboard__2[[#This Row],[Sumaryczna Cena]]+0, 0)</f>
        <v>20.88</v>
      </c>
    </row>
    <row r="17" spans="1:22">
      <c r="A17" s="12">
        <v>32</v>
      </c>
      <c r="B17" s="12" t="s">
        <v>56</v>
      </c>
      <c r="C17" s="12" t="s">
        <v>57</v>
      </c>
      <c r="D17" s="12" t="s">
        <v>115</v>
      </c>
      <c r="E17" s="12">
        <v>1</v>
      </c>
      <c r="F17" s="12" t="s">
        <v>58</v>
      </c>
      <c r="G17" s="15" t="s">
        <v>175</v>
      </c>
      <c r="H17" s="12"/>
      <c r="I17" s="12">
        <v>0.33500000000000002</v>
      </c>
      <c r="J17" s="12">
        <f>$B$55*rysboard__2[[#This Row],[Quantity]]*1</f>
        <v>4</v>
      </c>
      <c r="K17" s="12">
        <f>rysboard__2[[#This Row],[Sumaryczna Ilosc Elemetnow]]*rysboard__2[[#This Row],[Cena Netto2]]</f>
        <v>1.34</v>
      </c>
      <c r="L17" s="12"/>
      <c r="M17">
        <f>IF(rysboard__2[[#This Row],[Type]]="C", rysboard__2[[#This Row],[Sumaryczna Cena]]+0, 0)</f>
        <v>0</v>
      </c>
      <c r="N17">
        <f>IF(rysboard__2[[#This Row],[Type]]="D", rysboard__2[[#This Row],[Sumaryczna Cena]]+0, 0)</f>
        <v>0</v>
      </c>
      <c r="O17">
        <f>IF(rysboard__2[[#This Row],[Type]]="F", rysboard__2[[#This Row],[Sumaryczna Cena]]+0, 0)</f>
        <v>0</v>
      </c>
      <c r="P17">
        <f>IF(rysboard__2[[#This Row],[Type]]="J", rysboard__2[[#This Row],[Sumaryczna Cena]]+0, 0)</f>
        <v>1.34</v>
      </c>
      <c r="Q17">
        <f>IF(rysboard__2[[#This Row],[Type]]="L", rysboard__2[[#This Row],[Sumaryczna Cena]]+0, 0)</f>
        <v>0</v>
      </c>
      <c r="R17">
        <f>IF(rysboard__2[[#This Row],[Type]]="Q", rysboard__2[[#This Row],[Sumaryczna Cena]]+0, 0)</f>
        <v>0</v>
      </c>
      <c r="S17">
        <f>IF(rysboard__2[[#This Row],[Type]]="R", rysboard__2[[#This Row],[Sumaryczna Cena]]+0, 0)</f>
        <v>0</v>
      </c>
      <c r="T17">
        <f>IF(rysboard__2[[#This Row],[Type]]="TH", rysboard__2[[#This Row],[Sumaryczna Cena]]+0, 0)</f>
        <v>0</v>
      </c>
      <c r="U17">
        <f>IF(rysboard__2[[#This Row],[Type]]="U", rysboard__2[[#This Row],[Sumaryczna Cena]]+0, 0)</f>
        <v>0</v>
      </c>
      <c r="V17">
        <f>IF(rysboard__2[[#This Row],[Type]]="IC", rysboard__2[[#This Row],[Sumaryczna Cena]]+0, 0)</f>
        <v>0</v>
      </c>
    </row>
    <row r="18" spans="1:22">
      <c r="A18" s="12">
        <v>63</v>
      </c>
      <c r="B18" s="12" t="s">
        <v>106</v>
      </c>
      <c r="C18" s="12" t="s">
        <v>200</v>
      </c>
      <c r="D18" s="12" t="s">
        <v>115</v>
      </c>
      <c r="E18" s="12">
        <v>1</v>
      </c>
      <c r="F18" s="12" t="s">
        <v>108</v>
      </c>
      <c r="G18" s="12" t="s">
        <v>176</v>
      </c>
      <c r="H18" s="12"/>
      <c r="I18" s="12">
        <v>0.7</v>
      </c>
      <c r="J18" s="12">
        <f>$B$55*rysboard__2[[#This Row],[Quantity]]*1</f>
        <v>4</v>
      </c>
      <c r="K18" s="12">
        <f>rysboard__2[[#This Row],[Sumaryczna Ilosc Elemetnow]]*rysboard__2[[#This Row],[Cena Netto2]]</f>
        <v>2.8</v>
      </c>
      <c r="L18" s="12"/>
      <c r="M18">
        <f>IF(rysboard__2[[#This Row],[Type]]="C", rysboard__2[[#This Row],[Sumaryczna Cena]]+0, 0)</f>
        <v>0</v>
      </c>
      <c r="N18">
        <f>IF(rysboard__2[[#This Row],[Type]]="D", rysboard__2[[#This Row],[Sumaryczna Cena]]+0, 0)</f>
        <v>0</v>
      </c>
      <c r="O18">
        <f>IF(rysboard__2[[#This Row],[Type]]="F", rysboard__2[[#This Row],[Sumaryczna Cena]]+0, 0)</f>
        <v>0</v>
      </c>
      <c r="P18">
        <f>IF(rysboard__2[[#This Row],[Type]]="J", rysboard__2[[#This Row],[Sumaryczna Cena]]+0, 0)</f>
        <v>2.8</v>
      </c>
      <c r="Q18">
        <f>IF(rysboard__2[[#This Row],[Type]]="L", rysboard__2[[#This Row],[Sumaryczna Cena]]+0, 0)</f>
        <v>0</v>
      </c>
      <c r="R18">
        <f>IF(rysboard__2[[#This Row],[Type]]="Q", rysboard__2[[#This Row],[Sumaryczna Cena]]+0, 0)</f>
        <v>0</v>
      </c>
      <c r="S18">
        <f>IF(rysboard__2[[#This Row],[Type]]="R", rysboard__2[[#This Row],[Sumaryczna Cena]]+0, 0)</f>
        <v>0</v>
      </c>
      <c r="T18">
        <f>IF(rysboard__2[[#This Row],[Type]]="TH", rysboard__2[[#This Row],[Sumaryczna Cena]]+0, 0)</f>
        <v>0</v>
      </c>
      <c r="U18">
        <f>IF(rysboard__2[[#This Row],[Type]]="U", rysboard__2[[#This Row],[Sumaryczna Cena]]+0, 0)</f>
        <v>0</v>
      </c>
      <c r="V18">
        <f>IF(rysboard__2[[#This Row],[Type]]="IC", rysboard__2[[#This Row],[Sumaryczna Cena]]+0, 0)</f>
        <v>0</v>
      </c>
    </row>
    <row r="19" spans="1:22">
      <c r="A19" s="12">
        <v>6</v>
      </c>
      <c r="B19" s="12" t="s">
        <v>19</v>
      </c>
      <c r="C19" s="12" t="s">
        <v>20</v>
      </c>
      <c r="D19" s="12" t="s">
        <v>116</v>
      </c>
      <c r="E19" s="12">
        <v>1</v>
      </c>
      <c r="F19" s="12" t="s">
        <v>21</v>
      </c>
      <c r="G19" s="12" t="s">
        <v>174</v>
      </c>
      <c r="H19" s="12"/>
      <c r="I19" s="12">
        <v>0.41</v>
      </c>
      <c r="J19" s="12">
        <f>$B$55*rysboard__2[[#This Row],[Quantity]]*1</f>
        <v>4</v>
      </c>
      <c r="K19" s="12">
        <f>rysboard__2[[#This Row],[Sumaryczna Ilosc Elemetnow]]*rysboard__2[[#This Row],[Cena Netto2]]</f>
        <v>1.64</v>
      </c>
      <c r="L19" s="12"/>
      <c r="M19">
        <f>IF(rysboard__2[[#This Row],[Type]]="C", rysboard__2[[#This Row],[Sumaryczna Cena]]+0, 0)</f>
        <v>0</v>
      </c>
      <c r="N19">
        <f>IF(rysboard__2[[#This Row],[Type]]="D", rysboard__2[[#This Row],[Sumaryczna Cena]]+0, 0)</f>
        <v>0</v>
      </c>
      <c r="O19">
        <f>IF(rysboard__2[[#This Row],[Type]]="F", rysboard__2[[#This Row],[Sumaryczna Cena]]+0, 0)</f>
        <v>0</v>
      </c>
      <c r="P19">
        <f>IF(rysboard__2[[#This Row],[Type]]="J", rysboard__2[[#This Row],[Sumaryczna Cena]]+0, 0)</f>
        <v>0</v>
      </c>
      <c r="Q19">
        <f>IF(rysboard__2[[#This Row],[Type]]="L", rysboard__2[[#This Row],[Sumaryczna Cena]]+0, 0)</f>
        <v>1.64</v>
      </c>
      <c r="R19">
        <f>IF(rysboard__2[[#This Row],[Type]]="Q", rysboard__2[[#This Row],[Sumaryczna Cena]]+0, 0)</f>
        <v>0</v>
      </c>
      <c r="S19">
        <f>IF(rysboard__2[[#This Row],[Type]]="R", rysboard__2[[#This Row],[Sumaryczna Cena]]+0, 0)</f>
        <v>0</v>
      </c>
      <c r="T19">
        <f>IF(rysboard__2[[#This Row],[Type]]="TH", rysboard__2[[#This Row],[Sumaryczna Cena]]+0, 0)</f>
        <v>0</v>
      </c>
      <c r="U19">
        <f>IF(rysboard__2[[#This Row],[Type]]="U", rysboard__2[[#This Row],[Sumaryczna Cena]]+0, 0)</f>
        <v>0</v>
      </c>
      <c r="V19">
        <f>IF(rysboard__2[[#This Row],[Type]]="IC", rysboard__2[[#This Row],[Sumaryczna Cena]]+0, 0)</f>
        <v>0</v>
      </c>
    </row>
    <row r="20" spans="1:22">
      <c r="A20" s="12">
        <v>33</v>
      </c>
      <c r="B20" s="12" t="s">
        <v>59</v>
      </c>
      <c r="C20" s="12" t="s">
        <v>60</v>
      </c>
      <c r="D20" s="12" t="s">
        <v>119</v>
      </c>
      <c r="E20" s="12">
        <v>2</v>
      </c>
      <c r="F20" s="12" t="s">
        <v>2</v>
      </c>
      <c r="G20" s="15" t="s">
        <v>161</v>
      </c>
      <c r="H20" s="12"/>
      <c r="I20" s="12">
        <v>0.68600000000000005</v>
      </c>
      <c r="J20" s="12">
        <f>$B$55*rysboard__2[[#This Row],[Quantity]]*1</f>
        <v>8</v>
      </c>
      <c r="K20" s="12">
        <f>rysboard__2[[#This Row],[Sumaryczna Ilosc Elemetnow]]*rysboard__2[[#This Row],[Cena Netto2]]</f>
        <v>5.4880000000000004</v>
      </c>
      <c r="L20" s="12"/>
      <c r="M20">
        <f>IF(rysboard__2[[#This Row],[Type]]="C", rysboard__2[[#This Row],[Sumaryczna Cena]]+0, 0)</f>
        <v>0</v>
      </c>
      <c r="N20">
        <f>IF(rysboard__2[[#This Row],[Type]]="D", rysboard__2[[#This Row],[Sumaryczna Cena]]+0, 0)</f>
        <v>0</v>
      </c>
      <c r="O20">
        <f>IF(rysboard__2[[#This Row],[Type]]="F", rysboard__2[[#This Row],[Sumaryczna Cena]]+0, 0)</f>
        <v>0</v>
      </c>
      <c r="P20">
        <f>IF(rysboard__2[[#This Row],[Type]]="J", rysboard__2[[#This Row],[Sumaryczna Cena]]+0, 0)</f>
        <v>0</v>
      </c>
      <c r="Q20">
        <f>IF(rysboard__2[[#This Row],[Type]]="L", rysboard__2[[#This Row],[Sumaryczna Cena]]+0, 0)</f>
        <v>0</v>
      </c>
      <c r="R20">
        <f>IF(rysboard__2[[#This Row],[Type]]="Q", rysboard__2[[#This Row],[Sumaryczna Cena]]+0, 0)</f>
        <v>5.4880000000000004</v>
      </c>
      <c r="S20">
        <f>IF(rysboard__2[[#This Row],[Type]]="R", rysboard__2[[#This Row],[Sumaryczna Cena]]+0, 0)</f>
        <v>0</v>
      </c>
      <c r="T20">
        <f>IF(rysboard__2[[#This Row],[Type]]="TH", rysboard__2[[#This Row],[Sumaryczna Cena]]+0, 0)</f>
        <v>0</v>
      </c>
      <c r="U20">
        <f>IF(rysboard__2[[#This Row],[Type]]="U", rysboard__2[[#This Row],[Sumaryczna Cena]]+0, 0)</f>
        <v>0</v>
      </c>
      <c r="V20">
        <f>IF(rysboard__2[[#This Row],[Type]]="IC", rysboard__2[[#This Row],[Sumaryczna Cena]]+0, 0)</f>
        <v>0</v>
      </c>
    </row>
    <row r="21" spans="1:22">
      <c r="A21" s="12">
        <v>34</v>
      </c>
      <c r="B21" s="12" t="s">
        <v>193</v>
      </c>
      <c r="C21" s="12" t="s">
        <v>64</v>
      </c>
      <c r="D21" s="12" t="s">
        <v>119</v>
      </c>
      <c r="E21" s="12">
        <v>2</v>
      </c>
      <c r="F21" s="12" t="s">
        <v>1</v>
      </c>
      <c r="G21" s="15" t="s">
        <v>162</v>
      </c>
      <c r="H21" s="12"/>
      <c r="I21" s="12">
        <v>1.25</v>
      </c>
      <c r="J21" s="12">
        <f>$B$55*rysboard__2[[#This Row],[Quantity]]*1</f>
        <v>8</v>
      </c>
      <c r="K21" s="12">
        <f>rysboard__2[[#This Row],[Sumaryczna Ilosc Elemetnow]]*rysboard__2[[#This Row],[Cena Netto2]]</f>
        <v>10</v>
      </c>
      <c r="L21" s="12"/>
      <c r="M21">
        <f>IF(rysboard__2[[#This Row],[Type]]="C", rysboard__2[[#This Row],[Sumaryczna Cena]]+0, 0)</f>
        <v>0</v>
      </c>
      <c r="N21">
        <f>IF(rysboard__2[[#This Row],[Type]]="D", rysboard__2[[#This Row],[Sumaryczna Cena]]+0, 0)</f>
        <v>0</v>
      </c>
      <c r="O21">
        <f>IF(rysboard__2[[#This Row],[Type]]="F", rysboard__2[[#This Row],[Sumaryczna Cena]]+0, 0)</f>
        <v>0</v>
      </c>
      <c r="P21">
        <f>IF(rysboard__2[[#This Row],[Type]]="J", rysboard__2[[#This Row],[Sumaryczna Cena]]+0, 0)</f>
        <v>0</v>
      </c>
      <c r="Q21">
        <f>IF(rysboard__2[[#This Row],[Type]]="L", rysboard__2[[#This Row],[Sumaryczna Cena]]+0, 0)</f>
        <v>0</v>
      </c>
      <c r="R21">
        <f>IF(rysboard__2[[#This Row],[Type]]="Q", rysboard__2[[#This Row],[Sumaryczna Cena]]+0, 0)</f>
        <v>10</v>
      </c>
      <c r="S21">
        <f>IF(rysboard__2[[#This Row],[Type]]="R", rysboard__2[[#This Row],[Sumaryczna Cena]]+0, 0)</f>
        <v>0</v>
      </c>
      <c r="T21">
        <f>IF(rysboard__2[[#This Row],[Type]]="TH", rysboard__2[[#This Row],[Sumaryczna Cena]]+0, 0)</f>
        <v>0</v>
      </c>
      <c r="U21">
        <f>IF(rysboard__2[[#This Row],[Type]]="U", rysboard__2[[#This Row],[Sumaryczna Cena]]+0, 0)</f>
        <v>0</v>
      </c>
      <c r="V21">
        <f>IF(rysboard__2[[#This Row],[Type]]="IC", rysboard__2[[#This Row],[Sumaryczna Cena]]+0, 0)</f>
        <v>0</v>
      </c>
    </row>
    <row r="22" spans="1:22">
      <c r="A22" s="12">
        <v>59</v>
      </c>
      <c r="B22" s="12" t="s">
        <v>199</v>
      </c>
      <c r="C22" s="12" t="s">
        <v>62</v>
      </c>
      <c r="D22" s="12" t="s">
        <v>119</v>
      </c>
      <c r="E22" s="12">
        <v>3</v>
      </c>
      <c r="F22" s="12" t="s">
        <v>63</v>
      </c>
      <c r="G22" s="15" t="s">
        <v>160</v>
      </c>
      <c r="H22" s="12"/>
      <c r="I22" s="12">
        <v>0.34699999999999998</v>
      </c>
      <c r="J22" s="12">
        <f>$B$55*rysboard__2[[#This Row],[Quantity]]*1</f>
        <v>12</v>
      </c>
      <c r="K22" s="12">
        <f>rysboard__2[[#This Row],[Sumaryczna Ilosc Elemetnow]]*rysboard__2[[#This Row],[Cena Netto2]]</f>
        <v>4.1639999999999997</v>
      </c>
      <c r="L22" s="12"/>
      <c r="M22">
        <f>IF(rysboard__2[[#This Row],[Type]]="C", rysboard__2[[#This Row],[Sumaryczna Cena]]+0, 0)</f>
        <v>0</v>
      </c>
      <c r="N22">
        <f>IF(rysboard__2[[#This Row],[Type]]="D", rysboard__2[[#This Row],[Sumaryczna Cena]]+0, 0)</f>
        <v>0</v>
      </c>
      <c r="O22">
        <f>IF(rysboard__2[[#This Row],[Type]]="F", rysboard__2[[#This Row],[Sumaryczna Cena]]+0, 0)</f>
        <v>0</v>
      </c>
      <c r="P22">
        <f>IF(rysboard__2[[#This Row],[Type]]="J", rysboard__2[[#This Row],[Sumaryczna Cena]]+0, 0)</f>
        <v>0</v>
      </c>
      <c r="Q22">
        <f>IF(rysboard__2[[#This Row],[Type]]="L", rysboard__2[[#This Row],[Sumaryczna Cena]]+0, 0)</f>
        <v>0</v>
      </c>
      <c r="R22">
        <f>IF(rysboard__2[[#This Row],[Type]]="Q", rysboard__2[[#This Row],[Sumaryczna Cena]]+0, 0)</f>
        <v>4.1639999999999997</v>
      </c>
      <c r="S22">
        <f>IF(rysboard__2[[#This Row],[Type]]="R", rysboard__2[[#This Row],[Sumaryczna Cena]]+0, 0)</f>
        <v>0</v>
      </c>
      <c r="T22">
        <f>IF(rysboard__2[[#This Row],[Type]]="TH", rysboard__2[[#This Row],[Sumaryczna Cena]]+0, 0)</f>
        <v>0</v>
      </c>
      <c r="U22">
        <f>IF(rysboard__2[[#This Row],[Type]]="U", rysboard__2[[#This Row],[Sumaryczna Cena]]+0, 0)</f>
        <v>0</v>
      </c>
      <c r="V22">
        <f>IF(rysboard__2[[#This Row],[Type]]="IC", rysboard__2[[#This Row],[Sumaryczna Cena]]+0, 0)</f>
        <v>0</v>
      </c>
    </row>
    <row r="23" spans="1:22">
      <c r="A23" s="12">
        <v>66</v>
      </c>
      <c r="B23" s="12" t="s">
        <v>202</v>
      </c>
      <c r="C23" s="12" t="s">
        <v>42</v>
      </c>
      <c r="D23" s="12" t="s">
        <v>119</v>
      </c>
      <c r="E23" s="12">
        <v>4</v>
      </c>
      <c r="F23" s="12" t="s">
        <v>218</v>
      </c>
      <c r="G23" s="15" t="s">
        <v>217</v>
      </c>
      <c r="H23" s="12" t="s">
        <v>187</v>
      </c>
      <c r="I23" s="12">
        <v>0.38100000000000001</v>
      </c>
      <c r="J23" s="12">
        <f>$B$55*rysboard__2[[#This Row],[Quantity]]*1</f>
        <v>16</v>
      </c>
      <c r="K23" s="12">
        <f>rysboard__2[[#This Row],[Sumaryczna Ilosc Elemetnow]]*rysboard__2[[#This Row],[Cena Netto2]]</f>
        <v>6.0960000000000001</v>
      </c>
      <c r="L23" s="12"/>
      <c r="M23">
        <f>IF(rysboard__2[[#This Row],[Type]]="C", rysboard__2[[#This Row],[Sumaryczna Cena]]+0, 0)</f>
        <v>0</v>
      </c>
      <c r="N23">
        <f>IF(rysboard__2[[#This Row],[Type]]="D", rysboard__2[[#This Row],[Sumaryczna Cena]]+0, 0)</f>
        <v>0</v>
      </c>
      <c r="O23">
        <f>IF(rysboard__2[[#This Row],[Type]]="F", rysboard__2[[#This Row],[Sumaryczna Cena]]+0, 0)</f>
        <v>0</v>
      </c>
      <c r="P23">
        <f>IF(rysboard__2[[#This Row],[Type]]="J", rysboard__2[[#This Row],[Sumaryczna Cena]]+0, 0)</f>
        <v>0</v>
      </c>
      <c r="Q23">
        <f>IF(rysboard__2[[#This Row],[Type]]="L", rysboard__2[[#This Row],[Sumaryczna Cena]]+0, 0)</f>
        <v>0</v>
      </c>
      <c r="R23">
        <f>IF(rysboard__2[[#This Row],[Type]]="Q", rysboard__2[[#This Row],[Sumaryczna Cena]]+0, 0)</f>
        <v>6.0960000000000001</v>
      </c>
      <c r="S23">
        <f>IF(rysboard__2[[#This Row],[Type]]="R", rysboard__2[[#This Row],[Sumaryczna Cena]]+0, 0)</f>
        <v>0</v>
      </c>
      <c r="T23">
        <f>IF(rysboard__2[[#This Row],[Type]]="TH", rysboard__2[[#This Row],[Sumaryczna Cena]]+0, 0)</f>
        <v>0</v>
      </c>
      <c r="U23">
        <f>IF(rysboard__2[[#This Row],[Type]]="U", rysboard__2[[#This Row],[Sumaryczna Cena]]+0, 0)</f>
        <v>0</v>
      </c>
      <c r="V23">
        <f>IF(rysboard__2[[#This Row],[Type]]="IC", rysboard__2[[#This Row],[Sumaryczna Cena]]+0, 0)</f>
        <v>0</v>
      </c>
    </row>
    <row r="24" spans="1:22">
      <c r="A24" s="12">
        <v>70</v>
      </c>
      <c r="B24" s="12" t="s">
        <v>208</v>
      </c>
      <c r="C24" s="12" t="s">
        <v>209</v>
      </c>
      <c r="D24" s="12" t="s">
        <v>119</v>
      </c>
      <c r="E24" s="12">
        <v>1</v>
      </c>
      <c r="F24" s="12" t="s">
        <v>180</v>
      </c>
      <c r="G24" s="15" t="s">
        <v>179</v>
      </c>
      <c r="H24" s="12"/>
      <c r="I24" s="12">
        <v>0.39</v>
      </c>
      <c r="J24" s="12">
        <f>$B$55*rysboard__2[[#This Row],[Quantity]]*1</f>
        <v>4</v>
      </c>
      <c r="K24" s="12">
        <f>rysboard__2[[#This Row],[Sumaryczna Ilosc Elemetnow]]*rysboard__2[[#This Row],[Cena Netto2]]</f>
        <v>1.56</v>
      </c>
      <c r="L24" s="12"/>
      <c r="M24">
        <f>IF(rysboard__2[[#This Row],[Type]]="C", rysboard__2[[#This Row],[Sumaryczna Cena]]+0, 0)</f>
        <v>0</v>
      </c>
      <c r="N24">
        <f>IF(rysboard__2[[#This Row],[Type]]="D", rysboard__2[[#This Row],[Sumaryczna Cena]]+0, 0)</f>
        <v>0</v>
      </c>
      <c r="O24">
        <f>IF(rysboard__2[[#This Row],[Type]]="F", rysboard__2[[#This Row],[Sumaryczna Cena]]+0, 0)</f>
        <v>0</v>
      </c>
      <c r="P24">
        <f>IF(rysboard__2[[#This Row],[Type]]="J", rysboard__2[[#This Row],[Sumaryczna Cena]]+0, 0)</f>
        <v>0</v>
      </c>
      <c r="Q24">
        <f>IF(rysboard__2[[#This Row],[Type]]="L", rysboard__2[[#This Row],[Sumaryczna Cena]]+0, 0)</f>
        <v>0</v>
      </c>
      <c r="R24">
        <f>IF(rysboard__2[[#This Row],[Type]]="Q", rysboard__2[[#This Row],[Sumaryczna Cena]]+0, 0)</f>
        <v>1.56</v>
      </c>
      <c r="S24">
        <f>IF(rysboard__2[[#This Row],[Type]]="R", rysboard__2[[#This Row],[Sumaryczna Cena]]+0, 0)</f>
        <v>0</v>
      </c>
      <c r="T24">
        <f>IF(rysboard__2[[#This Row],[Type]]="TH", rysboard__2[[#This Row],[Sumaryczna Cena]]+0, 0)</f>
        <v>0</v>
      </c>
      <c r="U24">
        <f>IF(rysboard__2[[#This Row],[Type]]="U", rysboard__2[[#This Row],[Sumaryczna Cena]]+0, 0)</f>
        <v>0</v>
      </c>
      <c r="V24">
        <f>IF(rysboard__2[[#This Row],[Type]]="IC", rysboard__2[[#This Row],[Sumaryczna Cena]]+0, 0)</f>
        <v>0</v>
      </c>
    </row>
    <row r="25" spans="1:22">
      <c r="A25" s="12">
        <v>3</v>
      </c>
      <c r="B25" s="12" t="s">
        <v>188</v>
      </c>
      <c r="C25" s="12" t="s">
        <v>11</v>
      </c>
      <c r="D25" s="12" t="s">
        <v>112</v>
      </c>
      <c r="E25" s="12">
        <v>21</v>
      </c>
      <c r="F25" s="12" t="s">
        <v>189</v>
      </c>
      <c r="G25" s="15" t="s">
        <v>122</v>
      </c>
      <c r="H25" s="12"/>
      <c r="I25" s="12">
        <v>2.9000000000000001E-2</v>
      </c>
      <c r="J25" s="12">
        <f>$B$55*rysboard__2[[#This Row],[Quantity]]*1</f>
        <v>84</v>
      </c>
      <c r="K25" s="12">
        <f>rysboard__2[[#This Row],[Sumaryczna Ilosc Elemetnow]]*rysboard__2[[#This Row],[Cena Netto2]]</f>
        <v>2.4359999999999999</v>
      </c>
      <c r="L25" s="12">
        <v>1</v>
      </c>
      <c r="M25">
        <f>IF(rysboard__2[[#This Row],[Type]]="C", rysboard__2[[#This Row],[Sumaryczna Cena]]+0, 0)</f>
        <v>0</v>
      </c>
      <c r="N25">
        <f>IF(rysboard__2[[#This Row],[Type]]="D", rysboard__2[[#This Row],[Sumaryczna Cena]]+0, 0)</f>
        <v>0</v>
      </c>
      <c r="O25">
        <f>IF(rysboard__2[[#This Row],[Type]]="F", rysboard__2[[#This Row],[Sumaryczna Cena]]+0, 0)</f>
        <v>0</v>
      </c>
      <c r="P25">
        <f>IF(rysboard__2[[#This Row],[Type]]="J", rysboard__2[[#This Row],[Sumaryczna Cena]]+0, 0)</f>
        <v>0</v>
      </c>
      <c r="Q25">
        <f>IF(rysboard__2[[#This Row],[Type]]="L", rysboard__2[[#This Row],[Sumaryczna Cena]]+0, 0)</f>
        <v>0</v>
      </c>
      <c r="R25">
        <f>IF(rysboard__2[[#This Row],[Type]]="Q", rysboard__2[[#This Row],[Sumaryczna Cena]]+0, 0)</f>
        <v>0</v>
      </c>
      <c r="S25">
        <f>IF(rysboard__2[[#This Row],[Type]]="R", rysboard__2[[#This Row],[Sumaryczna Cena]]+0, 0)</f>
        <v>2.4359999999999999</v>
      </c>
      <c r="T25">
        <f>IF(rysboard__2[[#This Row],[Type]]="TH", rysboard__2[[#This Row],[Sumaryczna Cena]]+0, 0)</f>
        <v>0</v>
      </c>
      <c r="U25">
        <f>IF(rysboard__2[[#This Row],[Type]]="U", rysboard__2[[#This Row],[Sumaryczna Cena]]+0, 0)</f>
        <v>0</v>
      </c>
      <c r="V25">
        <f>IF(rysboard__2[[#This Row],[Type]]="IC", rysboard__2[[#This Row],[Sumaryczna Cena]]+0, 0)</f>
        <v>0</v>
      </c>
    </row>
    <row r="26" spans="1:22">
      <c r="A26" s="12">
        <v>35</v>
      </c>
      <c r="B26" s="12" t="s">
        <v>67</v>
      </c>
      <c r="C26" s="12" t="s">
        <v>11</v>
      </c>
      <c r="D26" s="12" t="s">
        <v>112</v>
      </c>
      <c r="E26" s="12">
        <v>5</v>
      </c>
      <c r="F26" s="12" t="s">
        <v>68</v>
      </c>
      <c r="G26" s="15" t="s">
        <v>245</v>
      </c>
      <c r="H26" s="12"/>
      <c r="I26" s="12">
        <v>0.63500000000000001</v>
      </c>
      <c r="J26" s="12">
        <f>$B$55*rysboard__2[[#This Row],[Quantity]]*1</f>
        <v>20</v>
      </c>
      <c r="K26" s="12">
        <f>rysboard__2[[#This Row],[Sumaryczna Ilosc Elemetnow]]*rysboard__2[[#This Row],[Cena Netto2]]</f>
        <v>12.7</v>
      </c>
      <c r="L26" s="12">
        <v>1</v>
      </c>
      <c r="M26">
        <f>IF(rysboard__2[[#This Row],[Type]]="C", rysboard__2[[#This Row],[Sumaryczna Cena]]+0, 0)</f>
        <v>0</v>
      </c>
      <c r="N26">
        <f>IF(rysboard__2[[#This Row],[Type]]="D", rysboard__2[[#This Row],[Sumaryczna Cena]]+0, 0)</f>
        <v>0</v>
      </c>
      <c r="O26">
        <f>IF(rysboard__2[[#This Row],[Type]]="F", rysboard__2[[#This Row],[Sumaryczna Cena]]+0, 0)</f>
        <v>0</v>
      </c>
      <c r="P26">
        <f>IF(rysboard__2[[#This Row],[Type]]="J", rysboard__2[[#This Row],[Sumaryczna Cena]]+0, 0)</f>
        <v>0</v>
      </c>
      <c r="Q26">
        <f>IF(rysboard__2[[#This Row],[Type]]="L", rysboard__2[[#This Row],[Sumaryczna Cena]]+0, 0)</f>
        <v>0</v>
      </c>
      <c r="R26">
        <f>IF(rysboard__2[[#This Row],[Type]]="Q", rysboard__2[[#This Row],[Sumaryczna Cena]]+0, 0)</f>
        <v>0</v>
      </c>
      <c r="S26">
        <f>IF(rysboard__2[[#This Row],[Type]]="R", rysboard__2[[#This Row],[Sumaryczna Cena]]+0, 0)</f>
        <v>12.7</v>
      </c>
      <c r="T26">
        <f>IF(rysboard__2[[#This Row],[Type]]="TH", rysboard__2[[#This Row],[Sumaryczna Cena]]+0, 0)</f>
        <v>0</v>
      </c>
      <c r="U26">
        <f>IF(rysboard__2[[#This Row],[Type]]="U", rysboard__2[[#This Row],[Sumaryczna Cena]]+0, 0)</f>
        <v>0</v>
      </c>
      <c r="V26">
        <f>IF(rysboard__2[[#This Row],[Type]]="IC", rysboard__2[[#This Row],[Sumaryczna Cena]]+0, 0)</f>
        <v>0</v>
      </c>
    </row>
    <row r="27" spans="1:22">
      <c r="A27" s="12">
        <v>36</v>
      </c>
      <c r="B27" s="12" t="s">
        <v>69</v>
      </c>
      <c r="C27" s="12" t="s">
        <v>11</v>
      </c>
      <c r="D27" s="12" t="s">
        <v>112</v>
      </c>
      <c r="E27" s="12">
        <v>2</v>
      </c>
      <c r="F27" s="12" t="s">
        <v>70</v>
      </c>
      <c r="G27" s="15" t="s">
        <v>246</v>
      </c>
      <c r="H27" s="12"/>
      <c r="I27" s="12">
        <v>8.5000000000000006E-2</v>
      </c>
      <c r="J27" s="12">
        <f>$B$55*rysboard__2[[#This Row],[Quantity]]*1</f>
        <v>8</v>
      </c>
      <c r="K27" s="12">
        <f>rysboard__2[[#This Row],[Sumaryczna Ilosc Elemetnow]]*rysboard__2[[#This Row],[Cena Netto2]]</f>
        <v>0.68</v>
      </c>
      <c r="L27" s="12">
        <v>1</v>
      </c>
      <c r="M27">
        <f>IF(rysboard__2[[#This Row],[Type]]="C", rysboard__2[[#This Row],[Sumaryczna Cena]]+0, 0)</f>
        <v>0</v>
      </c>
      <c r="N27">
        <f>IF(rysboard__2[[#This Row],[Type]]="D", rysboard__2[[#This Row],[Sumaryczna Cena]]+0, 0)</f>
        <v>0</v>
      </c>
      <c r="O27">
        <f>IF(rysboard__2[[#This Row],[Type]]="F", rysboard__2[[#This Row],[Sumaryczna Cena]]+0, 0)</f>
        <v>0</v>
      </c>
      <c r="P27">
        <f>IF(rysboard__2[[#This Row],[Type]]="J", rysboard__2[[#This Row],[Sumaryczna Cena]]+0, 0)</f>
        <v>0</v>
      </c>
      <c r="Q27">
        <f>IF(rysboard__2[[#This Row],[Type]]="L", rysboard__2[[#This Row],[Sumaryczna Cena]]+0, 0)</f>
        <v>0</v>
      </c>
      <c r="R27">
        <f>IF(rysboard__2[[#This Row],[Type]]="Q", rysboard__2[[#This Row],[Sumaryczna Cena]]+0, 0)</f>
        <v>0</v>
      </c>
      <c r="S27">
        <f>IF(rysboard__2[[#This Row],[Type]]="R", rysboard__2[[#This Row],[Sumaryczna Cena]]+0, 0)</f>
        <v>0.68</v>
      </c>
      <c r="T27">
        <f>IF(rysboard__2[[#This Row],[Type]]="TH", rysboard__2[[#This Row],[Sumaryczna Cena]]+0, 0)</f>
        <v>0</v>
      </c>
      <c r="U27">
        <f>IF(rysboard__2[[#This Row],[Type]]="U", rysboard__2[[#This Row],[Sumaryczna Cena]]+0, 0)</f>
        <v>0</v>
      </c>
      <c r="V27">
        <f>IF(rysboard__2[[#This Row],[Type]]="IC", rysboard__2[[#This Row],[Sumaryczna Cena]]+0, 0)</f>
        <v>0</v>
      </c>
    </row>
    <row r="28" spans="1:22">
      <c r="A28" s="12">
        <v>37</v>
      </c>
      <c r="B28" s="12" t="s">
        <v>194</v>
      </c>
      <c r="C28" s="12" t="s">
        <v>11</v>
      </c>
      <c r="D28" s="12" t="s">
        <v>112</v>
      </c>
      <c r="E28" s="12">
        <v>7</v>
      </c>
      <c r="F28" s="12" t="s">
        <v>195</v>
      </c>
      <c r="G28" s="15" t="s">
        <v>247</v>
      </c>
      <c r="H28" s="12"/>
      <c r="I28" s="12">
        <v>8.5000000000000006E-2</v>
      </c>
      <c r="J28" s="12">
        <f>$B$55*rysboard__2[[#This Row],[Quantity]]*1</f>
        <v>28</v>
      </c>
      <c r="K28" s="12">
        <f>rysboard__2[[#This Row],[Sumaryczna Ilosc Elemetnow]]*rysboard__2[[#This Row],[Cena Netto2]]</f>
        <v>2.3800000000000003</v>
      </c>
      <c r="L28" s="12">
        <v>1</v>
      </c>
      <c r="M28">
        <f>IF(rysboard__2[[#This Row],[Type]]="C", rysboard__2[[#This Row],[Sumaryczna Cena]]+0, 0)</f>
        <v>0</v>
      </c>
      <c r="N28">
        <f>IF(rysboard__2[[#This Row],[Type]]="D", rysboard__2[[#This Row],[Sumaryczna Cena]]+0, 0)</f>
        <v>0</v>
      </c>
      <c r="O28">
        <f>IF(rysboard__2[[#This Row],[Type]]="F", rysboard__2[[#This Row],[Sumaryczna Cena]]+0, 0)</f>
        <v>0</v>
      </c>
      <c r="P28">
        <f>IF(rysboard__2[[#This Row],[Type]]="J", rysboard__2[[#This Row],[Sumaryczna Cena]]+0, 0)</f>
        <v>0</v>
      </c>
      <c r="Q28">
        <f>IF(rysboard__2[[#This Row],[Type]]="L", rysboard__2[[#This Row],[Sumaryczna Cena]]+0, 0)</f>
        <v>0</v>
      </c>
      <c r="R28">
        <f>IF(rysboard__2[[#This Row],[Type]]="Q", rysboard__2[[#This Row],[Sumaryczna Cena]]+0, 0)</f>
        <v>0</v>
      </c>
      <c r="S28">
        <f>IF(rysboard__2[[#This Row],[Type]]="R", rysboard__2[[#This Row],[Sumaryczna Cena]]+0, 0)</f>
        <v>2.3800000000000003</v>
      </c>
      <c r="T28">
        <f>IF(rysboard__2[[#This Row],[Type]]="TH", rysboard__2[[#This Row],[Sumaryczna Cena]]+0, 0)</f>
        <v>0</v>
      </c>
      <c r="U28">
        <f>IF(rysboard__2[[#This Row],[Type]]="U", rysboard__2[[#This Row],[Sumaryczna Cena]]+0, 0)</f>
        <v>0</v>
      </c>
      <c r="V28">
        <f>IF(rysboard__2[[#This Row],[Type]]="IC", rysboard__2[[#This Row],[Sumaryczna Cena]]+0, 0)</f>
        <v>0</v>
      </c>
    </row>
    <row r="29" spans="1:22">
      <c r="A29" s="12">
        <v>40</v>
      </c>
      <c r="B29" s="12" t="s">
        <v>72</v>
      </c>
      <c r="C29" s="12" t="s">
        <v>11</v>
      </c>
      <c r="D29" s="12" t="s">
        <v>112</v>
      </c>
      <c r="E29" s="12">
        <v>1</v>
      </c>
      <c r="F29" s="12" t="s">
        <v>73</v>
      </c>
      <c r="G29" s="15" t="s">
        <v>136</v>
      </c>
      <c r="H29" s="12"/>
      <c r="I29" s="12">
        <v>8.5000000000000006E-2</v>
      </c>
      <c r="J29" s="12">
        <f>$B$55*rysboard__2[[#This Row],[Quantity]]*1</f>
        <v>4</v>
      </c>
      <c r="K29" s="12">
        <f>rysboard__2[[#This Row],[Sumaryczna Ilosc Elemetnow]]*rysboard__2[[#This Row],[Cena Netto2]]</f>
        <v>0.34</v>
      </c>
      <c r="L29" s="12">
        <v>1</v>
      </c>
      <c r="M29">
        <f>IF(rysboard__2[[#This Row],[Type]]="C", rysboard__2[[#This Row],[Sumaryczna Cena]]+0, 0)</f>
        <v>0</v>
      </c>
      <c r="N29">
        <f>IF(rysboard__2[[#This Row],[Type]]="D", rysboard__2[[#This Row],[Sumaryczna Cena]]+0, 0)</f>
        <v>0</v>
      </c>
      <c r="O29">
        <f>IF(rysboard__2[[#This Row],[Type]]="F", rysboard__2[[#This Row],[Sumaryczna Cena]]+0, 0)</f>
        <v>0</v>
      </c>
      <c r="P29">
        <f>IF(rysboard__2[[#This Row],[Type]]="J", rysboard__2[[#This Row],[Sumaryczna Cena]]+0, 0)</f>
        <v>0</v>
      </c>
      <c r="Q29">
        <f>IF(rysboard__2[[#This Row],[Type]]="L", rysboard__2[[#This Row],[Sumaryczna Cena]]+0, 0)</f>
        <v>0</v>
      </c>
      <c r="R29">
        <f>IF(rysboard__2[[#This Row],[Type]]="Q", rysboard__2[[#This Row],[Sumaryczna Cena]]+0, 0)</f>
        <v>0</v>
      </c>
      <c r="S29">
        <f>IF(rysboard__2[[#This Row],[Type]]="R", rysboard__2[[#This Row],[Sumaryczna Cena]]+0, 0)</f>
        <v>0.34</v>
      </c>
      <c r="T29">
        <f>IF(rysboard__2[[#This Row],[Type]]="TH", rysboard__2[[#This Row],[Sumaryczna Cena]]+0, 0)</f>
        <v>0</v>
      </c>
      <c r="U29">
        <f>IF(rysboard__2[[#This Row],[Type]]="U", rysboard__2[[#This Row],[Sumaryczna Cena]]+0, 0)</f>
        <v>0</v>
      </c>
      <c r="V29">
        <f>IF(rysboard__2[[#This Row],[Type]]="IC", rysboard__2[[#This Row],[Sumaryczna Cena]]+0, 0)</f>
        <v>0</v>
      </c>
    </row>
    <row r="30" spans="1:22">
      <c r="A30" s="12">
        <v>41</v>
      </c>
      <c r="B30" s="12" t="s">
        <v>196</v>
      </c>
      <c r="C30" s="12" t="s">
        <v>11</v>
      </c>
      <c r="D30" s="12" t="s">
        <v>112</v>
      </c>
      <c r="E30" s="12">
        <v>6</v>
      </c>
      <c r="F30" s="12" t="s">
        <v>75</v>
      </c>
      <c r="G30" s="15" t="s">
        <v>135</v>
      </c>
      <c r="H30" s="12"/>
      <c r="I30" s="12">
        <v>8.5000000000000006E-2</v>
      </c>
      <c r="J30" s="12">
        <f>$B$55*rysboard__2[[#This Row],[Quantity]]*1</f>
        <v>24</v>
      </c>
      <c r="K30" s="12">
        <f>rysboard__2[[#This Row],[Sumaryczna Ilosc Elemetnow]]*rysboard__2[[#This Row],[Cena Netto2]]</f>
        <v>2.04</v>
      </c>
      <c r="L30" s="12">
        <v>1</v>
      </c>
      <c r="M30">
        <f>IF(rysboard__2[[#This Row],[Type]]="C", rysboard__2[[#This Row],[Sumaryczna Cena]]+0, 0)</f>
        <v>0</v>
      </c>
      <c r="N30">
        <f>IF(rysboard__2[[#This Row],[Type]]="D", rysboard__2[[#This Row],[Sumaryczna Cena]]+0, 0)</f>
        <v>0</v>
      </c>
      <c r="O30">
        <f>IF(rysboard__2[[#This Row],[Type]]="F", rysboard__2[[#This Row],[Sumaryczna Cena]]+0, 0)</f>
        <v>0</v>
      </c>
      <c r="P30">
        <f>IF(rysboard__2[[#This Row],[Type]]="J", rysboard__2[[#This Row],[Sumaryczna Cena]]+0, 0)</f>
        <v>0</v>
      </c>
      <c r="Q30">
        <f>IF(rysboard__2[[#This Row],[Type]]="L", rysboard__2[[#This Row],[Sumaryczna Cena]]+0, 0)</f>
        <v>0</v>
      </c>
      <c r="R30">
        <f>IF(rysboard__2[[#This Row],[Type]]="Q", rysboard__2[[#This Row],[Sumaryczna Cena]]+0, 0)</f>
        <v>0</v>
      </c>
      <c r="S30">
        <f>IF(rysboard__2[[#This Row],[Type]]="R", rysboard__2[[#This Row],[Sumaryczna Cena]]+0, 0)</f>
        <v>2.04</v>
      </c>
      <c r="T30">
        <f>IF(rysboard__2[[#This Row],[Type]]="TH", rysboard__2[[#This Row],[Sumaryczna Cena]]+0, 0)</f>
        <v>0</v>
      </c>
      <c r="U30">
        <f>IF(rysboard__2[[#This Row],[Type]]="U", rysboard__2[[#This Row],[Sumaryczna Cena]]+0, 0)</f>
        <v>0</v>
      </c>
      <c r="V30">
        <f>IF(rysboard__2[[#This Row],[Type]]="IC", rysboard__2[[#This Row],[Sumaryczna Cena]]+0, 0)</f>
        <v>0</v>
      </c>
    </row>
    <row r="31" spans="1:22">
      <c r="A31" s="12">
        <v>42</v>
      </c>
      <c r="B31" s="12" t="s">
        <v>76</v>
      </c>
      <c r="C31" s="12" t="s">
        <v>77</v>
      </c>
      <c r="D31" s="12" t="s">
        <v>112</v>
      </c>
      <c r="E31" s="12">
        <v>1</v>
      </c>
      <c r="F31" s="12" t="s">
        <v>78</v>
      </c>
      <c r="G31" s="15" t="s">
        <v>134</v>
      </c>
      <c r="H31" s="12"/>
      <c r="I31" s="12">
        <v>0.33900000000000002</v>
      </c>
      <c r="J31" s="12">
        <f>$B$55*rysboard__2[[#This Row],[Quantity]]*1</f>
        <v>4</v>
      </c>
      <c r="K31" s="12">
        <f>rysboard__2[[#This Row],[Sumaryczna Ilosc Elemetnow]]*rysboard__2[[#This Row],[Cena Netto2]]</f>
        <v>1.3560000000000001</v>
      </c>
      <c r="L31" s="12">
        <v>1</v>
      </c>
      <c r="M31">
        <f>IF(rysboard__2[[#This Row],[Type]]="C", rysboard__2[[#This Row],[Sumaryczna Cena]]+0, 0)</f>
        <v>0</v>
      </c>
      <c r="N31">
        <f>IF(rysboard__2[[#This Row],[Type]]="D", rysboard__2[[#This Row],[Sumaryczna Cena]]+0, 0)</f>
        <v>0</v>
      </c>
      <c r="O31">
        <f>IF(rysboard__2[[#This Row],[Type]]="F", rysboard__2[[#This Row],[Sumaryczna Cena]]+0, 0)</f>
        <v>0</v>
      </c>
      <c r="P31">
        <f>IF(rysboard__2[[#This Row],[Type]]="J", rysboard__2[[#This Row],[Sumaryczna Cena]]+0, 0)</f>
        <v>0</v>
      </c>
      <c r="Q31">
        <f>IF(rysboard__2[[#This Row],[Type]]="L", rysboard__2[[#This Row],[Sumaryczna Cena]]+0, 0)</f>
        <v>0</v>
      </c>
      <c r="R31">
        <f>IF(rysboard__2[[#This Row],[Type]]="Q", rysboard__2[[#This Row],[Sumaryczna Cena]]+0, 0)</f>
        <v>0</v>
      </c>
      <c r="S31">
        <f>IF(rysboard__2[[#This Row],[Type]]="R", rysboard__2[[#This Row],[Sumaryczna Cena]]+0, 0)</f>
        <v>1.3560000000000001</v>
      </c>
      <c r="T31">
        <f>IF(rysboard__2[[#This Row],[Type]]="TH", rysboard__2[[#This Row],[Sumaryczna Cena]]+0, 0)</f>
        <v>0</v>
      </c>
      <c r="U31">
        <f>IF(rysboard__2[[#This Row],[Type]]="U", rysboard__2[[#This Row],[Sumaryczna Cena]]+0, 0)</f>
        <v>0</v>
      </c>
      <c r="V31">
        <f>IF(rysboard__2[[#This Row],[Type]]="IC", rysboard__2[[#This Row],[Sumaryczna Cena]]+0, 0)</f>
        <v>0</v>
      </c>
    </row>
    <row r="32" spans="1:22">
      <c r="A32" s="12">
        <v>44</v>
      </c>
      <c r="B32" s="12" t="s">
        <v>79</v>
      </c>
      <c r="C32" s="12" t="s">
        <v>11</v>
      </c>
      <c r="D32" s="12" t="s">
        <v>112</v>
      </c>
      <c r="E32" s="12">
        <v>1</v>
      </c>
      <c r="F32" s="12" t="s">
        <v>80</v>
      </c>
      <c r="G32" s="15" t="s">
        <v>133</v>
      </c>
      <c r="H32" s="12"/>
      <c r="I32" s="12">
        <v>0.151</v>
      </c>
      <c r="J32" s="12">
        <f>$B$55*rysboard__2[[#This Row],[Quantity]]*1</f>
        <v>4</v>
      </c>
      <c r="K32" s="12">
        <f>rysboard__2[[#This Row],[Sumaryczna Ilosc Elemetnow]]*rysboard__2[[#This Row],[Cena Netto2]]</f>
        <v>0.60399999999999998</v>
      </c>
      <c r="L32" s="12">
        <v>1</v>
      </c>
      <c r="M32">
        <f>IF(rysboard__2[[#This Row],[Type]]="C", rysboard__2[[#This Row],[Sumaryczna Cena]]+0, 0)</f>
        <v>0</v>
      </c>
      <c r="N32">
        <f>IF(rysboard__2[[#This Row],[Type]]="D", rysboard__2[[#This Row],[Sumaryczna Cena]]+0, 0)</f>
        <v>0</v>
      </c>
      <c r="O32">
        <f>IF(rysboard__2[[#This Row],[Type]]="F", rysboard__2[[#This Row],[Sumaryczna Cena]]+0, 0)</f>
        <v>0</v>
      </c>
      <c r="P32">
        <f>IF(rysboard__2[[#This Row],[Type]]="J", rysboard__2[[#This Row],[Sumaryczna Cena]]+0, 0)</f>
        <v>0</v>
      </c>
      <c r="Q32">
        <f>IF(rysboard__2[[#This Row],[Type]]="L", rysboard__2[[#This Row],[Sumaryczna Cena]]+0, 0)</f>
        <v>0</v>
      </c>
      <c r="R32">
        <f>IF(rysboard__2[[#This Row],[Type]]="Q", rysboard__2[[#This Row],[Sumaryczna Cena]]+0, 0)</f>
        <v>0</v>
      </c>
      <c r="S32">
        <f>IF(rysboard__2[[#This Row],[Type]]="R", rysboard__2[[#This Row],[Sumaryczna Cena]]+0, 0)</f>
        <v>0.60399999999999998</v>
      </c>
      <c r="T32">
        <f>IF(rysboard__2[[#This Row],[Type]]="TH", rysboard__2[[#This Row],[Sumaryczna Cena]]+0, 0)</f>
        <v>0</v>
      </c>
      <c r="U32">
        <f>IF(rysboard__2[[#This Row],[Type]]="U", rysboard__2[[#This Row],[Sumaryczna Cena]]+0, 0)</f>
        <v>0</v>
      </c>
      <c r="V32">
        <f>IF(rysboard__2[[#This Row],[Type]]="IC", rysboard__2[[#This Row],[Sumaryczna Cena]]+0, 0)</f>
        <v>0</v>
      </c>
    </row>
    <row r="33" spans="1:22">
      <c r="A33" s="12">
        <v>45</v>
      </c>
      <c r="B33" s="12" t="s">
        <v>197</v>
      </c>
      <c r="C33" s="12" t="s">
        <v>11</v>
      </c>
      <c r="D33" s="12" t="s">
        <v>112</v>
      </c>
      <c r="E33" s="12">
        <v>6</v>
      </c>
      <c r="F33" s="12" t="s">
        <v>81</v>
      </c>
      <c r="G33" s="15" t="s">
        <v>132</v>
      </c>
      <c r="H33" s="12"/>
      <c r="I33" s="12">
        <v>8.5000000000000006E-2</v>
      </c>
      <c r="J33" s="12">
        <f>$B$55*rysboard__2[[#This Row],[Quantity]]*1</f>
        <v>24</v>
      </c>
      <c r="K33" s="12">
        <f>rysboard__2[[#This Row],[Sumaryczna Ilosc Elemetnow]]*rysboard__2[[#This Row],[Cena Netto2]]</f>
        <v>2.04</v>
      </c>
      <c r="L33" s="12">
        <v>1</v>
      </c>
      <c r="M33">
        <f>IF(rysboard__2[[#This Row],[Type]]="C", rysboard__2[[#This Row],[Sumaryczna Cena]]+0, 0)</f>
        <v>0</v>
      </c>
      <c r="N33">
        <f>IF(rysboard__2[[#This Row],[Type]]="D", rysboard__2[[#This Row],[Sumaryczna Cena]]+0, 0)</f>
        <v>0</v>
      </c>
      <c r="O33">
        <f>IF(rysboard__2[[#This Row],[Type]]="F", rysboard__2[[#This Row],[Sumaryczna Cena]]+0, 0)</f>
        <v>0</v>
      </c>
      <c r="P33">
        <f>IF(rysboard__2[[#This Row],[Type]]="J", rysboard__2[[#This Row],[Sumaryczna Cena]]+0, 0)</f>
        <v>0</v>
      </c>
      <c r="Q33">
        <f>IF(rysboard__2[[#This Row],[Type]]="L", rysboard__2[[#This Row],[Sumaryczna Cena]]+0, 0)</f>
        <v>0</v>
      </c>
      <c r="R33">
        <f>IF(rysboard__2[[#This Row],[Type]]="Q", rysboard__2[[#This Row],[Sumaryczna Cena]]+0, 0)</f>
        <v>0</v>
      </c>
      <c r="S33">
        <f>IF(rysboard__2[[#This Row],[Type]]="R", rysboard__2[[#This Row],[Sumaryczna Cena]]+0, 0)</f>
        <v>2.04</v>
      </c>
      <c r="T33">
        <f>IF(rysboard__2[[#This Row],[Type]]="TH", rysboard__2[[#This Row],[Sumaryczna Cena]]+0, 0)</f>
        <v>0</v>
      </c>
      <c r="U33">
        <f>IF(rysboard__2[[#This Row],[Type]]="U", rysboard__2[[#This Row],[Sumaryczna Cena]]+0, 0)</f>
        <v>0</v>
      </c>
      <c r="V33">
        <f>IF(rysboard__2[[#This Row],[Type]]="IC", rysboard__2[[#This Row],[Sumaryczna Cena]]+0, 0)</f>
        <v>0</v>
      </c>
    </row>
    <row r="34" spans="1:22">
      <c r="A34" s="12">
        <v>46</v>
      </c>
      <c r="B34" s="12" t="s">
        <v>82</v>
      </c>
      <c r="C34" s="12" t="s">
        <v>11</v>
      </c>
      <c r="D34" s="12" t="s">
        <v>112</v>
      </c>
      <c r="E34" s="12">
        <v>2</v>
      </c>
      <c r="F34" s="12" t="s">
        <v>83</v>
      </c>
      <c r="G34" s="15" t="s">
        <v>248</v>
      </c>
      <c r="H34" s="12"/>
      <c r="I34" s="12">
        <v>2.9</v>
      </c>
      <c r="J34" s="12">
        <f>$B$55*rysboard__2[[#This Row],[Quantity]]*1</f>
        <v>8</v>
      </c>
      <c r="K34" s="12">
        <f>rysboard__2[[#This Row],[Sumaryczna Ilosc Elemetnow]]*rysboard__2[[#This Row],[Cena Netto2]]</f>
        <v>23.2</v>
      </c>
      <c r="L34" s="12">
        <v>1</v>
      </c>
      <c r="M34">
        <f>IF(rysboard__2[[#This Row],[Type]]="C", rysboard__2[[#This Row],[Sumaryczna Cena]]+0, 0)</f>
        <v>0</v>
      </c>
      <c r="N34">
        <f>IF(rysboard__2[[#This Row],[Type]]="D", rysboard__2[[#This Row],[Sumaryczna Cena]]+0, 0)</f>
        <v>0</v>
      </c>
      <c r="O34">
        <f>IF(rysboard__2[[#This Row],[Type]]="F", rysboard__2[[#This Row],[Sumaryczna Cena]]+0, 0)</f>
        <v>0</v>
      </c>
      <c r="P34">
        <f>IF(rysboard__2[[#This Row],[Type]]="J", rysboard__2[[#This Row],[Sumaryczna Cena]]+0, 0)</f>
        <v>0</v>
      </c>
      <c r="Q34">
        <f>IF(rysboard__2[[#This Row],[Type]]="L", rysboard__2[[#This Row],[Sumaryczna Cena]]+0, 0)</f>
        <v>0</v>
      </c>
      <c r="R34">
        <f>IF(rysboard__2[[#This Row],[Type]]="Q", rysboard__2[[#This Row],[Sumaryczna Cena]]+0, 0)</f>
        <v>0</v>
      </c>
      <c r="S34">
        <f>IF(rysboard__2[[#This Row],[Type]]="R", rysboard__2[[#This Row],[Sumaryczna Cena]]+0, 0)</f>
        <v>23.2</v>
      </c>
      <c r="T34">
        <f>IF(rysboard__2[[#This Row],[Type]]="TH", rysboard__2[[#This Row],[Sumaryczna Cena]]+0, 0)</f>
        <v>0</v>
      </c>
      <c r="U34">
        <f>IF(rysboard__2[[#This Row],[Type]]="U", rysboard__2[[#This Row],[Sumaryczna Cena]]+0, 0)</f>
        <v>0</v>
      </c>
      <c r="V34">
        <f>IF(rysboard__2[[#This Row],[Type]]="IC", rysboard__2[[#This Row],[Sumaryczna Cena]]+0, 0)</f>
        <v>0</v>
      </c>
    </row>
    <row r="35" spans="1:22">
      <c r="A35" s="12">
        <v>47</v>
      </c>
      <c r="B35" s="12" t="s">
        <v>84</v>
      </c>
      <c r="C35" s="12" t="s">
        <v>11</v>
      </c>
      <c r="D35" s="12" t="s">
        <v>112</v>
      </c>
      <c r="E35" s="12">
        <v>1</v>
      </c>
      <c r="F35" s="12" t="s">
        <v>85</v>
      </c>
      <c r="G35" s="15" t="s">
        <v>130</v>
      </c>
      <c r="H35" s="12"/>
      <c r="I35" s="12">
        <v>8.5000000000000006E-2</v>
      </c>
      <c r="J35" s="12">
        <f>$B$55*rysboard__2[[#This Row],[Quantity]]*1</f>
        <v>4</v>
      </c>
      <c r="K35" s="12">
        <f>rysboard__2[[#This Row],[Sumaryczna Ilosc Elemetnow]]*rysboard__2[[#This Row],[Cena Netto2]]</f>
        <v>0.34</v>
      </c>
      <c r="L35" s="12">
        <v>1</v>
      </c>
      <c r="M35">
        <f>IF(rysboard__2[[#This Row],[Type]]="C", rysboard__2[[#This Row],[Sumaryczna Cena]]+0, 0)</f>
        <v>0</v>
      </c>
      <c r="N35">
        <f>IF(rysboard__2[[#This Row],[Type]]="D", rysboard__2[[#This Row],[Sumaryczna Cena]]+0, 0)</f>
        <v>0</v>
      </c>
      <c r="O35">
        <f>IF(rysboard__2[[#This Row],[Type]]="F", rysboard__2[[#This Row],[Sumaryczna Cena]]+0, 0)</f>
        <v>0</v>
      </c>
      <c r="P35">
        <f>IF(rysboard__2[[#This Row],[Type]]="J", rysboard__2[[#This Row],[Sumaryczna Cena]]+0, 0)</f>
        <v>0</v>
      </c>
      <c r="Q35">
        <f>IF(rysboard__2[[#This Row],[Type]]="L", rysboard__2[[#This Row],[Sumaryczna Cena]]+0, 0)</f>
        <v>0</v>
      </c>
      <c r="R35">
        <f>IF(rysboard__2[[#This Row],[Type]]="Q", rysboard__2[[#This Row],[Sumaryczna Cena]]+0, 0)</f>
        <v>0</v>
      </c>
      <c r="S35">
        <f>IF(rysboard__2[[#This Row],[Type]]="R", rysboard__2[[#This Row],[Sumaryczna Cena]]+0, 0)</f>
        <v>0.34</v>
      </c>
      <c r="T35">
        <f>IF(rysboard__2[[#This Row],[Type]]="TH", rysboard__2[[#This Row],[Sumaryczna Cena]]+0, 0)</f>
        <v>0</v>
      </c>
      <c r="U35">
        <f>IF(rysboard__2[[#This Row],[Type]]="U", rysboard__2[[#This Row],[Sumaryczna Cena]]+0, 0)</f>
        <v>0</v>
      </c>
      <c r="V35">
        <f>IF(rysboard__2[[#This Row],[Type]]="IC", rysboard__2[[#This Row],[Sumaryczna Cena]]+0, 0)</f>
        <v>0</v>
      </c>
    </row>
    <row r="36" spans="1:22">
      <c r="A36" s="12">
        <v>48</v>
      </c>
      <c r="B36" s="12" t="s">
        <v>86</v>
      </c>
      <c r="C36" s="12" t="s">
        <v>11</v>
      </c>
      <c r="D36" s="12" t="s">
        <v>112</v>
      </c>
      <c r="E36" s="12">
        <v>1</v>
      </c>
      <c r="F36" s="12" t="s">
        <v>87</v>
      </c>
      <c r="G36" s="15" t="s">
        <v>129</v>
      </c>
      <c r="H36" s="12"/>
      <c r="I36" s="12">
        <v>8.5000000000000006E-2</v>
      </c>
      <c r="J36" s="12">
        <f>$B$55*rysboard__2[[#This Row],[Quantity]]*1</f>
        <v>4</v>
      </c>
      <c r="K36" s="12">
        <f>rysboard__2[[#This Row],[Sumaryczna Ilosc Elemetnow]]*rysboard__2[[#This Row],[Cena Netto2]]</f>
        <v>0.34</v>
      </c>
      <c r="L36" s="12">
        <v>1</v>
      </c>
      <c r="M36">
        <f>IF(rysboard__2[[#This Row],[Type]]="C", rysboard__2[[#This Row],[Sumaryczna Cena]]+0, 0)</f>
        <v>0</v>
      </c>
      <c r="N36">
        <f>IF(rysboard__2[[#This Row],[Type]]="D", rysboard__2[[#This Row],[Sumaryczna Cena]]+0, 0)</f>
        <v>0</v>
      </c>
      <c r="O36">
        <f>IF(rysboard__2[[#This Row],[Type]]="F", rysboard__2[[#This Row],[Sumaryczna Cena]]+0, 0)</f>
        <v>0</v>
      </c>
      <c r="P36">
        <f>IF(rysboard__2[[#This Row],[Type]]="J", rysboard__2[[#This Row],[Sumaryczna Cena]]+0, 0)</f>
        <v>0</v>
      </c>
      <c r="Q36">
        <f>IF(rysboard__2[[#This Row],[Type]]="L", rysboard__2[[#This Row],[Sumaryczna Cena]]+0, 0)</f>
        <v>0</v>
      </c>
      <c r="R36">
        <f>IF(rysboard__2[[#This Row],[Type]]="Q", rysboard__2[[#This Row],[Sumaryczna Cena]]+0, 0)</f>
        <v>0</v>
      </c>
      <c r="S36">
        <f>IF(rysboard__2[[#This Row],[Type]]="R", rysboard__2[[#This Row],[Sumaryczna Cena]]+0, 0)</f>
        <v>0.34</v>
      </c>
      <c r="T36">
        <f>IF(rysboard__2[[#This Row],[Type]]="TH", rysboard__2[[#This Row],[Sumaryczna Cena]]+0, 0)</f>
        <v>0</v>
      </c>
      <c r="U36">
        <f>IF(rysboard__2[[#This Row],[Type]]="U", rysboard__2[[#This Row],[Sumaryczna Cena]]+0, 0)</f>
        <v>0</v>
      </c>
      <c r="V36">
        <f>IF(rysboard__2[[#This Row],[Type]]="IC", rysboard__2[[#This Row],[Sumaryczna Cena]]+0, 0)</f>
        <v>0</v>
      </c>
    </row>
    <row r="37" spans="1:22">
      <c r="A37" s="12">
        <v>49</v>
      </c>
      <c r="B37" s="12" t="s">
        <v>198</v>
      </c>
      <c r="C37" s="12" t="s">
        <v>11</v>
      </c>
      <c r="D37" s="12" t="s">
        <v>112</v>
      </c>
      <c r="E37" s="12">
        <v>2</v>
      </c>
      <c r="F37" s="12" t="s">
        <v>89</v>
      </c>
      <c r="G37" s="15" t="s">
        <v>128</v>
      </c>
      <c r="H37" s="12"/>
      <c r="I37" s="12">
        <v>8.5000000000000006E-2</v>
      </c>
      <c r="J37" s="12">
        <f>$B$55*rysboard__2[[#This Row],[Quantity]]*1</f>
        <v>8</v>
      </c>
      <c r="K37" s="12">
        <f>rysboard__2[[#This Row],[Sumaryczna Ilosc Elemetnow]]*rysboard__2[[#This Row],[Cena Netto2]]</f>
        <v>0.68</v>
      </c>
      <c r="L37" s="12">
        <v>1</v>
      </c>
      <c r="M37">
        <f>IF(rysboard__2[[#This Row],[Type]]="C", rysboard__2[[#This Row],[Sumaryczna Cena]]+0, 0)</f>
        <v>0</v>
      </c>
      <c r="N37">
        <f>IF(rysboard__2[[#This Row],[Type]]="D", rysboard__2[[#This Row],[Sumaryczna Cena]]+0, 0)</f>
        <v>0</v>
      </c>
      <c r="O37">
        <f>IF(rysboard__2[[#This Row],[Type]]="F", rysboard__2[[#This Row],[Sumaryczna Cena]]+0, 0)</f>
        <v>0</v>
      </c>
      <c r="P37">
        <f>IF(rysboard__2[[#This Row],[Type]]="J", rysboard__2[[#This Row],[Sumaryczna Cena]]+0, 0)</f>
        <v>0</v>
      </c>
      <c r="Q37">
        <f>IF(rysboard__2[[#This Row],[Type]]="L", rysboard__2[[#This Row],[Sumaryczna Cena]]+0, 0)</f>
        <v>0</v>
      </c>
      <c r="R37">
        <f>IF(rysboard__2[[#This Row],[Type]]="Q", rysboard__2[[#This Row],[Sumaryczna Cena]]+0, 0)</f>
        <v>0</v>
      </c>
      <c r="S37">
        <f>IF(rysboard__2[[#This Row],[Type]]="R", rysboard__2[[#This Row],[Sumaryczna Cena]]+0, 0)</f>
        <v>0.68</v>
      </c>
      <c r="T37">
        <f>IF(rysboard__2[[#This Row],[Type]]="TH", rysboard__2[[#This Row],[Sumaryczna Cena]]+0, 0)</f>
        <v>0</v>
      </c>
      <c r="U37">
        <f>IF(rysboard__2[[#This Row],[Type]]="U", rysboard__2[[#This Row],[Sumaryczna Cena]]+0, 0)</f>
        <v>0</v>
      </c>
      <c r="V37">
        <f>IF(rysboard__2[[#This Row],[Type]]="IC", rysboard__2[[#This Row],[Sumaryczna Cena]]+0, 0)</f>
        <v>0</v>
      </c>
    </row>
    <row r="38" spans="1:22">
      <c r="A38" s="12">
        <v>56</v>
      </c>
      <c r="B38" s="12" t="s">
        <v>101</v>
      </c>
      <c r="C38" s="12" t="s">
        <v>11</v>
      </c>
      <c r="D38" s="12" t="s">
        <v>112</v>
      </c>
      <c r="E38" s="12">
        <v>1</v>
      </c>
      <c r="F38" s="12" t="s">
        <v>102</v>
      </c>
      <c r="G38" s="15" t="s">
        <v>140</v>
      </c>
      <c r="H38" s="12"/>
      <c r="I38" s="12">
        <v>8.5000000000000006E-2</v>
      </c>
      <c r="J38" s="12">
        <f>$B$55*rysboard__2[[#This Row],[Quantity]]*1</f>
        <v>4</v>
      </c>
      <c r="K38" s="12">
        <f>rysboard__2[[#This Row],[Sumaryczna Ilosc Elemetnow]]*rysboard__2[[#This Row],[Cena Netto2]]</f>
        <v>0.34</v>
      </c>
      <c r="L38" s="12">
        <v>1</v>
      </c>
      <c r="M38">
        <f>IF(rysboard__2[[#This Row],[Type]]="C", rysboard__2[[#This Row],[Sumaryczna Cena]]+0, 0)</f>
        <v>0</v>
      </c>
      <c r="N38">
        <f>IF(rysboard__2[[#This Row],[Type]]="D", rysboard__2[[#This Row],[Sumaryczna Cena]]+0, 0)</f>
        <v>0</v>
      </c>
      <c r="O38">
        <f>IF(rysboard__2[[#This Row],[Type]]="F", rysboard__2[[#This Row],[Sumaryczna Cena]]+0, 0)</f>
        <v>0</v>
      </c>
      <c r="P38">
        <f>IF(rysboard__2[[#This Row],[Type]]="J", rysboard__2[[#This Row],[Sumaryczna Cena]]+0, 0)</f>
        <v>0</v>
      </c>
      <c r="Q38">
        <f>IF(rysboard__2[[#This Row],[Type]]="L", rysboard__2[[#This Row],[Sumaryczna Cena]]+0, 0)</f>
        <v>0</v>
      </c>
      <c r="R38">
        <f>IF(rysboard__2[[#This Row],[Type]]="Q", rysboard__2[[#This Row],[Sumaryczna Cena]]+0, 0)</f>
        <v>0</v>
      </c>
      <c r="S38">
        <f>IF(rysboard__2[[#This Row],[Type]]="R", rysboard__2[[#This Row],[Sumaryczna Cena]]+0, 0)</f>
        <v>0.34</v>
      </c>
      <c r="T38">
        <f>IF(rysboard__2[[#This Row],[Type]]="TH", rysboard__2[[#This Row],[Sumaryczna Cena]]+0, 0)</f>
        <v>0</v>
      </c>
      <c r="U38">
        <f>IF(rysboard__2[[#This Row],[Type]]="U", rysboard__2[[#This Row],[Sumaryczna Cena]]+0, 0)</f>
        <v>0</v>
      </c>
      <c r="V38">
        <f>IF(rysboard__2[[#This Row],[Type]]="IC", rysboard__2[[#This Row],[Sumaryczna Cena]]+0, 0)</f>
        <v>0</v>
      </c>
    </row>
    <row r="39" spans="1:22">
      <c r="A39" s="12">
        <v>57</v>
      </c>
      <c r="B39" s="12" t="s">
        <v>103</v>
      </c>
      <c r="C39" s="12" t="s">
        <v>104</v>
      </c>
      <c r="D39" s="12" t="s">
        <v>112</v>
      </c>
      <c r="E39" s="12">
        <v>1</v>
      </c>
      <c r="F39" s="12" t="s">
        <v>105</v>
      </c>
      <c r="G39" s="15" t="s">
        <v>127</v>
      </c>
      <c r="H39" s="12"/>
      <c r="I39" s="12">
        <v>0.23699999999999999</v>
      </c>
      <c r="J39" s="12">
        <f>$B$55*rysboard__2[[#This Row],[Quantity]]*1</f>
        <v>4</v>
      </c>
      <c r="K39" s="12">
        <f>rysboard__2[[#This Row],[Sumaryczna Ilosc Elemetnow]]*rysboard__2[[#This Row],[Cena Netto2]]</f>
        <v>0.94799999999999995</v>
      </c>
      <c r="L39" s="12">
        <v>1</v>
      </c>
      <c r="M39">
        <f>IF(rysboard__2[[#This Row],[Type]]="C", rysboard__2[[#This Row],[Sumaryczna Cena]]+0, 0)</f>
        <v>0</v>
      </c>
      <c r="N39">
        <f>IF(rysboard__2[[#This Row],[Type]]="D", rysboard__2[[#This Row],[Sumaryczna Cena]]+0, 0)</f>
        <v>0</v>
      </c>
      <c r="O39">
        <f>IF(rysboard__2[[#This Row],[Type]]="F", rysboard__2[[#This Row],[Sumaryczna Cena]]+0, 0)</f>
        <v>0</v>
      </c>
      <c r="P39">
        <f>IF(rysboard__2[[#This Row],[Type]]="J", rysboard__2[[#This Row],[Sumaryczna Cena]]+0, 0)</f>
        <v>0</v>
      </c>
      <c r="Q39">
        <f>IF(rysboard__2[[#This Row],[Type]]="L", rysboard__2[[#This Row],[Sumaryczna Cena]]+0, 0)</f>
        <v>0</v>
      </c>
      <c r="R39">
        <f>IF(rysboard__2[[#This Row],[Type]]="Q", rysboard__2[[#This Row],[Sumaryczna Cena]]+0, 0)</f>
        <v>0</v>
      </c>
      <c r="S39">
        <f>IF(rysboard__2[[#This Row],[Type]]="R", rysboard__2[[#This Row],[Sumaryczna Cena]]+0, 0)</f>
        <v>0.94799999999999995</v>
      </c>
      <c r="T39">
        <f>IF(rysboard__2[[#This Row],[Type]]="TH", rysboard__2[[#This Row],[Sumaryczna Cena]]+0, 0)</f>
        <v>0</v>
      </c>
      <c r="U39">
        <f>IF(rysboard__2[[#This Row],[Type]]="U", rysboard__2[[#This Row],[Sumaryczna Cena]]+0, 0)</f>
        <v>0</v>
      </c>
      <c r="V39">
        <f>IF(rysboard__2[[#This Row],[Type]]="IC", rysboard__2[[#This Row],[Sumaryczna Cena]]+0, 0)</f>
        <v>0</v>
      </c>
    </row>
    <row r="40" spans="1:22">
      <c r="A40" s="12">
        <v>66</v>
      </c>
      <c r="B40" s="12"/>
      <c r="C40" s="12" t="s">
        <v>91</v>
      </c>
      <c r="D40" s="12" t="s">
        <v>120</v>
      </c>
      <c r="E40" s="12">
        <v>2</v>
      </c>
      <c r="F40" s="12" t="s">
        <v>92</v>
      </c>
      <c r="G40" s="15" t="s">
        <v>178</v>
      </c>
      <c r="H40" s="12"/>
      <c r="I40" s="12">
        <v>2.13</v>
      </c>
      <c r="J40" s="12">
        <f>$B$55*rysboard__2[[#This Row],[Quantity]]*1</f>
        <v>8</v>
      </c>
      <c r="K40" s="12">
        <f>rysboard__2[[#This Row],[Sumaryczna Ilosc Elemetnow]]*rysboard__2[[#This Row],[Cena Netto2]]</f>
        <v>17.04</v>
      </c>
      <c r="L40" s="12"/>
      <c r="M40">
        <f>IF(rysboard__2[[#This Row],[Type]]="C", rysboard__2[[#This Row],[Sumaryczna Cena]]+0, 0)</f>
        <v>0</v>
      </c>
      <c r="N40">
        <f>IF(rysboard__2[[#This Row],[Type]]="D", rysboard__2[[#This Row],[Sumaryczna Cena]]+0, 0)</f>
        <v>0</v>
      </c>
      <c r="O40">
        <f>IF(rysboard__2[[#This Row],[Type]]="F", rysboard__2[[#This Row],[Sumaryczna Cena]]+0, 0)</f>
        <v>0</v>
      </c>
      <c r="P40">
        <f>IF(rysboard__2[[#This Row],[Type]]="J", rysboard__2[[#This Row],[Sumaryczna Cena]]+0, 0)</f>
        <v>0</v>
      </c>
      <c r="Q40">
        <f>IF(rysboard__2[[#This Row],[Type]]="L", rysboard__2[[#This Row],[Sumaryczna Cena]]+0, 0)</f>
        <v>0</v>
      </c>
      <c r="R40">
        <f>IF(rysboard__2[[#This Row],[Type]]="Q", rysboard__2[[#This Row],[Sumaryczna Cena]]+0, 0)</f>
        <v>0</v>
      </c>
      <c r="S40">
        <f>IF(rysboard__2[[#This Row],[Type]]="R", rysboard__2[[#This Row],[Sumaryczna Cena]]+0, 0)</f>
        <v>0</v>
      </c>
      <c r="T40">
        <f>IF(rysboard__2[[#This Row],[Type]]="TH", rysboard__2[[#This Row],[Sumaryczna Cena]]+0, 0)</f>
        <v>17.04</v>
      </c>
      <c r="U40">
        <f>IF(rysboard__2[[#This Row],[Type]]="U", rysboard__2[[#This Row],[Sumaryczna Cena]]+0, 0)</f>
        <v>0</v>
      </c>
      <c r="V40">
        <f>IF(rysboard__2[[#This Row],[Type]]="IC", rysboard__2[[#This Row],[Sumaryczna Cena]]+0, 0)</f>
        <v>0</v>
      </c>
    </row>
    <row r="41" spans="1:22">
      <c r="A41" s="12">
        <v>50</v>
      </c>
      <c r="B41" s="12" t="s">
        <v>90</v>
      </c>
      <c r="C41" s="12" t="s">
        <v>91</v>
      </c>
      <c r="D41" s="12" t="s">
        <v>120</v>
      </c>
      <c r="E41" s="12">
        <v>2</v>
      </c>
      <c r="F41" s="12" t="s">
        <v>92</v>
      </c>
      <c r="G41" s="15" t="s">
        <v>177</v>
      </c>
      <c r="H41" s="12"/>
      <c r="I41" s="12">
        <v>3.1</v>
      </c>
      <c r="J41" s="12">
        <f>$B$55*rysboard__2[[#This Row],[Quantity]]*1</f>
        <v>8</v>
      </c>
      <c r="K41" s="12">
        <f>rysboard__2[[#This Row],[Sumaryczna Ilosc Elemetnow]]*rysboard__2[[#This Row],[Cena Netto2]]</f>
        <v>24.8</v>
      </c>
      <c r="L41" s="12"/>
      <c r="M41">
        <f>IF(rysboard__2[[#This Row],[Type]]="C", rysboard__2[[#This Row],[Sumaryczna Cena]]+0, 0)</f>
        <v>0</v>
      </c>
      <c r="N41">
        <f>IF(rysboard__2[[#This Row],[Type]]="D", rysboard__2[[#This Row],[Sumaryczna Cena]]+0, 0)</f>
        <v>0</v>
      </c>
      <c r="O41">
        <f>IF(rysboard__2[[#This Row],[Type]]="F", rysboard__2[[#This Row],[Sumaryczna Cena]]+0, 0)</f>
        <v>0</v>
      </c>
      <c r="P41">
        <f>IF(rysboard__2[[#This Row],[Type]]="J", rysboard__2[[#This Row],[Sumaryczna Cena]]+0, 0)</f>
        <v>0</v>
      </c>
      <c r="Q41">
        <f>IF(rysboard__2[[#This Row],[Type]]="L", rysboard__2[[#This Row],[Sumaryczna Cena]]+0, 0)</f>
        <v>0</v>
      </c>
      <c r="R41">
        <f>IF(rysboard__2[[#This Row],[Type]]="Q", rysboard__2[[#This Row],[Sumaryczna Cena]]+0, 0)</f>
        <v>0</v>
      </c>
      <c r="S41">
        <f>IF(rysboard__2[[#This Row],[Type]]="R", rysboard__2[[#This Row],[Sumaryczna Cena]]+0, 0)</f>
        <v>0</v>
      </c>
      <c r="T41">
        <f>IF(rysboard__2[[#This Row],[Type]]="TH", rysboard__2[[#This Row],[Sumaryczna Cena]]+0, 0)</f>
        <v>24.8</v>
      </c>
      <c r="U41">
        <f>IF(rysboard__2[[#This Row],[Type]]="U", rysboard__2[[#This Row],[Sumaryczna Cena]]+0, 0)</f>
        <v>0</v>
      </c>
      <c r="V41">
        <f>IF(rysboard__2[[#This Row],[Type]]="IC", rysboard__2[[#This Row],[Sumaryczna Cena]]+0, 0)</f>
        <v>0</v>
      </c>
    </row>
    <row r="42" spans="1:22">
      <c r="A42" s="12">
        <v>11</v>
      </c>
      <c r="B42" s="12" t="s">
        <v>29</v>
      </c>
      <c r="C42" s="12" t="s">
        <v>30</v>
      </c>
      <c r="D42" s="12" t="s">
        <v>114</v>
      </c>
      <c r="E42" s="12">
        <v>2</v>
      </c>
      <c r="F42" s="12" t="s">
        <v>31</v>
      </c>
      <c r="G42" s="15" t="s">
        <v>153</v>
      </c>
      <c r="H42" s="12"/>
      <c r="I42" s="12">
        <v>8.8000000000000007</v>
      </c>
      <c r="J42" s="12">
        <f>$B$55*rysboard__2[[#This Row],[Quantity]]*1</f>
        <v>8</v>
      </c>
      <c r="K42" s="12">
        <f>rysboard__2[[#This Row],[Sumaryczna Ilosc Elemetnow]]*rysboard__2[[#This Row],[Cena Netto2]]</f>
        <v>70.400000000000006</v>
      </c>
      <c r="L42" s="12"/>
      <c r="M42">
        <f>IF(rysboard__2[[#This Row],[Type]]="C", rysboard__2[[#This Row],[Sumaryczna Cena]]+0, 0)</f>
        <v>0</v>
      </c>
      <c r="N42">
        <f>IF(rysboard__2[[#This Row],[Type]]="D", rysboard__2[[#This Row],[Sumaryczna Cena]]+0, 0)</f>
        <v>0</v>
      </c>
      <c r="O42">
        <f>IF(rysboard__2[[#This Row],[Type]]="F", rysboard__2[[#This Row],[Sumaryczna Cena]]+0, 0)</f>
        <v>0</v>
      </c>
      <c r="P42">
        <f>IF(rysboard__2[[#This Row],[Type]]="J", rysboard__2[[#This Row],[Sumaryczna Cena]]+0, 0)</f>
        <v>0</v>
      </c>
      <c r="Q42">
        <f>IF(rysboard__2[[#This Row],[Type]]="L", rysboard__2[[#This Row],[Sumaryczna Cena]]+0, 0)</f>
        <v>0</v>
      </c>
      <c r="R42">
        <f>IF(rysboard__2[[#This Row],[Type]]="Q", rysboard__2[[#This Row],[Sumaryczna Cena]]+0, 0)</f>
        <v>0</v>
      </c>
      <c r="S42">
        <f>IF(rysboard__2[[#This Row],[Type]]="R", rysboard__2[[#This Row],[Sumaryczna Cena]]+0, 0)</f>
        <v>0</v>
      </c>
      <c r="T42">
        <f>IF(rysboard__2[[#This Row],[Type]]="TH", rysboard__2[[#This Row],[Sumaryczna Cena]]+0, 0)</f>
        <v>0</v>
      </c>
      <c r="U42">
        <f>IF(rysboard__2[[#This Row],[Type]]="U", rysboard__2[[#This Row],[Sumaryczna Cena]]+0, 0)</f>
        <v>70.400000000000006</v>
      </c>
      <c r="V42">
        <f>IF(rysboard__2[[#This Row],[Type]]="IC", rysboard__2[[#This Row],[Sumaryczna Cena]]+0, 0)</f>
        <v>0</v>
      </c>
    </row>
    <row r="43" spans="1:22">
      <c r="A43" s="12">
        <v>51</v>
      </c>
      <c r="B43" s="12" t="s">
        <v>93</v>
      </c>
      <c r="C43" s="12" t="s">
        <v>94</v>
      </c>
      <c r="D43" s="12" t="s">
        <v>114</v>
      </c>
      <c r="E43" s="12">
        <v>1</v>
      </c>
      <c r="F43" s="12" t="s">
        <v>95</v>
      </c>
      <c r="G43" s="15" t="s">
        <v>157</v>
      </c>
      <c r="H43" s="12"/>
      <c r="I43" s="12">
        <v>1.83</v>
      </c>
      <c r="J43" s="12">
        <f>$B$55*rysboard__2[[#This Row],[Quantity]]*1</f>
        <v>4</v>
      </c>
      <c r="K43" s="12">
        <f>rysboard__2[[#This Row],[Sumaryczna Ilosc Elemetnow]]*rysboard__2[[#This Row],[Cena Netto2]]</f>
        <v>7.32</v>
      </c>
      <c r="L43" s="12"/>
      <c r="M43">
        <f>IF(rysboard__2[[#This Row],[Type]]="C", rysboard__2[[#This Row],[Sumaryczna Cena]]+0, 0)</f>
        <v>0</v>
      </c>
      <c r="N43">
        <f>IF(rysboard__2[[#This Row],[Type]]="D", rysboard__2[[#This Row],[Sumaryczna Cena]]+0, 0)</f>
        <v>0</v>
      </c>
      <c r="O43">
        <f>IF(rysboard__2[[#This Row],[Type]]="F", rysboard__2[[#This Row],[Sumaryczna Cena]]+0, 0)</f>
        <v>0</v>
      </c>
      <c r="P43">
        <f>IF(rysboard__2[[#This Row],[Type]]="J", rysboard__2[[#This Row],[Sumaryczna Cena]]+0, 0)</f>
        <v>0</v>
      </c>
      <c r="Q43">
        <f>IF(rysboard__2[[#This Row],[Type]]="L", rysboard__2[[#This Row],[Sumaryczna Cena]]+0, 0)</f>
        <v>0</v>
      </c>
      <c r="R43">
        <f>IF(rysboard__2[[#This Row],[Type]]="Q", rysboard__2[[#This Row],[Sumaryczna Cena]]+0, 0)</f>
        <v>0</v>
      </c>
      <c r="S43">
        <f>IF(rysboard__2[[#This Row],[Type]]="R", rysboard__2[[#This Row],[Sumaryczna Cena]]+0, 0)</f>
        <v>0</v>
      </c>
      <c r="T43">
        <f>IF(rysboard__2[[#This Row],[Type]]="TH", rysboard__2[[#This Row],[Sumaryczna Cena]]+0, 0)</f>
        <v>0</v>
      </c>
      <c r="U43">
        <f>IF(rysboard__2[[#This Row],[Type]]="U", rysboard__2[[#This Row],[Sumaryczna Cena]]+0, 0)</f>
        <v>7.32</v>
      </c>
      <c r="V43">
        <f>IF(rysboard__2[[#This Row],[Type]]="IC", rysboard__2[[#This Row],[Sumaryczna Cena]]+0, 0)</f>
        <v>0</v>
      </c>
    </row>
    <row r="44" spans="1:22">
      <c r="A44" s="12">
        <v>52</v>
      </c>
      <c r="B44" s="12" t="s">
        <v>96</v>
      </c>
      <c r="C44" s="12" t="s">
        <v>97</v>
      </c>
      <c r="D44" s="12" t="s">
        <v>114</v>
      </c>
      <c r="E44" s="12">
        <v>1</v>
      </c>
      <c r="F44" s="12" t="s">
        <v>98</v>
      </c>
      <c r="G44" s="15" t="s">
        <v>156</v>
      </c>
      <c r="H44" s="12"/>
      <c r="I44" s="12">
        <v>0.34699999999999998</v>
      </c>
      <c r="J44" s="12">
        <f>$B$55*rysboard__2[[#This Row],[Quantity]]*1</f>
        <v>4</v>
      </c>
      <c r="K44" s="12">
        <f>rysboard__2[[#This Row],[Sumaryczna Ilosc Elemetnow]]*rysboard__2[[#This Row],[Cena Netto2]]</f>
        <v>1.3879999999999999</v>
      </c>
      <c r="L44" s="12"/>
      <c r="M44">
        <f>IF(rysboard__2[[#This Row],[Type]]="C", rysboard__2[[#This Row],[Sumaryczna Cena]]+0, 0)</f>
        <v>0</v>
      </c>
      <c r="N44">
        <f>IF(rysboard__2[[#This Row],[Type]]="D", rysboard__2[[#This Row],[Sumaryczna Cena]]+0, 0)</f>
        <v>0</v>
      </c>
      <c r="O44">
        <f>IF(rysboard__2[[#This Row],[Type]]="F", rysboard__2[[#This Row],[Sumaryczna Cena]]+0, 0)</f>
        <v>0</v>
      </c>
      <c r="P44">
        <f>IF(rysboard__2[[#This Row],[Type]]="J", rysboard__2[[#This Row],[Sumaryczna Cena]]+0, 0)</f>
        <v>0</v>
      </c>
      <c r="Q44">
        <f>IF(rysboard__2[[#This Row],[Type]]="L", rysboard__2[[#This Row],[Sumaryczna Cena]]+0, 0)</f>
        <v>0</v>
      </c>
      <c r="R44">
        <f>IF(rysboard__2[[#This Row],[Type]]="Q", rysboard__2[[#This Row],[Sumaryczna Cena]]+0, 0)</f>
        <v>0</v>
      </c>
      <c r="S44">
        <f>IF(rysboard__2[[#This Row],[Type]]="R", rysboard__2[[#This Row],[Sumaryczna Cena]]+0, 0)</f>
        <v>0</v>
      </c>
      <c r="T44">
        <f>IF(rysboard__2[[#This Row],[Type]]="TH", rysboard__2[[#This Row],[Sumaryczna Cena]]+0, 0)</f>
        <v>0</v>
      </c>
      <c r="U44">
        <f>IF(rysboard__2[[#This Row],[Type]]="U", rysboard__2[[#This Row],[Sumaryczna Cena]]+0, 0)</f>
        <v>1.3879999999999999</v>
      </c>
      <c r="V44">
        <f>IF(rysboard__2[[#This Row],[Type]]="IC", rysboard__2[[#This Row],[Sumaryczna Cena]]+0, 0)</f>
        <v>0</v>
      </c>
    </row>
    <row r="45" spans="1:22">
      <c r="A45" s="12">
        <v>53</v>
      </c>
      <c r="B45" s="12" t="s">
        <v>99</v>
      </c>
      <c r="C45" s="12" t="s">
        <v>18</v>
      </c>
      <c r="D45" s="12" t="s">
        <v>114</v>
      </c>
      <c r="E45" s="12">
        <v>1</v>
      </c>
      <c r="F45" s="12" t="s">
        <v>100</v>
      </c>
      <c r="G45" s="15" t="s">
        <v>154</v>
      </c>
      <c r="H45" s="12"/>
      <c r="I45" s="12">
        <v>0.53400000000000003</v>
      </c>
      <c r="J45" s="12">
        <f>$B$55*rysboard__2[[#This Row],[Quantity]]*1</f>
        <v>4</v>
      </c>
      <c r="K45" s="12">
        <f>rysboard__2[[#This Row],[Sumaryczna Ilosc Elemetnow]]*rysboard__2[[#This Row],[Cena Netto2]]</f>
        <v>2.1360000000000001</v>
      </c>
      <c r="L45" s="12"/>
      <c r="M45">
        <f>IF(rysboard__2[[#This Row],[Type]]="C", rysboard__2[[#This Row],[Sumaryczna Cena]]+0, 0)</f>
        <v>0</v>
      </c>
      <c r="N45">
        <f>IF(rysboard__2[[#This Row],[Type]]="D", rysboard__2[[#This Row],[Sumaryczna Cena]]+0, 0)</f>
        <v>0</v>
      </c>
      <c r="O45">
        <f>IF(rysboard__2[[#This Row],[Type]]="F", rysboard__2[[#This Row],[Sumaryczna Cena]]+0, 0)</f>
        <v>0</v>
      </c>
      <c r="P45">
        <f>IF(rysboard__2[[#This Row],[Type]]="J", rysboard__2[[#This Row],[Sumaryczna Cena]]+0, 0)</f>
        <v>0</v>
      </c>
      <c r="Q45">
        <f>IF(rysboard__2[[#This Row],[Type]]="L", rysboard__2[[#This Row],[Sumaryczna Cena]]+0, 0)</f>
        <v>0</v>
      </c>
      <c r="R45">
        <f>IF(rysboard__2[[#This Row],[Type]]="Q", rysboard__2[[#This Row],[Sumaryczna Cena]]+0, 0)</f>
        <v>0</v>
      </c>
      <c r="S45">
        <f>IF(rysboard__2[[#This Row],[Type]]="R", rysboard__2[[#This Row],[Sumaryczna Cena]]+0, 0)</f>
        <v>0</v>
      </c>
      <c r="T45">
        <f>IF(rysboard__2[[#This Row],[Type]]="TH", rysboard__2[[#This Row],[Sumaryczna Cena]]+0, 0)</f>
        <v>0</v>
      </c>
      <c r="U45">
        <f>IF(rysboard__2[[#This Row],[Type]]="U", rysboard__2[[#This Row],[Sumaryczna Cena]]+0, 0)</f>
        <v>2.1360000000000001</v>
      </c>
      <c r="V45">
        <f>IF(rysboard__2[[#This Row],[Type]]="IC", rysboard__2[[#This Row],[Sumaryczna Cena]]+0, 0)</f>
        <v>0</v>
      </c>
    </row>
    <row r="46" spans="1:22">
      <c r="A46" s="12">
        <v>60</v>
      </c>
      <c r="B46" s="12" t="s">
        <v>109</v>
      </c>
      <c r="C46" s="12" t="s">
        <v>42</v>
      </c>
      <c r="D46" s="12" t="s">
        <v>114</v>
      </c>
      <c r="E46" s="12">
        <v>1</v>
      </c>
      <c r="F46" s="12" t="s">
        <v>110</v>
      </c>
      <c r="G46" s="15" t="s">
        <v>249</v>
      </c>
      <c r="H46" s="12"/>
      <c r="I46" s="12">
        <v>0.34699999999999998</v>
      </c>
      <c r="J46" s="12">
        <f>$B$55*rysboard__2[[#This Row],[Quantity]]*1</f>
        <v>4</v>
      </c>
      <c r="K46" s="12">
        <f>rysboard__2[[#This Row],[Sumaryczna Ilosc Elemetnow]]*rysboard__2[[#This Row],[Cena Netto2]]</f>
        <v>1.3879999999999999</v>
      </c>
      <c r="L46" s="12"/>
      <c r="M46">
        <f>IF(rysboard__2[[#This Row],[Type]]="C", rysboard__2[[#This Row],[Sumaryczna Cena]]+0, 0)</f>
        <v>0</v>
      </c>
      <c r="N46">
        <f>IF(rysboard__2[[#This Row],[Type]]="D", rysboard__2[[#This Row],[Sumaryczna Cena]]+0, 0)</f>
        <v>0</v>
      </c>
      <c r="O46">
        <f>IF(rysboard__2[[#This Row],[Type]]="F", rysboard__2[[#This Row],[Sumaryczna Cena]]+0, 0)</f>
        <v>0</v>
      </c>
      <c r="P46">
        <f>IF(rysboard__2[[#This Row],[Type]]="J", rysboard__2[[#This Row],[Sumaryczna Cena]]+0, 0)</f>
        <v>0</v>
      </c>
      <c r="Q46">
        <f>IF(rysboard__2[[#This Row],[Type]]="L", rysboard__2[[#This Row],[Sumaryczna Cena]]+0, 0)</f>
        <v>0</v>
      </c>
      <c r="R46">
        <f>IF(rysboard__2[[#This Row],[Type]]="Q", rysboard__2[[#This Row],[Sumaryczna Cena]]+0, 0)</f>
        <v>0</v>
      </c>
      <c r="S46">
        <f>IF(rysboard__2[[#This Row],[Type]]="R", rysboard__2[[#This Row],[Sumaryczna Cena]]+0, 0)</f>
        <v>0</v>
      </c>
      <c r="T46">
        <f>IF(rysboard__2[[#This Row],[Type]]="TH", rysboard__2[[#This Row],[Sumaryczna Cena]]+0, 0)</f>
        <v>0</v>
      </c>
      <c r="U46">
        <f>IF(rysboard__2[[#This Row],[Type]]="U", rysboard__2[[#This Row],[Sumaryczna Cena]]+0, 0)</f>
        <v>1.3879999999999999</v>
      </c>
      <c r="V46">
        <f>IF(rysboard__2[[#This Row],[Type]]="IC", rysboard__2[[#This Row],[Sumaryczna Cena]]+0, 0)</f>
        <v>0</v>
      </c>
    </row>
    <row r="47" spans="1:22">
      <c r="A47" s="12">
        <v>65</v>
      </c>
      <c r="B47" s="12" t="s">
        <v>24</v>
      </c>
      <c r="C47" s="12" t="s">
        <v>201</v>
      </c>
      <c r="D47" s="12" t="s">
        <v>114</v>
      </c>
      <c r="E47" s="12">
        <v>1</v>
      </c>
      <c r="F47" s="12" t="s">
        <v>25</v>
      </c>
      <c r="G47" s="15" t="s">
        <v>251</v>
      </c>
      <c r="H47" s="12"/>
      <c r="I47" s="12">
        <v>1.58</v>
      </c>
      <c r="J47" s="12">
        <f>$B$55*rysboard__2[[#This Row],[Quantity]]*1</f>
        <v>4</v>
      </c>
      <c r="K47" s="12">
        <f>rysboard__2[[#This Row],[Sumaryczna Ilosc Elemetnow]]*rysboard__2[[#This Row],[Cena Netto2]]</f>
        <v>6.32</v>
      </c>
      <c r="L47" s="12"/>
      <c r="M47">
        <f>IF(rysboard__2[[#This Row],[Type]]="C", rysboard__2[[#This Row],[Sumaryczna Cena]]+0, 0)</f>
        <v>0</v>
      </c>
      <c r="N47">
        <f>IF(rysboard__2[[#This Row],[Type]]="D", rysboard__2[[#This Row],[Sumaryczna Cena]]+0, 0)</f>
        <v>0</v>
      </c>
      <c r="O47">
        <f>IF(rysboard__2[[#This Row],[Type]]="F", rysboard__2[[#This Row],[Sumaryczna Cena]]+0, 0)</f>
        <v>0</v>
      </c>
      <c r="P47">
        <f>IF(rysboard__2[[#This Row],[Type]]="J", rysboard__2[[#This Row],[Sumaryczna Cena]]+0, 0)</f>
        <v>0</v>
      </c>
      <c r="Q47">
        <f>IF(rysboard__2[[#This Row],[Type]]="L", rysboard__2[[#This Row],[Sumaryczna Cena]]+0, 0)</f>
        <v>0</v>
      </c>
      <c r="R47">
        <f>IF(rysboard__2[[#This Row],[Type]]="Q", rysboard__2[[#This Row],[Sumaryczna Cena]]+0, 0)</f>
        <v>0</v>
      </c>
      <c r="S47">
        <f>IF(rysboard__2[[#This Row],[Type]]="R", rysboard__2[[#This Row],[Sumaryczna Cena]]+0, 0)</f>
        <v>0</v>
      </c>
      <c r="T47">
        <f>IF(rysboard__2[[#This Row],[Type]]="TH", rysboard__2[[#This Row],[Sumaryczna Cena]]+0, 0)</f>
        <v>0</v>
      </c>
      <c r="U47">
        <f>IF(rysboard__2[[#This Row],[Type]]="U", rysboard__2[[#This Row],[Sumaryczna Cena]]+0, 0)</f>
        <v>6.32</v>
      </c>
      <c r="V47">
        <f>IF(rysboard__2[[#This Row],[Type]]="IC", rysboard__2[[#This Row],[Sumaryczna Cena]]+0, 0)</f>
        <v>0</v>
      </c>
    </row>
    <row r="50" spans="2:22">
      <c r="M50">
        <f>SUM(M2:M47)</f>
        <v>38.1</v>
      </c>
      <c r="N50">
        <f t="shared" ref="N50:V50" si="0">SUM(N2:N47)</f>
        <v>18.044</v>
      </c>
      <c r="O50">
        <f t="shared" si="0"/>
        <v>7.2480000000000002</v>
      </c>
      <c r="P50">
        <f t="shared" si="0"/>
        <v>4.1399999999999997</v>
      </c>
      <c r="Q50">
        <f t="shared" si="0"/>
        <v>1.64</v>
      </c>
      <c r="R50">
        <f t="shared" si="0"/>
        <v>27.308</v>
      </c>
      <c r="S50">
        <f t="shared" si="0"/>
        <v>50.424000000000007</v>
      </c>
      <c r="T50">
        <f t="shared" si="0"/>
        <v>41.84</v>
      </c>
      <c r="U50">
        <f t="shared" si="0"/>
        <v>88.951999999999998</v>
      </c>
      <c r="V50">
        <f t="shared" si="0"/>
        <v>20.88</v>
      </c>
    </row>
    <row r="51" spans="2:22">
      <c r="M51">
        <v>1</v>
      </c>
      <c r="N51">
        <v>1</v>
      </c>
      <c r="O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2:22" ht="33.75">
      <c r="H52" t="s">
        <v>183</v>
      </c>
      <c r="I52" s="18">
        <v>4.2693000000000003</v>
      </c>
      <c r="M52" t="s">
        <v>221</v>
      </c>
      <c r="N52" t="s">
        <v>222</v>
      </c>
      <c r="O52" t="s">
        <v>223</v>
      </c>
    </row>
    <row r="53" spans="2:22">
      <c r="L53" t="s">
        <v>242</v>
      </c>
      <c r="M53">
        <f>SUM(S50,M50)</f>
        <v>88.524000000000001</v>
      </c>
      <c r="N53">
        <f>M53*$I$52</f>
        <v>377.93551320000006</v>
      </c>
      <c r="O53">
        <f>N53*1.23</f>
        <v>464.86068123600006</v>
      </c>
      <c r="T53" t="s">
        <v>240</v>
      </c>
      <c r="U53" t="s">
        <v>241</v>
      </c>
    </row>
    <row r="54" spans="2:22">
      <c r="G54" t="s">
        <v>186</v>
      </c>
      <c r="H54" t="s">
        <v>126</v>
      </c>
      <c r="I54" t="s">
        <v>184</v>
      </c>
      <c r="J54" t="s">
        <v>185</v>
      </c>
      <c r="L54" t="s">
        <v>243</v>
      </c>
      <c r="M54">
        <f>SUM(N50,R50,T50,U50,V50)</f>
        <v>197.024</v>
      </c>
      <c r="N54">
        <f t="shared" ref="N54:N56" si="1">M54*$I$52</f>
        <v>841.1545632000001</v>
      </c>
      <c r="O54">
        <f t="shared" ref="O54:O55" si="2">N54*1.23</f>
        <v>1034.620112736</v>
      </c>
    </row>
    <row r="55" spans="2:22">
      <c r="B55">
        <v>4</v>
      </c>
      <c r="G55">
        <f>B55</f>
        <v>4</v>
      </c>
      <c r="H55" s="17">
        <f>SUM(rysboard__2[Sumaryczna Cena])</f>
        <v>298.57599999999996</v>
      </c>
      <c r="I55" s="19">
        <f>H55*I52</f>
        <v>1274.7105168000001</v>
      </c>
      <c r="J55" s="19">
        <f>I55*1.23</f>
        <v>1567.8939356640001</v>
      </c>
      <c r="L55" t="s">
        <v>244</v>
      </c>
      <c r="M55">
        <f>SUM(O50)</f>
        <v>7.2480000000000002</v>
      </c>
      <c r="N55">
        <f t="shared" si="1"/>
        <v>30.943886400000004</v>
      </c>
      <c r="O55">
        <f t="shared" si="2"/>
        <v>38.060980272000002</v>
      </c>
    </row>
    <row r="56" spans="2:22">
      <c r="L56" t="s">
        <v>227</v>
      </c>
      <c r="M56">
        <f>SUM(P50)</f>
        <v>4.1399999999999997</v>
      </c>
      <c r="N56">
        <f t="shared" si="1"/>
        <v>17.674901999999999</v>
      </c>
      <c r="O56">
        <f>N56*1.23</f>
        <v>21.740129459999999</v>
      </c>
    </row>
    <row r="60" spans="2:22">
      <c r="L60" t="s">
        <v>226</v>
      </c>
      <c r="M60">
        <f>IF(SUM(M53:M58)=H55,1,0)</f>
        <v>0</v>
      </c>
    </row>
    <row r="61" spans="2:22">
      <c r="L61" t="s">
        <v>228</v>
      </c>
      <c r="M61">
        <f>SUM(M53:M58)</f>
        <v>296.93599999999998</v>
      </c>
    </row>
    <row r="63" spans="2:22">
      <c r="L63" t="s">
        <v>229</v>
      </c>
      <c r="M63">
        <f>20*3</f>
        <v>60</v>
      </c>
      <c r="N63">
        <f t="shared" ref="N63" si="3">M63*$I$52</f>
        <v>256.15800000000002</v>
      </c>
      <c r="O63" s="19">
        <f>N63*1.23</f>
        <v>315.07434000000001</v>
      </c>
    </row>
    <row r="66" spans="7:8">
      <c r="G66" t="s">
        <v>230</v>
      </c>
      <c r="H66" s="19">
        <f>J55+O63</f>
        <v>1882.968275664</v>
      </c>
    </row>
  </sheetData>
  <phoneticPr fontId="10" type="noConversion"/>
  <hyperlinks>
    <hyperlink ref="G4" r:id="rId1" xr:uid="{76169602-8BFD-4E20-AFC8-8383D9F71CE8}"/>
    <hyperlink ref="G3" r:id="rId2" xr:uid="{B951776D-CD7E-4A0F-92B2-C09F611DB19C}"/>
    <hyperlink ref="G7" r:id="rId3" xr:uid="{22F4F288-4054-4D85-B97A-5A47515C123D}"/>
    <hyperlink ref="G5" r:id="rId4" xr:uid="{84EF71E6-8A82-47AD-BEB4-6D23FC9E8E3F}"/>
    <hyperlink ref="G11" r:id="rId5" xr:uid="{58D84DCB-787F-4432-911E-840E3DE9D328}"/>
    <hyperlink ref="G9" r:id="rId6" xr:uid="{5C293C17-8E2C-4651-94B1-7F39C3DA1865}"/>
    <hyperlink ref="G26" r:id="rId7" xr:uid="{689ABDE1-E466-4391-8DB4-8D4DC9D25069}"/>
    <hyperlink ref="G31" r:id="rId8" xr:uid="{FB5CD635-36F6-4DD2-8545-31B713FF9BFB}"/>
    <hyperlink ref="G29" r:id="rId9" xr:uid="{176276E0-2E72-4748-ACE0-9DFBDAB9CE1F}"/>
    <hyperlink ref="G47" r:id="rId10" xr:uid="{BE022E5C-D294-46E7-BAA8-AB033FE2240E}"/>
    <hyperlink ref="G42" r:id="rId11" xr:uid="{A3932FA5-7AC6-45E2-9596-07FC0C1DAA23}"/>
    <hyperlink ref="G21" r:id="rId12" xr:uid="{69054B1C-CAD6-4211-A702-6294C45D477F}"/>
    <hyperlink ref="G15" r:id="rId13" xr:uid="{7481EEED-280D-4EF8-BEE2-8CE65072F929}"/>
    <hyperlink ref="G16" r:id="rId14" xr:uid="{E81D49D2-764B-4046-8603-3DED38A8769D}"/>
    <hyperlink ref="G2" r:id="rId15" xr:uid="{061323D6-AFA1-4DEE-B924-3494EE37D917}"/>
    <hyperlink ref="G17" r:id="rId16" display="https://www.newark.com/molex/22-11-2032/connector-header-3pos-1row-2-54mm/dp/81C8218?ost=0022112032&amp;CMP=AFC-MOLEX&amp;krypto=ZchJYUSt9JoGRlfGr8ihPzM7V3GX773Zlz%2FZYddpEAcQG8fZxi8hshIODsJJxIFAi%2BuHMcDuMKo3zS02f%2B1zBAKEW825NUCNi%2BWqbPbmR1qDr3fHTg3J5NZz7MQJYPo%2B" xr:uid="{2530FC27-DB2B-429C-BACC-ECAF9F142EA8}"/>
    <hyperlink ref="G6" r:id="rId17" xr:uid="{5A400708-B399-439B-8CDA-E8114CBAA247}"/>
    <hyperlink ref="G25" r:id="rId18" xr:uid="{0B203D06-F0B6-4363-9EED-0640EF743426}"/>
    <hyperlink ref="G27" r:id="rId19" xr:uid="{AFCFC741-91C7-4220-BD8F-2CA41DB69D86}"/>
    <hyperlink ref="G28" r:id="rId20" xr:uid="{BDE60B65-5DCF-4429-96E1-6BCCEFEDB635}"/>
    <hyperlink ref="G30" r:id="rId21" xr:uid="{5F11AD5F-2EB3-4341-AF99-8956CDB38D7B}"/>
    <hyperlink ref="G32" r:id="rId22" xr:uid="{E0BA29EF-1776-4865-9720-3F2526731E09}"/>
    <hyperlink ref="G33" r:id="rId23" xr:uid="{6243AD35-F3D1-42DB-AF12-0A8D5B359D11}"/>
    <hyperlink ref="G34" r:id="rId24" xr:uid="{6171CF01-0159-4C30-AA93-9B26264DF166}"/>
    <hyperlink ref="G35" r:id="rId25" xr:uid="{61C45FD7-6485-4126-8E33-B7AB43752A7F}"/>
    <hyperlink ref="G36" r:id="rId26" xr:uid="{D0A95A2B-0AEA-47A6-B8EB-60280CB2D0E2}"/>
    <hyperlink ref="G37" r:id="rId27" xr:uid="{F0331FDC-419B-4C09-A412-1FE4DEF24A55}"/>
    <hyperlink ref="G38" r:id="rId28" xr:uid="{A16C7F13-5BB2-43FA-8F78-42F330C857EA}"/>
    <hyperlink ref="G39" r:id="rId29" xr:uid="{59250C05-951D-4336-9F35-B75FD9F8504D}"/>
    <hyperlink ref="G8" r:id="rId30" xr:uid="{7B7AE538-A5EE-404D-B44E-2BB31D9B8F0E}"/>
    <hyperlink ref="G10" r:id="rId31" xr:uid="{B03439BE-C0CF-4EDC-A986-9FFC959ED2FF}"/>
    <hyperlink ref="G12" r:id="rId32" xr:uid="{AD5444B9-BA9A-4B75-B287-32158852E6BC}"/>
    <hyperlink ref="G13" r:id="rId33" xr:uid="{B873A43B-E90E-4327-A632-2E17C92567DC}"/>
    <hyperlink ref="G14" r:id="rId34" xr:uid="{7D58B4F4-CE0E-4191-ACDA-7CC814F27406}"/>
    <hyperlink ref="G20" r:id="rId35" xr:uid="{A0C24E90-5019-4914-941D-70549A1CBEA2}"/>
    <hyperlink ref="G22" r:id="rId36" xr:uid="{C303D4B4-FDCE-4817-9251-656B91319961}"/>
    <hyperlink ref="G23" r:id="rId37" xr:uid="{31122F9F-067B-4F30-ADB8-3363CFF93FA3}"/>
    <hyperlink ref="G24" r:id="rId38" xr:uid="{30381F28-910E-482A-BC87-EAD8592E59C7}"/>
    <hyperlink ref="G40" r:id="rId39" xr:uid="{86694FEB-CF5D-484D-A004-7E7B669F055D}"/>
    <hyperlink ref="G41" r:id="rId40" xr:uid="{688FF704-2EAC-4016-9E84-9F5CA6E66CB3}"/>
    <hyperlink ref="G43" r:id="rId41" xr:uid="{973E0D0C-3F17-4937-9C98-92C00DA6EDB3}"/>
    <hyperlink ref="G44" r:id="rId42" xr:uid="{DA65B2A4-C933-44FD-8DEA-73AFD669A1F8}"/>
    <hyperlink ref="G45" r:id="rId43" xr:uid="{6DA850A0-4285-41E7-AFE8-CD709C11FCEA}"/>
    <hyperlink ref="G46" r:id="rId44" xr:uid="{87865D5B-DF91-4231-8803-BAB5B75C0781}"/>
  </hyperlinks>
  <pageMargins left="0.7" right="0.7" top="0.75" bottom="0.75" header="0.3" footer="0.3"/>
  <pageSetup paperSize="9" orientation="portrait" horizontalDpi="300" verticalDpi="300" r:id="rId45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u m 2 j U h b F 2 D K j A A A A 9 Q A A A B I A H A B D b 2 5 m a W c v U G F j a 2 F n Z S 5 4 b W w g o h g A K K A U A A A A A A A A A A A A A A A A A A A A A A A A A A A A h Y + x D o I w G I R f h X S n L X V R 8 l M G V 0 h I T I x r U y o 0 Q C G 0 W N 7 N w U f y F c Q o 6 u Z 4 3 9 0 l d / f r D d K 5 a 4 O L G q 3 u T Y I i T F G g j O x L b a o E T e 4 c b l H K o R C y E Z U K l r C x 8 W x 1 g m r n h p g Q 7 z 3 2 G 9 y P F W G U R u S U Z w d Z q 0 6 E 2 l g n j F T o 0 y r / t x C H 4 2 s M Z 3 g X Y U Y Z p k B W B r k 2 X 5 8 t c 5 / u D 4 T 9 1 L p p V H x o w y I D s k o g 7 w v 8 A V B L A w Q U A A I A C A C 6 b a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2 j U t v H R q K W A Q A A M A U A A B M A H A B G b 3 J t d W x h c y 9 T Z W N 0 a W 9 u M S 5 t I K I Y A C i g F A A A A A A A A A A A A A A A A A A A A A A A A A A A A O 1 S w U o D M R C 9 F / o P I V 6 2 s C x W V M S y B 9 0 q i q j V 1 o u u S L o 7 r c F s Z k l m r d v i x V / y J H g r / S + j 1 a p U w Z u X 5 p L M m 8 z M m 8 e z k J B E z d r T u 9 6 o V q o V e y 0 M p M y U t o v C p C x k C q h a Y e 5 M n s z 4 M Z 0 8 o A M j e x s 0 M S k y 0 O T t S g V B h J p c Y D 0 e b c Z n F o y N r 4 s u m P j j m 4 1 b R i S C N c t c Y Y Y D E R / I a C u N T 7 G L t K M c C Y N a J j b + m B 1 v H x / O g i C x t 7 z m X z R B y U w S m J A 3 u M 8 i V E W m b b j h s x 2 d Y C p 1 P 6 y v r C 3 7 7 K R A g j a V C s L P Z 3 C E G i 5 r / n S h J X 4 k + p O H 8 e P g R j J k O a a D c v J s h 6 j L z E V D i Z k E 7 r b t i K 6 r b R l H m 2 A P R O q 2 8 2 Z y + O z i P b W l V D s R S h g b k i m + D j p 3 n b Q T G R m V + W f L j h H a 9 t B k 0 z 0 6 Z Q 7 W + x s t f z T i + 6 m T Y F / T + m r w W n r v s x F v g p V 9 L Q i N y 7 l h w A j u 6 C 3 V E s m N 6 M M c f l I I T Z L K 3 5 s 5 5 n N V 7 S L P l Q T D h H Z + g d 7 c h z n g q v 4 N u q 9 V K 1 L / r N B X L y 7 x m R u 9 l R p f W H J h y X + x 5 A t Q S w E C L Q A U A A I A C A C 6 b a N S F s X Y M q M A A A D 1 A A A A E g A A A A A A A A A A A A A A A A A A A A A A Q 2 9 u Z m l n L 1 B h Y 2 t h Z 2 U u e G 1 s U E s B A i 0 A F A A C A A g A u m 2 j U g / K 6 a u k A A A A 6 Q A A A B M A A A A A A A A A A A A A A A A A 7 w A A A F t D b 2 5 0 Z W 5 0 X 1 R 5 c G V z X S 5 4 b W x Q S w E C L Q A U A A I A C A C 6 b a N S 2 8 d G o p Y B A A A w B Q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w A A A A A A A I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e X N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T o z N T o 0 N S 4 2 N j g w N T k 0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5 c 2 J v Y X J k L 1 p t a W V u a W 9 u b y B 0 e X A u e 0 l k L D B 9 J n F 1 b 3 Q 7 L C Z x d W 9 0 O 1 N l Y 3 R p b 2 4 x L 3 J 5 c 2 J v Y X J k L 1 p t a W V u a W 9 u b y B 0 e X A u e 0 R l c 2 l n b m F 0 b 3 I s M X 0 m c X V v d D s s J n F 1 b 3 Q 7 U 2 V j d G l v b j E v c n l z Y m 9 h c m Q v W m 1 p Z W 5 p b 2 5 v I H R 5 c C 5 7 U G F j a 2 F n Z S w y f S Z x d W 9 0 O y w m c X V v d D t T Z W N 0 a W 9 u M S 9 y e X N i b 2 F y Z C 9 a b W l l b m l v b m 8 g d H l w L n t R d W F u d G l 0 e S w z f S Z x d W 9 0 O y w m c X V v d D t T Z W N 0 a W 9 u M S 9 y e X N i b 2 F y Z C 9 a b W l l b m l v b m 8 g d H l w L n t E Z X N p Z 2 5 h d G l v b i w 0 f S Z x d W 9 0 O y w m c X V v d D t T Z W N 0 a W 9 u M S 9 y e X N i b 2 F y Z C 9 a b W l l b m l v b m 8 g d H l w L n t T d X B w b G l l c i B h b m Q g c m V m L D V 9 J n F 1 b 3 Q 7 L C Z x d W 9 0 O 1 N l Y 3 R p b 2 4 x L 3 J 5 c 2 J v Y X J k L 1 p t a W V u a W 9 u b y B 0 e X A u e y w 2 f S Z x d W 9 0 O y w m c X V v d D t T Z W N 0 a W 9 u M S 9 y e X N i b 2 F y Z C 9 a b W l l b m l v b m 8 g d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z Y m 9 h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z V D E x O j Q 1 O j U y L j Q x M D I 2 N j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A o M i k v Q X V 0 b 1 J l b W 9 2 Z W R D b 2 x 1 b W 5 z M S 5 7 S W Q s M H 0 m c X V v d D s s J n F 1 b 3 Q 7 U 2 V j d G l v b j E v c n l z Y m 9 h c m Q g K D I p L 0 F 1 d G 9 S Z W 1 v d m V k Q 2 9 s d W 1 u c z E u e 0 R l c 2 l n b m F 0 b 3 I s M X 0 m c X V v d D s s J n F 1 b 3 Q 7 U 2 V j d G l v b j E v c n l z Y m 9 h c m Q g K D I p L 0 F 1 d G 9 S Z W 1 v d m V k Q 2 9 s d W 1 u c z E u e 1 B h Y 2 t h Z 2 U s M n 0 m c X V v d D s s J n F 1 b 3 Q 7 U 2 V j d G l v b j E v c n l z Y m 9 h c m Q g K D I p L 0 F 1 d G 9 S Z W 1 v d m V k Q 2 9 s d W 1 u c z E u e 1 F 1 Y W 5 0 a X R 5 L D N 9 J n F 1 b 3 Q 7 L C Z x d W 9 0 O 1 N l Y 3 R p b 2 4 x L 3 J 5 c 2 J v Y X J k I C g y K S 9 B d X R v U m V t b 3 Z l Z E N v b H V t b n M x L n t E Z X N p Z 2 5 h d G l v b i w 0 f S Z x d W 9 0 O y w m c X V v d D t T Z W N 0 a W 9 u M S 9 y e X N i b 2 F y Z C A o M i k v Q X V 0 b 1 J l b W 9 2 Z W R D b 2 x 1 b W 5 z M S 5 7 U 3 V w c G x p Z X I g Y W 5 k I H J l Z i w 1 f S Z x d W 9 0 O y w m c X V v d D t T Z W N 0 a W 9 u M S 9 y e X N i b 2 F y Z C A o M i k v Q X V 0 b 1 J l b W 9 2 Z W R D b 2 x 1 b W 5 z M S 5 7 Q 2 9 s d W 1 u M S w 2 f S Z x d W 9 0 O y w m c X V v d D t T Z W N 0 a W 9 u M S 9 y e X N i b 2 F y Z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g K D I p L 0 F 1 d G 9 S Z W 1 v d m V k Q 2 9 s d W 1 u c z E u e 0 l k L D B 9 J n F 1 b 3 Q 7 L C Z x d W 9 0 O 1 N l Y 3 R p b 2 4 x L 3 J 5 c 2 J v Y X J k I C g y K S 9 B d X R v U m V t b 3 Z l Z E N v b H V t b n M x L n t E Z X N p Z 2 5 h d G 9 y L D F 9 J n F 1 b 3 Q 7 L C Z x d W 9 0 O 1 N l Y 3 R p b 2 4 x L 3 J 5 c 2 J v Y X J k I C g y K S 9 B d X R v U m V t b 3 Z l Z E N v b H V t b n M x L n t Q Y W N r Y W d l L D J 9 J n F 1 b 3 Q 7 L C Z x d W 9 0 O 1 N l Y 3 R p b 2 4 x L 3 J 5 c 2 J v Y X J k I C g y K S 9 B d X R v U m V t b 3 Z l Z E N v b H V t b n M x L n t R d W F u d G l 0 e S w z f S Z x d W 9 0 O y w m c X V v d D t T Z W N 0 a W 9 u M S 9 y e X N i b 2 F y Z C A o M i k v Q X V 0 b 1 J l b W 9 2 Z W R D b 2 x 1 b W 5 z M S 5 7 R G V z a W d u Y X R p b 2 4 s N H 0 m c X V v d D s s J n F 1 b 3 Q 7 U 2 V j d G l v b j E v c n l z Y m 9 h c m Q g K D I p L 0 F 1 d G 9 S Z W 1 v d m V k Q 2 9 s d W 1 u c z E u e 1 N 1 c H B s a W V y I G F u Z C B y Z W Y s N X 0 m c X V v d D s s J n F 1 b 3 Q 7 U 2 V j d G l v b j E v c n l z Y m 9 h c m Q g K D I p L 0 F 1 d G 9 S Z W 1 v d m V k Q 2 9 s d W 1 u c z E u e 0 N v b H V t b j E s N n 0 m c X V v d D s s J n F 1 b 3 Q 7 U 2 V j d G l v b j E v c n l z Y m 9 h c m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O J y U 9 c T p g D z P e u H 2 z U Q p / h J A 4 + C a D Q E F c U X i y E O t q c Q A A A A A A 6 A A A A A A g A A I A A A A D P X e h Y 8 C e 3 9 B h 9 g h X Q T R 5 K p h H I D K n M 1 y J V I 4 e F K V u o J U A A A A D D x g O v f P 0 C s c F K v c m A C D o O R W L A G A W G f m R u O R M n q 8 D G t + U + I v 3 h p f d i w r + b g 9 Z J G x O S s o n m q D X y N S 6 m 6 r V q x n f b g v Q G 5 + I M T Q A s E l w w 1 y h 7 z Q A A A A H K a 0 Q n H H H Y R U c D J J / B Y j w 7 R + A z W S 4 W U x c 1 i 4 q Q 1 j A D s Y i N g a F 0 A 1 a J K J g g e S N v b c Q 2 6 H v L R M T R E H x E Q e 7 Y D g a I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Integrated Circuits</vt:lpstr>
      <vt:lpstr>Basic_Elements</vt:lpstr>
      <vt:lpstr>Connectors and special parts</vt:lpstr>
      <vt:lpstr>Diodes and Semiconductors</vt:lpstr>
      <vt:lpstr>All</vt:lpstr>
      <vt:lpstr>x</vt:lpstr>
      <vt:lpstr>New_Elements</vt:lpstr>
      <vt:lpstr>All!Obszar_wydruku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2021-05-05T18:16:26Z</dcterms:modified>
</cp:coreProperties>
</file>