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6b96fae790869d/Work/In_Development/"/>
    </mc:Choice>
  </mc:AlternateContent>
  <xr:revisionPtr revIDLastSave="274" documentId="13_ncr:1_{3B2275A6-6178-41A0-A17A-C9B9F74F7153}" xr6:coauthVersionLast="45" xr6:coauthVersionMax="45" xr10:uidLastSave="{7370224D-7596-49DC-B14C-FC9EDF690961}"/>
  <bookViews>
    <workbookView xWindow="-120" yWindow="-120" windowWidth="27930" windowHeight="18240" xr2:uid="{D3CF5BF8-9222-44FF-AD36-BDCE8A2CB7BF}"/>
  </bookViews>
  <sheets>
    <sheet name="PCA Parabolic Stress Str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I15" i="1"/>
  <c r="AG15" i="1"/>
  <c r="AA13" i="1"/>
  <c r="Z13" i="1"/>
  <c r="AA12" i="1"/>
  <c r="AA11" i="1"/>
  <c r="Z11" i="1"/>
  <c r="O13" i="1"/>
  <c r="O12" i="1"/>
  <c r="O11" i="1"/>
  <c r="N13" i="1"/>
  <c r="N11" i="1"/>
  <c r="B28" i="1" l="1"/>
  <c r="E27" i="1"/>
  <c r="C28" i="1" s="1"/>
  <c r="E28" i="1" s="1"/>
  <c r="C29" i="1" s="1"/>
  <c r="B27" i="1"/>
  <c r="D27" i="1" s="1"/>
  <c r="B17" i="1"/>
  <c r="C22" i="1" s="1"/>
  <c r="B8" i="1"/>
  <c r="B9" i="1" s="1"/>
  <c r="E23" i="1" l="1"/>
  <c r="N6" i="1"/>
  <c r="G28" i="1"/>
  <c r="B15" i="1"/>
  <c r="B16" i="1" s="1"/>
  <c r="B11" i="1"/>
  <c r="AP23" i="1" l="1"/>
  <c r="AO22" i="1"/>
  <c r="Y23" i="1"/>
  <c r="AW22" i="1"/>
  <c r="AE22" i="1"/>
  <c r="AU22" i="1"/>
  <c r="Y22" i="1"/>
  <c r="AE23" i="1"/>
  <c r="AG22" i="1"/>
  <c r="AG23" i="1"/>
  <c r="AH23" i="1"/>
  <c r="AU23" i="1"/>
  <c r="AM22" i="1"/>
  <c r="S23" i="1"/>
  <c r="AW23" i="1"/>
  <c r="AM23" i="1"/>
  <c r="AX23" i="1"/>
  <c r="S22" i="1"/>
  <c r="AF23" i="1"/>
  <c r="R23" i="1"/>
  <c r="AV23" i="1"/>
  <c r="AN23" i="1"/>
  <c r="Z7" i="1"/>
  <c r="X23" i="1"/>
  <c r="E22" i="1"/>
  <c r="C23" i="1"/>
  <c r="AF22" i="1" l="1"/>
  <c r="N7" i="1"/>
  <c r="AN22" i="1"/>
  <c r="X22" i="1"/>
  <c r="AV22" i="1"/>
  <c r="R22" i="1"/>
  <c r="Q22" i="1"/>
  <c r="AL22" i="1"/>
  <c r="AT22" i="1"/>
  <c r="W22" i="1"/>
  <c r="P22" i="1"/>
  <c r="AX22" i="1"/>
  <c r="AH22" i="1"/>
  <c r="AP22" i="1"/>
  <c r="L23" i="1"/>
  <c r="N23" i="1" s="1"/>
  <c r="Z6" i="1"/>
  <c r="AC12" i="1" s="1"/>
  <c r="P23" i="1"/>
  <c r="Q23" i="1"/>
  <c r="V23" i="1"/>
  <c r="Z23" i="1" s="1"/>
  <c r="AT23" i="1"/>
  <c r="AY23" i="1" s="1"/>
  <c r="AZ23" i="1" s="1"/>
  <c r="AD23" i="1"/>
  <c r="AI23" i="1" s="1"/>
  <c r="AJ23" i="1" s="1"/>
  <c r="W23" i="1"/>
  <c r="AL23" i="1"/>
  <c r="AQ23" i="1" s="1"/>
  <c r="AR23" i="1" s="1"/>
  <c r="AD22" i="1"/>
  <c r="AO23" i="1"/>
  <c r="V22" i="1"/>
  <c r="Z22" i="1" s="1"/>
  <c r="G23" i="1"/>
  <c r="L22" i="1"/>
  <c r="N22" i="1" s="1"/>
  <c r="C27" i="1"/>
  <c r="G22" i="1"/>
  <c r="AE13" i="1" l="1"/>
  <c r="AE12" i="1"/>
  <c r="AE11" i="1"/>
  <c r="BB23" i="1"/>
  <c r="I23" i="1" s="1"/>
  <c r="AD12" i="1"/>
  <c r="AF12" i="1" s="1"/>
  <c r="AH12" i="1"/>
  <c r="Q12" i="1"/>
  <c r="R12" i="1" s="1"/>
  <c r="T12" i="1" s="1"/>
  <c r="Q13" i="1"/>
  <c r="R13" i="1" s="1"/>
  <c r="T13" i="1" s="1"/>
  <c r="Q11" i="1"/>
  <c r="R11" i="1" s="1"/>
  <c r="T11" i="1" s="1"/>
  <c r="T23" i="1"/>
  <c r="AB23" i="1" s="1"/>
  <c r="H23" i="1" s="1"/>
  <c r="AY22" i="1"/>
  <c r="AZ22" i="1" s="1"/>
  <c r="AI22" i="1"/>
  <c r="AJ22" i="1" s="1"/>
  <c r="AQ22" i="1"/>
  <c r="AR22" i="1" s="1"/>
  <c r="AC11" i="1"/>
  <c r="AD11" i="1" s="1"/>
  <c r="AF11" i="1" s="1"/>
  <c r="T22" i="1"/>
  <c r="AB22" i="1" s="1"/>
  <c r="H22" i="1" s="1"/>
  <c r="AC13" i="1"/>
  <c r="S12" i="1"/>
  <c r="S13" i="1"/>
  <c r="E29" i="1"/>
  <c r="G29" i="1" s="1"/>
  <c r="G27" i="1"/>
  <c r="G30" i="1" s="1"/>
  <c r="G31" i="1" s="1"/>
  <c r="S11" i="1"/>
  <c r="AH11" i="1" l="1"/>
  <c r="AG11" i="1"/>
  <c r="AI11" i="1"/>
  <c r="AD13" i="1"/>
  <c r="AF13" i="1" s="1"/>
  <c r="AH13" i="1" s="1"/>
  <c r="AH14" i="1" s="1"/>
  <c r="AH16" i="1" s="1"/>
  <c r="AH17" i="1" s="1"/>
  <c r="BB22" i="1"/>
  <c r="I22" i="1" s="1"/>
  <c r="AG12" i="1"/>
  <c r="AI12" i="1"/>
  <c r="W13" i="1"/>
  <c r="V13" i="1"/>
  <c r="U13" i="1"/>
  <c r="W12" i="1"/>
  <c r="V12" i="1"/>
  <c r="U12" i="1"/>
  <c r="W11" i="1"/>
  <c r="V11" i="1"/>
  <c r="U11" i="1"/>
  <c r="AG13" i="1" l="1"/>
  <c r="AG14" i="1" s="1"/>
  <c r="AI13" i="1"/>
  <c r="AI14" i="1" s="1"/>
  <c r="AI16" i="1" s="1"/>
  <c r="AI17" i="1" s="1"/>
  <c r="U14" i="1"/>
  <c r="U15" i="1" s="1"/>
  <c r="U16" i="1" s="1"/>
  <c r="U17" i="1" s="1"/>
  <c r="V14" i="1"/>
  <c r="V15" i="1" s="1"/>
  <c r="V16" i="1" s="1"/>
  <c r="V17" i="1" s="1"/>
  <c r="W14" i="1"/>
  <c r="W15" i="1" s="1"/>
  <c r="W16" i="1" s="1"/>
  <c r="W17" i="1" s="1"/>
  <c r="AG16" i="1" l="1"/>
  <c r="AG17" i="1" s="1"/>
</calcChain>
</file>

<file path=xl/sharedStrings.xml><?xml version="1.0" encoding="utf-8"?>
<sst xmlns="http://schemas.openxmlformats.org/spreadsheetml/2006/main" count="98" uniqueCount="63">
  <si>
    <t>Fc</t>
  </si>
  <si>
    <t>Ec</t>
  </si>
  <si>
    <t>k</t>
  </si>
  <si>
    <t>in</t>
  </si>
  <si>
    <t>psi</t>
  </si>
  <si>
    <t>in/in</t>
  </si>
  <si>
    <t>C</t>
  </si>
  <si>
    <t>NA Depth</t>
  </si>
  <si>
    <t>y,limit</t>
  </si>
  <si>
    <t>y,start</t>
  </si>
  <si>
    <t>ymax - c = y-coordinate of 0 strain assuming strain only varies in y</t>
  </si>
  <si>
    <t>Test Coordinates for a recatangular section 20"wide x 30" tall</t>
  </si>
  <si>
    <t>X1</t>
  </si>
  <si>
    <t>X2</t>
  </si>
  <si>
    <t>Y1</t>
  </si>
  <si>
    <t>Y2</t>
  </si>
  <si>
    <t>Parabolic Region</t>
  </si>
  <si>
    <t>Constant Region</t>
  </si>
  <si>
    <t>side1b</t>
  </si>
  <si>
    <t>top</t>
  </si>
  <si>
    <t>side2a</t>
  </si>
  <si>
    <t>side1a</t>
  </si>
  <si>
    <t>side2b</t>
  </si>
  <si>
    <t>P</t>
  </si>
  <si>
    <t>Mx</t>
  </si>
  <si>
    <t>My</t>
  </si>
  <si>
    <t>PCA Parabolic Strain-Strain Curve Formulas</t>
  </si>
  <si>
    <r>
      <t>57,000*</t>
    </r>
    <r>
      <rPr>
        <sz val="11"/>
        <color theme="1"/>
        <rFont val="Calibri"/>
        <family val="2"/>
      </rPr>
      <t>√F'c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</si>
  <si>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</si>
  <si>
    <r>
      <t>0&lt;ε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&lt;ε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</si>
  <si>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</si>
  <si>
    <r>
      <t>ε</t>
    </r>
    <r>
      <rPr>
        <vertAlign val="subscript"/>
        <sz val="11"/>
        <color theme="1"/>
        <rFont val="Calibri"/>
        <family val="2"/>
        <scheme val="minor"/>
      </rPr>
      <t>o</t>
    </r>
  </si>
  <si>
    <r>
      <t>2*(0.85*F'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 / E</t>
    </r>
    <r>
      <rPr>
        <vertAlign val="subscript"/>
        <sz val="11"/>
        <color theme="1"/>
        <rFont val="Calibri"/>
        <family val="2"/>
        <scheme val="minor"/>
      </rPr>
      <t>c</t>
    </r>
  </si>
  <si>
    <r>
      <t>ε</t>
    </r>
    <r>
      <rPr>
        <vertAlign val="subscript"/>
        <sz val="11"/>
        <color theme="1"/>
        <rFont val="Calibri"/>
        <family val="2"/>
        <scheme val="minor"/>
      </rPr>
      <t>u</t>
    </r>
  </si>
  <si>
    <r>
      <t>ε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/ε</t>
    </r>
    <r>
      <rPr>
        <vertAlign val="subscript"/>
        <sz val="11"/>
        <color theme="1"/>
        <rFont val="Calibri"/>
        <family val="2"/>
        <scheme val="minor"/>
      </rPr>
      <t>o</t>
    </r>
  </si>
  <si>
    <r>
      <t>y</t>
    </r>
    <r>
      <rPr>
        <vertAlign val="subscript"/>
        <sz val="11"/>
        <color theme="1"/>
        <rFont val="Calibri"/>
        <family val="2"/>
        <scheme val="minor"/>
      </rPr>
      <t>max</t>
    </r>
  </si>
  <si>
    <r>
      <t>y,ε</t>
    </r>
    <r>
      <rPr>
        <vertAlign val="subscript"/>
        <sz val="11"/>
        <color theme="1"/>
        <rFont val="Calibri"/>
        <family val="2"/>
        <scheme val="minor"/>
      </rPr>
      <t>o</t>
    </r>
  </si>
  <si>
    <r>
      <t>distance from top of section to point of ε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strain</t>
    </r>
  </si>
  <si>
    <t>ymax -y,εo = upper bound limit of application of parabolic formula</t>
  </si>
  <si>
    <r>
      <t>0.85*F'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*[2*(ε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/ε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 - (ε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</si>
  <si>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Interval:</t>
  </si>
  <si>
    <t>a</t>
  </si>
  <si>
    <t>b</t>
  </si>
  <si>
    <t>3 Gauss Points:</t>
  </si>
  <si>
    <t>xi</t>
  </si>
  <si>
    <t>wi</t>
  </si>
  <si>
    <t>Interval Change</t>
  </si>
  <si>
    <t>f(xi)</t>
  </si>
  <si>
    <t>P1</t>
  </si>
  <si>
    <t>P2</t>
  </si>
  <si>
    <t>P3</t>
  </si>
  <si>
    <t>ec</t>
  </si>
  <si>
    <t>x</t>
  </si>
  <si>
    <t>y</t>
  </si>
  <si>
    <t>x+</t>
  </si>
  <si>
    <t>Line Equations:</t>
  </si>
  <si>
    <t>Mx sub calcs:</t>
  </si>
  <si>
    <t>My sub calcs:</t>
  </si>
  <si>
    <t>Result:</t>
  </si>
  <si>
    <t>Difference:</t>
  </si>
  <si>
    <t>side1a - Gauss Integration</t>
  </si>
  <si>
    <t>Error:</t>
  </si>
  <si>
    <t>side2a - Gauss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</si>
</sst>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0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7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3220-7BB6-4F10-8F3A-0359870C3100}">
  <dimension ref="A1:BB31"/>
  <sheetViews>
    <sheetView tabSelected="1" workbookViewId="0">
      <selection activeCell="H30" sqref="H30"/>
    </sheetView>
  </sheetViews>
  <sheetFormatPr defaultColWidth="8.85546875" defaultRowHeight="15" x14ac:dyDescent="0.25"/>
  <cols>
    <col min="8" max="8" width="11" bestFit="1" customWidth="1"/>
    <col min="17" max="17" width="15" bestFit="1" customWidth="1"/>
    <col min="21" max="21" width="12.5703125" bestFit="1" customWidth="1"/>
    <col min="22" max="23" width="13.7109375" bestFit="1" customWidth="1"/>
    <col min="29" max="29" width="15" bestFit="1" customWidth="1"/>
    <col min="33" max="33" width="12" bestFit="1" customWidth="1"/>
    <col min="34" max="34" width="12.85546875" bestFit="1" customWidth="1"/>
    <col min="35" max="35" width="12.7109375" bestFit="1" customWidth="1"/>
  </cols>
  <sheetData>
    <row r="1" spans="1:35" x14ac:dyDescent="0.25">
      <c r="A1" t="s">
        <v>26</v>
      </c>
    </row>
    <row r="2" spans="1:35" ht="18" x14ac:dyDescent="0.35">
      <c r="A2" t="s">
        <v>31</v>
      </c>
      <c r="B2" t="s">
        <v>32</v>
      </c>
      <c r="M2" s="4"/>
      <c r="N2" s="5"/>
      <c r="O2" s="5"/>
      <c r="P2" s="5"/>
      <c r="Q2" s="5"/>
      <c r="R2" s="5"/>
      <c r="S2" s="5"/>
      <c r="T2" s="5"/>
    </row>
    <row r="3" spans="1:35" ht="18" x14ac:dyDescent="0.35">
      <c r="A3" t="s">
        <v>30</v>
      </c>
      <c r="B3" t="s">
        <v>27</v>
      </c>
      <c r="M3" s="5"/>
      <c r="N3" s="6"/>
      <c r="O3" s="6"/>
      <c r="P3" s="6"/>
      <c r="Q3" s="6"/>
      <c r="R3" s="6"/>
      <c r="S3" s="6"/>
      <c r="T3" s="6"/>
    </row>
    <row r="4" spans="1:35" ht="18" x14ac:dyDescent="0.35">
      <c r="A4" t="s">
        <v>29</v>
      </c>
      <c r="M4" s="2" t="s">
        <v>60</v>
      </c>
      <c r="Y4" s="2" t="s">
        <v>62</v>
      </c>
    </row>
    <row r="5" spans="1:35" ht="18.75" x14ac:dyDescent="0.35">
      <c r="A5" t="s">
        <v>28</v>
      </c>
      <c r="B5" t="s">
        <v>39</v>
      </c>
      <c r="M5" s="2" t="s">
        <v>40</v>
      </c>
      <c r="Y5" s="2" t="s">
        <v>40</v>
      </c>
    </row>
    <row r="6" spans="1:35" x14ac:dyDescent="0.25">
      <c r="M6" s="3" t="s">
        <v>41</v>
      </c>
      <c r="N6">
        <f>C22</f>
        <v>20.532</v>
      </c>
      <c r="Y6" s="3" t="s">
        <v>41</v>
      </c>
      <c r="Z6">
        <f>C23</f>
        <v>27.187735618284325</v>
      </c>
    </row>
    <row r="7" spans="1:35" x14ac:dyDescent="0.25">
      <c r="A7" t="s">
        <v>0</v>
      </c>
      <c r="B7">
        <v>5000</v>
      </c>
      <c r="C7" t="s">
        <v>4</v>
      </c>
      <c r="M7" s="3" t="s">
        <v>42</v>
      </c>
      <c r="N7">
        <f>E22</f>
        <v>27.187735618284325</v>
      </c>
      <c r="Y7" s="3" t="s">
        <v>42</v>
      </c>
      <c r="Z7">
        <f>E23</f>
        <v>20.532</v>
      </c>
    </row>
    <row r="8" spans="1:35" x14ac:dyDescent="0.25">
      <c r="A8" t="s">
        <v>1</v>
      </c>
      <c r="B8">
        <f>57000*SQRT(B7)</f>
        <v>4030508.6527633211</v>
      </c>
      <c r="C8" t="s">
        <v>4</v>
      </c>
    </row>
    <row r="9" spans="1:35" ht="18" x14ac:dyDescent="0.35">
      <c r="A9" t="s">
        <v>31</v>
      </c>
      <c r="B9">
        <f>(2*0.85*B7)/B8</f>
        <v>2.1089149614335629E-3</v>
      </c>
      <c r="C9" t="s">
        <v>5</v>
      </c>
      <c r="M9" s="2" t="s">
        <v>43</v>
      </c>
      <c r="Y9" s="2" t="s">
        <v>43</v>
      </c>
    </row>
    <row r="10" spans="1:35" ht="18" x14ac:dyDescent="0.35">
      <c r="A10" t="s">
        <v>33</v>
      </c>
      <c r="B10">
        <v>3.0000000000000001E-3</v>
      </c>
      <c r="C10" t="s">
        <v>5</v>
      </c>
      <c r="N10" s="1" t="s">
        <v>44</v>
      </c>
      <c r="O10" s="1" t="s">
        <v>45</v>
      </c>
      <c r="Q10" t="s">
        <v>46</v>
      </c>
      <c r="R10" s="1" t="s">
        <v>51</v>
      </c>
      <c r="S10" s="1" t="s">
        <v>52</v>
      </c>
      <c r="T10" s="1" t="s">
        <v>47</v>
      </c>
      <c r="U10" s="1" t="s">
        <v>23</v>
      </c>
      <c r="V10" s="1" t="s">
        <v>24</v>
      </c>
      <c r="W10" s="1" t="s">
        <v>25</v>
      </c>
      <c r="Z10" s="1" t="s">
        <v>44</v>
      </c>
      <c r="AA10" s="1" t="s">
        <v>45</v>
      </c>
      <c r="AC10" t="s">
        <v>46</v>
      </c>
      <c r="AD10" s="1" t="s">
        <v>51</v>
      </c>
      <c r="AE10" s="1" t="s">
        <v>52</v>
      </c>
      <c r="AF10" s="1" t="s">
        <v>47</v>
      </c>
      <c r="AG10" s="1" t="s">
        <v>23</v>
      </c>
      <c r="AH10" s="1" t="s">
        <v>24</v>
      </c>
      <c r="AI10" s="1" t="s">
        <v>25</v>
      </c>
    </row>
    <row r="11" spans="1:35" ht="18" x14ac:dyDescent="0.35">
      <c r="A11" t="s">
        <v>2</v>
      </c>
      <c r="B11">
        <f>B10/B9</f>
        <v>1.422532465681172</v>
      </c>
      <c r="C11" t="s">
        <v>34</v>
      </c>
      <c r="M11" t="s">
        <v>48</v>
      </c>
      <c r="N11">
        <f>-1*SQRT(3/5)</f>
        <v>-0.7745966692414834</v>
      </c>
      <c r="O11">
        <f>5/9</f>
        <v>0.55555555555555558</v>
      </c>
      <c r="Q11">
        <f>((($N$7-$N$6)/2)*N11)+(($N$6+$N$7)/2)</f>
        <v>21.282112488504691</v>
      </c>
      <c r="R11">
        <f>$B$10*((Q11-$B$17)/$B$14)</f>
        <v>2.3767822829679679E-4</v>
      </c>
      <c r="S11">
        <f>IF($B$22=$D$22,$B$22,(Q11-$N$22)/$L$22)</f>
        <v>20</v>
      </c>
      <c r="T11">
        <f>(0.85*$B$7*((2*(R11/$B$9))-POWER(R11/$B$9,2)))</f>
        <v>903.98207786184764</v>
      </c>
      <c r="U11" s="8">
        <f>T11*O11*S11</f>
        <v>10044.245309576087</v>
      </c>
      <c r="V11" s="8">
        <f>(Q11*S11*T11)*O11</f>
        <v>213762.75854053386</v>
      </c>
      <c r="W11" s="8">
        <f>(1/2)*S11*S11*T11*O11</f>
        <v>100442.45309576085</v>
      </c>
      <c r="Y11" t="s">
        <v>48</v>
      </c>
      <c r="Z11">
        <f>-1*SQRT(3/5)</f>
        <v>-0.7745966692414834</v>
      </c>
      <c r="AA11">
        <f>5/9</f>
        <v>0.55555555555555558</v>
      </c>
      <c r="AC11">
        <f>((($Z$7-$Z$6)/2)*Z11)+(($Z$6+$Z$7)/2)</f>
        <v>26.437623129779634</v>
      </c>
      <c r="AD11">
        <f>$B$10*((AC11-$B$17)/$B$14)</f>
        <v>1.8712367331367664E-3</v>
      </c>
      <c r="AE11">
        <f>IF($B$23=$D$23,$B$23,(AC11-$N$23)/$L$23)</f>
        <v>4.436491673103709</v>
      </c>
      <c r="AF11">
        <f>(0.85*$B$7*((2*(AD11/$B$9))-POWER(AD11/$B$9,2)))</f>
        <v>4196.0179221381522</v>
      </c>
      <c r="AG11" s="8">
        <f>AF11*AA11*AE11</f>
        <v>10341.999206533244</v>
      </c>
      <c r="AH11" s="8">
        <f>(AC11*AE11*AF11)*AA11</f>
        <v>273417.87743080594</v>
      </c>
      <c r="AI11" s="8">
        <f>(1/2)*AE11*AE11*AF11*AA11</f>
        <v>22941.096681514951</v>
      </c>
    </row>
    <row r="12" spans="1:35" ht="18" x14ac:dyDescent="0.35">
      <c r="A12" t="s">
        <v>35</v>
      </c>
      <c r="B12">
        <v>30</v>
      </c>
      <c r="C12" t="s">
        <v>3</v>
      </c>
      <c r="M12" t="s">
        <v>49</v>
      </c>
      <c r="N12">
        <v>0</v>
      </c>
      <c r="O12">
        <f>8/9</f>
        <v>0.88888888888888884</v>
      </c>
      <c r="Q12">
        <f t="shared" ref="Q12:Q13" si="0">((($N$7-$N$6)/2)*N12)+(($N$6+$N$7)/2)</f>
        <v>23.859867809142163</v>
      </c>
      <c r="R12">
        <f t="shared" ref="R12:R13" si="1">$B$10*((Q12-$B$17)/$B$14)</f>
        <v>1.0544574807167814E-3</v>
      </c>
      <c r="S12">
        <f t="shared" ref="S12:S13" si="2">IF($B$22=$D$22,$B$22,(Q12-$N$22)/$L$22)</f>
        <v>20</v>
      </c>
      <c r="T12">
        <f t="shared" ref="T12:T13" si="3">(0.85*$B$7*((2*(R12/$B$9))-POWER(R12/$B$9,2)))</f>
        <v>3187.5</v>
      </c>
      <c r="U12" s="8">
        <f t="shared" ref="U12:U13" si="4">T12*O12*S12</f>
        <v>56666.666666666657</v>
      </c>
      <c r="V12" s="8">
        <f t="shared" ref="V12:V13" si="5">(Q12*S12*T12)*O12</f>
        <v>1352059.1758513891</v>
      </c>
      <c r="W12" s="8">
        <f t="shared" ref="W12:W13" si="6">(1/2)*S12*S12*T12*O12</f>
        <v>566666.66666666663</v>
      </c>
      <c r="Y12" t="s">
        <v>49</v>
      </c>
      <c r="Z12">
        <v>0</v>
      </c>
      <c r="AA12">
        <f>8/9</f>
        <v>0.88888888888888884</v>
      </c>
      <c r="AC12">
        <f t="shared" ref="AC12:AC13" si="7">((($Z$7-$Z$6)/2)*Z12)+(($Z$6+$Z$7)/2)</f>
        <v>23.859867809142163</v>
      </c>
      <c r="AD12">
        <f t="shared" ref="AD12:AD13" si="8">$B$10*((AC12-$B$17)/$B$14)</f>
        <v>1.0544574807167814E-3</v>
      </c>
      <c r="AE12">
        <f t="shared" ref="AE12:AE13" si="9">IF($B$23=$D$23,$B$23,(AC12-$N$23)/$L$23)</f>
        <v>2.5</v>
      </c>
      <c r="AF12">
        <f t="shared" ref="AF12:AF13" si="10">(0.85*$B$7*((2*(AD12/$B$9))-POWER(AD12/$B$9,2)))</f>
        <v>3187.5</v>
      </c>
      <c r="AG12" s="8">
        <f t="shared" ref="AG12:AG13" si="11">AF12*AA12*AE12</f>
        <v>7083.3333333333321</v>
      </c>
      <c r="AH12" s="8">
        <f t="shared" ref="AH12:AH13" si="12">(AC12*AE12*AF12)*AA12</f>
        <v>169007.39698142363</v>
      </c>
      <c r="AI12" s="8">
        <f t="shared" ref="AI12:AI13" si="13">(1/2)*AE12*AE12*AF12*AA12</f>
        <v>8854.1666666666661</v>
      </c>
    </row>
    <row r="13" spans="1:35" ht="15.75" thickBot="1" x14ac:dyDescent="0.3">
      <c r="M13" t="s">
        <v>50</v>
      </c>
      <c r="N13">
        <f>SQRT(3/5)</f>
        <v>0.7745966692414834</v>
      </c>
      <c r="O13">
        <f>5/9</f>
        <v>0.55555555555555558</v>
      </c>
      <c r="Q13">
        <f t="shared" si="0"/>
        <v>26.437623129779634</v>
      </c>
      <c r="R13">
        <f t="shared" si="1"/>
        <v>1.8712367331367664E-3</v>
      </c>
      <c r="S13">
        <f t="shared" si="2"/>
        <v>20</v>
      </c>
      <c r="T13">
        <f t="shared" si="3"/>
        <v>4196.0179221381522</v>
      </c>
      <c r="U13" s="8">
        <f t="shared" si="4"/>
        <v>46622.421357090578</v>
      </c>
      <c r="V13" s="8">
        <f t="shared" si="5"/>
        <v>1232586.00523655</v>
      </c>
      <c r="W13" s="8">
        <f t="shared" si="6"/>
        <v>466224.21357090579</v>
      </c>
      <c r="Y13" t="s">
        <v>50</v>
      </c>
      <c r="Z13">
        <f>SQRT(3/5)</f>
        <v>0.7745966692414834</v>
      </c>
      <c r="AA13">
        <f>5/9</f>
        <v>0.55555555555555558</v>
      </c>
      <c r="AC13">
        <f t="shared" si="7"/>
        <v>21.282112488504691</v>
      </c>
      <c r="AD13">
        <f t="shared" si="8"/>
        <v>2.3767822829679679E-4</v>
      </c>
      <c r="AE13">
        <f t="shared" si="9"/>
        <v>0.56350832689629127</v>
      </c>
      <c r="AF13">
        <f t="shared" si="10"/>
        <v>903.98207786184764</v>
      </c>
      <c r="AG13" s="8">
        <f t="shared" si="11"/>
        <v>283.00079346675705</v>
      </c>
      <c r="AH13" s="8">
        <f t="shared" si="12"/>
        <v>6022.854720895607</v>
      </c>
      <c r="AI13" s="8">
        <f t="shared" si="13"/>
        <v>79.736651818387557</v>
      </c>
    </row>
    <row r="14" spans="1:35" ht="16.5" thickTop="1" thickBot="1" x14ac:dyDescent="0.3">
      <c r="A14" t="s">
        <v>6</v>
      </c>
      <c r="B14">
        <v>9.468</v>
      </c>
      <c r="C14" t="s">
        <v>3</v>
      </c>
      <c r="D14" t="s">
        <v>7</v>
      </c>
      <c r="U14" s="9">
        <f>SUM(U11:U13)</f>
        <v>113333.33333333331</v>
      </c>
      <c r="V14" s="9">
        <f>SUM(V11:V13)</f>
        <v>2798407.939628473</v>
      </c>
      <c r="W14" s="9">
        <f>SUM(W11:W13)</f>
        <v>1133333.3333333333</v>
      </c>
      <c r="AG14" s="9">
        <f>SUM(AG11:AG13)</f>
        <v>17708.333333333332</v>
      </c>
      <c r="AH14" s="9">
        <f>SUM(AH11:AH13)</f>
        <v>448448.12913312513</v>
      </c>
      <c r="AI14" s="9">
        <f>SUM(AI11:AI13)</f>
        <v>31875.000000000004</v>
      </c>
    </row>
    <row r="15" spans="1:35" ht="18.75" thickTop="1" x14ac:dyDescent="0.35">
      <c r="A15" t="s">
        <v>36</v>
      </c>
      <c r="B15">
        <f>(((B9/B10)*B14)-B14)*-1</f>
        <v>2.8122643817156749</v>
      </c>
      <c r="C15" t="s">
        <v>3</v>
      </c>
      <c r="D15" t="s">
        <v>37</v>
      </c>
      <c r="T15" s="3" t="s">
        <v>58</v>
      </c>
      <c r="U15" s="8">
        <f>U14*(($N$7-$N$6)/2)</f>
        <v>377158.35170277837</v>
      </c>
      <c r="V15" s="8">
        <f>V14*(($N$7-$N$6)/2)</f>
        <v>9312731.69913744</v>
      </c>
      <c r="W15" s="8">
        <f>W14*(($N$7-$N$6)/2)</f>
        <v>3771583.5170277841</v>
      </c>
      <c r="AF15" s="3" t="s">
        <v>58</v>
      </c>
      <c r="AG15" s="8">
        <f>AG14*(($Z$7-$Z$6)/2)</f>
        <v>-58930.992453559127</v>
      </c>
      <c r="AH15" s="8">
        <f t="shared" ref="AH15:AI15" si="14">AH14*(($Z$7-$Z$6)/2)</f>
        <v>-1492376.0930121548</v>
      </c>
      <c r="AI15" s="8">
        <f t="shared" si="14"/>
        <v>-106075.78641640644</v>
      </c>
    </row>
    <row r="16" spans="1:35" x14ac:dyDescent="0.25">
      <c r="A16" t="s">
        <v>8</v>
      </c>
      <c r="B16">
        <f>B12-B15</f>
        <v>27.187735618284325</v>
      </c>
      <c r="C16" t="s">
        <v>3</v>
      </c>
      <c r="D16" t="s">
        <v>38</v>
      </c>
      <c r="T16" s="3" t="s">
        <v>59</v>
      </c>
      <c r="U16" s="8">
        <f>U15-G22</f>
        <v>0</v>
      </c>
      <c r="V16" s="8">
        <f>V15-H22</f>
        <v>0</v>
      </c>
      <c r="W16" s="8">
        <f>W15-I22</f>
        <v>-7.9162418842315674E-9</v>
      </c>
      <c r="AF16" s="3" t="s">
        <v>59</v>
      </c>
      <c r="AG16" s="8">
        <f>AG15-G23</f>
        <v>0</v>
      </c>
      <c r="AH16" s="8">
        <f t="shared" ref="AH16:AI16" si="15">AH15-H23</f>
        <v>-2.5611370801925659E-9</v>
      </c>
      <c r="AI16" s="8">
        <f t="shared" si="15"/>
        <v>1.4551915228366852E-10</v>
      </c>
    </row>
    <row r="17" spans="1:54" x14ac:dyDescent="0.25">
      <c r="A17" t="s">
        <v>9</v>
      </c>
      <c r="B17">
        <f>B12-B14</f>
        <v>20.532</v>
      </c>
      <c r="C17" t="s">
        <v>3</v>
      </c>
      <c r="D17" t="s">
        <v>10</v>
      </c>
      <c r="T17" s="3" t="s">
        <v>61</v>
      </c>
      <c r="U17" s="10">
        <f>U16/G22</f>
        <v>0</v>
      </c>
      <c r="V17" s="10">
        <f t="shared" ref="V17:W17" si="16">V16/H22</f>
        <v>0</v>
      </c>
      <c r="W17" s="10">
        <f t="shared" si="16"/>
        <v>-2.0989172978648465E-15</v>
      </c>
      <c r="AF17" s="3" t="s">
        <v>61</v>
      </c>
      <c r="AG17" s="10">
        <f>AG16/G23</f>
        <v>0</v>
      </c>
      <c r="AH17" s="10">
        <f t="shared" ref="AH17:AI17" si="17">AH16/H23</f>
        <v>1.7161472179732317E-15</v>
      </c>
      <c r="AI17" s="10">
        <f t="shared" si="17"/>
        <v>-1.3718413711534953E-15</v>
      </c>
    </row>
    <row r="19" spans="1:54" x14ac:dyDescent="0.25">
      <c r="A19" t="s">
        <v>11</v>
      </c>
    </row>
    <row r="20" spans="1:54" x14ac:dyDescent="0.25">
      <c r="A20" t="s">
        <v>16</v>
      </c>
    </row>
    <row r="21" spans="1:54" x14ac:dyDescent="0.25">
      <c r="B21" s="1" t="s">
        <v>12</v>
      </c>
      <c r="C21" s="1" t="s">
        <v>14</v>
      </c>
      <c r="D21" s="1" t="s">
        <v>13</v>
      </c>
      <c r="E21" s="1" t="s">
        <v>15</v>
      </c>
      <c r="G21" s="1" t="s">
        <v>23</v>
      </c>
      <c r="H21" s="1" t="s">
        <v>24</v>
      </c>
      <c r="I21" s="1" t="s">
        <v>25</v>
      </c>
      <c r="K21" s="7" t="s">
        <v>55</v>
      </c>
      <c r="P21" t="s">
        <v>56</v>
      </c>
      <c r="AD21" t="s">
        <v>57</v>
      </c>
    </row>
    <row r="22" spans="1:54" x14ac:dyDescent="0.25">
      <c r="A22" t="s">
        <v>21</v>
      </c>
      <c r="B22" s="1">
        <v>20</v>
      </c>
      <c r="C22" s="1">
        <f>B17</f>
        <v>20.532</v>
      </c>
      <c r="D22" s="1">
        <v>20</v>
      </c>
      <c r="E22" s="1">
        <f>B16</f>
        <v>27.187735618284325</v>
      </c>
      <c r="G22">
        <f>((17*B7*B11*(C22-E22))/(240*POWER(B14,2)))*((B22*((2*C22*((4*B14*(B11-1))+(B11*E22)-(4*B11*B12)))+(6*(B14-B12)*((B14*(B11-2))-(B11*B12)))+(4*E22*((B14*(B11-1))-(B11*B12)))+(3*B11*C22*C22)+(B11*E22*E22)))+(D22*((2*C22*((2*B14*(B11-1))+(B11*E22)-(2*B11*B12)))+(6*(B14-B12)*((B14*(B11-2))-(B11*B12)))+(8*E22*((B14*(B11-1))-(B11*B12)))+(B11*C22*C22)+(3*B11*E22*E22))))</f>
        <v>377158.35170277866</v>
      </c>
      <c r="H22">
        <f>((1/(1200*$B$14*$B$14))*17*$B$7*$B$11*(C22-E22))*AB22</f>
        <v>9312731.6991374511</v>
      </c>
      <c r="I22">
        <f>((1/(1200*$B$14*$B$14))*17*$B$7*$B$11*(C22-E22))*BB22</f>
        <v>3771583.5170277921</v>
      </c>
      <c r="K22" t="s">
        <v>53</v>
      </c>
      <c r="L22" t="e">
        <f>(E22-C22)/(D22-B22)</f>
        <v>#DIV/0!</v>
      </c>
      <c r="M22" t="s">
        <v>54</v>
      </c>
      <c r="N22" t="e">
        <f>(-1*L22*B22)+C22</f>
        <v>#DIV/0!</v>
      </c>
      <c r="P22">
        <f>((2*C22*C22)*((5*$B$14*($B$11-1))+(3*$B$11*E22)-(5*$B$11*$B$12)))</f>
        <v>-65216.536005788214</v>
      </c>
      <c r="Q22">
        <f>(C22)*((20*E22)*(($B$14*($B$11-1))-($B$11*$B$12))+((10*($B$14-$B$12))*(($B$14*($B$11-2))-(B11*B12)))+(9*$B$11*E22*E22))</f>
        <v>-34527.896362428633</v>
      </c>
      <c r="R22">
        <f>(2*E22)*((15*E22)*(($B$14*($B$11-1))-($B$11*$B$12))+((10*($B$14-$B$12))*(($B$14*($B$11-2))-(B11*B12)))+(6*$B$11*E22*E22))</f>
        <v>22910.153042590682</v>
      </c>
      <c r="S22">
        <f>3*$B$11*C22*C22*C22</f>
        <v>36938.325870645152</v>
      </c>
      <c r="T22" s="2">
        <f>D22*(SUM(P22:S22))</f>
        <v>-797919.06909962022</v>
      </c>
      <c r="V22">
        <f>(C22*C22)*((30*$B$14*($B$11-1))+(9*$B$11*E22)-(30*$B$11*$B$12))</f>
        <v>-342386.81403038802</v>
      </c>
      <c r="W22">
        <f>C22*(((20*E22)*(($B$14*($B$11-1))-($B$11*$B$12)))+(20*($B$14-$B$12)*(($B$14*($B$11-2))-($B$11*$B$12)))+(6*$B$11*E22*E22))</f>
        <v>103658.9879945748</v>
      </c>
      <c r="X22">
        <f>E22*(((10*E22)*(($B$14*($B$11-1))-($B$11*$B$12)))+(10*($B$14-$B$12)*(($B$14*($B$11-2))-($B$11*$B$12)))+(3*$B$11*E22*E22))</f>
        <v>68630.751024143014</v>
      </c>
      <c r="Y22">
        <f>12*$B$11*C22*C22*C22</f>
        <v>147753.30348258061</v>
      </c>
      <c r="Z22" s="2">
        <f>B22*SUM(V22:Y22)</f>
        <v>-446875.43058179202</v>
      </c>
      <c r="AB22" s="2">
        <f>T22+Z22</f>
        <v>-1244794.4996814122</v>
      </c>
      <c r="AD22">
        <f>(3*C22)*(((5*$B$14)*($B$11-1))+($B$11*E22)-(5*$B$11*$B$12))</f>
        <v>-9529.0087676487728</v>
      </c>
      <c r="AE22">
        <f>(10*($B$14-$B$12))*(($B$14*($B$11-2))-($B$11*$B$12))</f>
        <v>9884.8103997073104</v>
      </c>
      <c r="AF22">
        <f>(5*E22)*(($B$14*($B$11-1))-($B$11*$B$12))</f>
        <v>-5257.4877240232354</v>
      </c>
      <c r="AG22">
        <f>6*$B$11*C22*C22</f>
        <v>3598.1225278243865</v>
      </c>
      <c r="AH22">
        <f>$B$11*E22*E22</f>
        <v>1051.4975448046471</v>
      </c>
      <c r="AI22">
        <f>SUM(AD22:AH22)</f>
        <v>-252.06601933566435</v>
      </c>
      <c r="AJ22" s="2">
        <f>AI22*B22*B22</f>
        <v>-100826.40773426574</v>
      </c>
      <c r="AL22">
        <f>(2*C22)*(((5*$B$14)*($B$11-1))+(2*$B$11*E22)-(5*$B$11*$B$12))</f>
        <v>-4764.5043838243864</v>
      </c>
      <c r="AM22">
        <f>(10*($B$14-$B$12))*(($B$14*($B$11-2))-($B$11*$B$12))</f>
        <v>9884.8103997073104</v>
      </c>
      <c r="AN22">
        <f>(10*E22)*(($B$14*($B$11-1))-($B$11*$B$12))</f>
        <v>-10514.975448046471</v>
      </c>
      <c r="AO22">
        <f>3*$B$11*C22*C22</f>
        <v>1799.0612639121932</v>
      </c>
      <c r="AP22">
        <f>3*$B$11*E22*E22</f>
        <v>3154.4926344139412</v>
      </c>
      <c r="AQ22">
        <f>SUM(AL22:AP22)</f>
        <v>-441.11553383741239</v>
      </c>
      <c r="AR22" s="2">
        <f>(B22*D22)*AQ22</f>
        <v>-176446.21353496495</v>
      </c>
      <c r="AT22">
        <f>(C22)*(((5*$B$14)*($B$11-1))+(3*$B$11*E22)-(5*$B$11*$B$12))</f>
        <v>-1588.1681279414624</v>
      </c>
      <c r="AU22">
        <f>(10*($B$14-$B$12))*(($B$14*($B$11-2))-($B$11*$B$12))</f>
        <v>9884.8103997073104</v>
      </c>
      <c r="AV22">
        <f>(15*E22)*(($B$14*($B$11-1))-($B$11*$B$12))</f>
        <v>-15772.463172069707</v>
      </c>
      <c r="AW22">
        <f>$B$11*C22*C22</f>
        <v>599.68708797073111</v>
      </c>
      <c r="AX22">
        <f>6*$B$11*E22*E22</f>
        <v>6308.9852688278825</v>
      </c>
      <c r="AY22">
        <f>SUM(AT22:AX22)</f>
        <v>-567.14854350524547</v>
      </c>
      <c r="AZ22" s="2">
        <f>(D22*D22)*AY22</f>
        <v>-226859.41740209819</v>
      </c>
      <c r="BB22" s="2">
        <f>AJ22+AR22+AZ22</f>
        <v>-504132.03867132886</v>
      </c>
    </row>
    <row r="23" spans="1:54" x14ac:dyDescent="0.25">
      <c r="A23" t="s">
        <v>22</v>
      </c>
      <c r="B23" s="1">
        <v>5</v>
      </c>
      <c r="C23" s="1">
        <f>B16</f>
        <v>27.187735618284325</v>
      </c>
      <c r="D23" s="1">
        <v>0</v>
      </c>
      <c r="E23" s="1">
        <f>B17</f>
        <v>20.532</v>
      </c>
      <c r="G23">
        <f>((17*B7*B11*(C23-E23))/(240*POWER(B14,2)))*((B23*((2*C23*((4*B14*(B11-1))+(B11*E23)-(4*B11*B12)))+(6*(B14-B12)*((B14*(B11-2))-(B11*B12)))+(4*E23*((B14*(B11-1))-(B11*B12)))+(3*B11*C23*C23)+(B11*E23*E23)))+(D23*((2*C23*((2*B14*(B11-1))+(B11*E23)-(2*B11*B12)))+(6*(B14-B12)*((B14*(B11-2))-(B11*B12)))+(8*E23*((B14*(B11-1))-(B11*B12)))+(B11*C23*C23)+(3*B11*E23*E23))))</f>
        <v>-58930.992453559113</v>
      </c>
      <c r="H23">
        <f>((1/(1200*$B$14*$B$14))*17*$B$7*$B$11*(C23-E23))*AB23</f>
        <v>-1492376.0930121522</v>
      </c>
      <c r="I23">
        <f>((1/(1200*$B$14*$B$14))*17*$B$7*$B$11*(C23-E23))*BB23</f>
        <v>-106075.78641640658</v>
      </c>
      <c r="K23" t="s">
        <v>53</v>
      </c>
      <c r="L23">
        <f>(E23-C23)/(D23-B23)</f>
        <v>1.3311471236568651</v>
      </c>
      <c r="M23" t="s">
        <v>54</v>
      </c>
      <c r="N23">
        <f>(-1*L23*B23)+C23</f>
        <v>20.532</v>
      </c>
      <c r="P23">
        <f>((2*C23*C23)*((5*$B$14*($B$11-1))+(3*$B$11*E23)-(5*$B$11*$B$12)))</f>
        <v>-156342.28697466414</v>
      </c>
      <c r="Q23">
        <f>C23*((20*E23)*(($B$14*($B$11-1))-($B$11*$B$12))+(10*($B$14-$B$12))*(($B$14*($B$11-2)))+(9*$B$11*E23*E23))</f>
        <v>-254529.35319266634</v>
      </c>
      <c r="R23">
        <f>(2*E23)*(((15*E23)*(($B$14*($B$11-1))-($B$11*$B$12)))+(10*($B$14-$B$12)*(($B$14*($B$11-2))-($B$11*$B$12)))+(6*$B$11*E23*E23))</f>
        <v>64539.137692750068</v>
      </c>
      <c r="S23">
        <f>3*$B$11*C23*C23*C23</f>
        <v>85763.511754271458</v>
      </c>
      <c r="T23" s="2">
        <f>D23*(SUM(P23:S23))</f>
        <v>0</v>
      </c>
      <c r="V23">
        <f>(C23*C23)*((30*$B$14*($B$11-1))+(9*$B$11*E23)-(30*$B$11*$B$12))</f>
        <v>-663330.98923335341</v>
      </c>
      <c r="W23">
        <f>C23*(((20*E23)*(($B$14*($B$11-1))-($B$11*$B$12)))+(20*($B$14-$B$12)*(($B$14*($B$11-2))-($B$11*$B$12)))+(6*$B$11*E23*E23))</f>
        <v>203529.07577832157</v>
      </c>
      <c r="X23">
        <f>E23*(((10*E23)*(($B$14*($B$11-1))-($B$11*$B$12)))+(10*($B$14-$B$12)*(($B$14*($B$11-2))-($B$11*$B$12)))+(3*$B$11*E23*E23))</f>
        <v>76851.91298296515</v>
      </c>
      <c r="Y23">
        <f>12*$B$11*C23*C23*C23</f>
        <v>343054.04701708583</v>
      </c>
      <c r="Z23" s="2">
        <f>B23*SUM(V23:Y23)</f>
        <v>-199479.7672749043</v>
      </c>
      <c r="AB23" s="2">
        <f>T23+Z23</f>
        <v>-199479.7672749043</v>
      </c>
      <c r="AD23">
        <f>(3*C23)*(((5*$B$14)*($B$11-1))+($B$11*E23)-(5*$B$11*$B$12))</f>
        <v>-13390.210980157513</v>
      </c>
      <c r="AE23">
        <f>(10*($B$14-$B$12))*(($B$14*($B$11-2))-($B$11*$B$12))</f>
        <v>9884.8103997073104</v>
      </c>
      <c r="AF23">
        <f>(5*E23)*(($B$14*($B$11-1))-($B$11*$B$12))</f>
        <v>-3970.4203198536552</v>
      </c>
      <c r="AG23">
        <f>6*$B$11*C23*C23</f>
        <v>6308.9852688278825</v>
      </c>
      <c r="AH23">
        <f>$B$11*E23*E23</f>
        <v>599.68708797073111</v>
      </c>
      <c r="AI23">
        <f>SUM(AD23:AH23)</f>
        <v>-567.14854350524467</v>
      </c>
      <c r="AJ23" s="2">
        <f>AI23*B23*B23</f>
        <v>-14178.713587631117</v>
      </c>
      <c r="AL23">
        <f>(2*C23)*(((5*$B$14)*($B$11-1))+(2*$B$11*E23)-(5*$B$11*$B$12))</f>
        <v>-7338.6391921635459</v>
      </c>
      <c r="AM23">
        <f>(10*($B$14-$B$12))*(($B$14*($B$11-2))-($B$11*$B$12))</f>
        <v>9884.8103997073104</v>
      </c>
      <c r="AN23">
        <f>(10*E23)*(($B$14*($B$11-1))-($B$11*$B$12))</f>
        <v>-7940.8406397073104</v>
      </c>
      <c r="AO23">
        <f>3*$B$11*C23*C23</f>
        <v>3154.4926344139412</v>
      </c>
      <c r="AP23">
        <f>3*$B$11*E23*E23</f>
        <v>1799.0612639121932</v>
      </c>
      <c r="AQ23">
        <f>SUM(AL23:AP23)</f>
        <v>-441.11553383741148</v>
      </c>
      <c r="AR23" s="2">
        <f>(B23*D23)*AQ23</f>
        <v>0</v>
      </c>
      <c r="AT23">
        <f>(C23)*(((5*$B$14)*($B$11-1))+(3*$B$11*E23)-(5*$B$11*$B$12))</f>
        <v>-2875.2355321110426</v>
      </c>
      <c r="AU23">
        <f>(10*($B$14-$B$12))*(($B$14*($B$11-2))-($B$11*$B$12))</f>
        <v>9884.8103997073104</v>
      </c>
      <c r="AV23">
        <f>(15*E23)*(($B$14*($B$11-1))-($B$11*$B$12))</f>
        <v>-11911.260959560967</v>
      </c>
      <c r="AW23">
        <f>$B$11*C23*C23</f>
        <v>1051.4975448046471</v>
      </c>
      <c r="AX23">
        <f>6*$B$11*E23*E23</f>
        <v>3598.1225278243865</v>
      </c>
      <c r="AY23">
        <f>SUM(AT23:AX23)</f>
        <v>-252.06601933566526</v>
      </c>
      <c r="AZ23" s="2">
        <f>(D23*D23)*AY23</f>
        <v>0</v>
      </c>
      <c r="BB23" s="2">
        <f>AJ23+AR23+AZ23</f>
        <v>-14178.713587631117</v>
      </c>
    </row>
    <row r="25" spans="1:54" x14ac:dyDescent="0.25">
      <c r="A25" t="s">
        <v>17</v>
      </c>
    </row>
    <row r="26" spans="1:54" x14ac:dyDescent="0.25">
      <c r="B26" s="1" t="s">
        <v>12</v>
      </c>
      <c r="C26" s="1" t="s">
        <v>14</v>
      </c>
      <c r="D26" s="1" t="s">
        <v>13</v>
      </c>
      <c r="E26" s="1" t="s">
        <v>15</v>
      </c>
    </row>
    <row r="27" spans="1:54" x14ac:dyDescent="0.25">
      <c r="A27" t="s">
        <v>18</v>
      </c>
      <c r="B27" s="1">
        <f>B22</f>
        <v>20</v>
      </c>
      <c r="C27" s="1">
        <f>E22</f>
        <v>27.187735618284325</v>
      </c>
      <c r="D27" s="1">
        <f>B27</f>
        <v>20</v>
      </c>
      <c r="E27" s="1">
        <f>B12</f>
        <v>30</v>
      </c>
      <c r="G27">
        <f>(0.85*B7*-0.5)*(B27+D27)*(C27-E27)</f>
        <v>239042.47244583236</v>
      </c>
    </row>
    <row r="28" spans="1:54" x14ac:dyDescent="0.25">
      <c r="A28" t="s">
        <v>19</v>
      </c>
      <c r="B28" s="1">
        <f>20</f>
        <v>20</v>
      </c>
      <c r="C28" s="1">
        <f>E27</f>
        <v>30</v>
      </c>
      <c r="D28" s="1">
        <v>0</v>
      </c>
      <c r="E28" s="1">
        <f>C28</f>
        <v>30</v>
      </c>
      <c r="G28">
        <f>(0.85*B7*-0.5)*(B28+D28)*(C28-E28)</f>
        <v>0</v>
      </c>
    </row>
    <row r="29" spans="1:54" x14ac:dyDescent="0.25">
      <c r="A29" t="s">
        <v>20</v>
      </c>
      <c r="B29" s="1">
        <v>0</v>
      </c>
      <c r="C29" s="1">
        <f>E28</f>
        <v>30</v>
      </c>
      <c r="D29" s="1">
        <v>0</v>
      </c>
      <c r="E29" s="1">
        <f>C27</f>
        <v>27.187735618284325</v>
      </c>
      <c r="G29">
        <f>(0.85*B7*-0.5)*(B29+D29)*(C29-E29)</f>
        <v>0</v>
      </c>
    </row>
    <row r="30" spans="1:54" x14ac:dyDescent="0.25">
      <c r="G30">
        <f>SUM(G22:G29)</f>
        <v>557269.83169505186</v>
      </c>
    </row>
    <row r="31" spans="1:54" x14ac:dyDescent="0.25">
      <c r="G31">
        <f>G30/1000</f>
        <v>557.26983169505183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 Parabolic Stress Strain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Bockoven</dc:creator>
  <cp:lastModifiedBy>Donald Bockoven III</cp:lastModifiedBy>
  <dcterms:created xsi:type="dcterms:W3CDTF">2020-02-06T22:28:18Z</dcterms:created>
  <dcterms:modified xsi:type="dcterms:W3CDTF">2020-10-12T19:08:04Z</dcterms:modified>
</cp:coreProperties>
</file>