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НАЧАЛЬНИК\Расчеты\"/>
    </mc:Choice>
  </mc:AlternateContent>
  <bookViews>
    <workbookView xWindow="0" yWindow="0" windowWidth="25200" windowHeight="119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0" i="1" l="1"/>
  <c r="H308" i="1"/>
  <c r="H301" i="1"/>
  <c r="H294" i="1"/>
  <c r="H299" i="1"/>
  <c r="H292" i="1"/>
  <c r="H289" i="1"/>
  <c r="H264" i="1"/>
  <c r="H248" i="1"/>
  <c r="H245" i="1" s="1"/>
  <c r="H247" i="1"/>
  <c r="H246" i="1"/>
  <c r="H221" i="1" l="1"/>
  <c r="H200" i="1" l="1"/>
  <c r="H199" i="1"/>
  <c r="H165" i="1" s="1"/>
  <c r="H198" i="1"/>
  <c r="G166" i="1" l="1"/>
  <c r="H164" i="1"/>
  <c r="H203" i="1"/>
  <c r="I166" i="1"/>
  <c r="I167" i="1"/>
  <c r="G167" i="1"/>
  <c r="H175" i="1"/>
  <c r="H174" i="1"/>
  <c r="F175" i="1"/>
  <c r="F174" i="1"/>
  <c r="H172" i="1"/>
  <c r="F172" i="1"/>
  <c r="H171" i="1"/>
  <c r="F171" i="1"/>
  <c r="I49" i="1" l="1"/>
  <c r="I48" i="1"/>
  <c r="H30" i="1"/>
  <c r="H29" i="1"/>
  <c r="H65" i="1" s="1"/>
  <c r="H28" i="1"/>
  <c r="F65" i="1" s="1"/>
  <c r="F85" i="1" s="1"/>
  <c r="H19" i="1"/>
  <c r="H18" i="1"/>
  <c r="H59" i="1" s="1"/>
  <c r="H126" i="1" l="1"/>
  <c r="H85" i="1"/>
  <c r="H93" i="1" s="1"/>
  <c r="H108" i="1" s="1"/>
  <c r="H184" i="1" s="1"/>
  <c r="H124" i="1"/>
  <c r="H78" i="1"/>
  <c r="H91" i="1" s="1"/>
  <c r="H106" i="1" s="1"/>
  <c r="H181" i="1" s="1"/>
  <c r="I50" i="1"/>
  <c r="F63" i="1"/>
  <c r="F83" i="1" s="1"/>
  <c r="F64" i="1"/>
  <c r="F84" i="1" s="1"/>
  <c r="H64" i="1"/>
  <c r="G59" i="1"/>
  <c r="H236" i="1"/>
  <c r="H215" i="1"/>
  <c r="H205" i="1"/>
  <c r="G208" i="1" s="1"/>
  <c r="I208" i="1" s="1"/>
  <c r="G64" i="1"/>
  <c r="H252" i="1"/>
  <c r="H254" i="1" s="1"/>
  <c r="H259" i="1"/>
  <c r="H273" i="1"/>
  <c r="G48" i="1"/>
  <c r="H63" i="1"/>
  <c r="H83" i="1" s="1"/>
  <c r="G49" i="1"/>
  <c r="G50" i="1"/>
  <c r="H44" i="1"/>
  <c r="H60" i="1"/>
  <c r="H45" i="1"/>
  <c r="H43" i="1"/>
  <c r="I45" i="1"/>
  <c r="G58" i="1"/>
  <c r="G77" i="1" s="1"/>
  <c r="I44" i="1"/>
  <c r="H58" i="1"/>
  <c r="H77" i="1" s="1"/>
  <c r="G60" i="1"/>
  <c r="I43" i="1"/>
  <c r="G65" i="1"/>
  <c r="H49" i="1"/>
  <c r="H48" i="1"/>
  <c r="H50" i="1"/>
  <c r="G63" i="1"/>
  <c r="G83" i="1" s="1"/>
  <c r="H17" i="1"/>
  <c r="F126" i="1" l="1"/>
  <c r="G85" i="1"/>
  <c r="F93" i="1" s="1"/>
  <c r="F108" i="1" s="1"/>
  <c r="F184" i="1" s="1"/>
  <c r="H123" i="1"/>
  <c r="H79" i="1"/>
  <c r="H90" i="1" s="1"/>
  <c r="H105" i="1" s="1"/>
  <c r="H180" i="1" s="1"/>
  <c r="H182" i="1" s="1"/>
  <c r="H127" i="1"/>
  <c r="H84" i="1"/>
  <c r="H94" i="1" s="1"/>
  <c r="H109" i="1" s="1"/>
  <c r="H185" i="1" s="1"/>
  <c r="H186" i="1" s="1"/>
  <c r="F123" i="1"/>
  <c r="G79" i="1"/>
  <c r="F90" i="1" s="1"/>
  <c r="F105" i="1" s="1"/>
  <c r="F180" i="1" s="1"/>
  <c r="F127" i="1"/>
  <c r="G84" i="1"/>
  <c r="F94" i="1" s="1"/>
  <c r="F109" i="1" s="1"/>
  <c r="F185" i="1" s="1"/>
  <c r="F186" i="1" s="1"/>
  <c r="H257" i="1" s="1"/>
  <c r="H268" i="1" s="1"/>
  <c r="I275" i="1" s="1"/>
  <c r="F124" i="1"/>
  <c r="G78" i="1"/>
  <c r="F91" i="1" s="1"/>
  <c r="F106" i="1" s="1"/>
  <c r="F181" i="1" s="1"/>
  <c r="G44" i="1"/>
  <c r="F59" i="1"/>
  <c r="F78" i="1" s="1"/>
  <c r="G43" i="1"/>
  <c r="F60" i="1"/>
  <c r="F79" i="1" s="1"/>
  <c r="F58" i="1"/>
  <c r="F77" i="1" s="1"/>
  <c r="G45" i="1"/>
  <c r="F182" i="1" l="1"/>
  <c r="H212" i="1" s="1"/>
  <c r="H225" i="1" s="1"/>
  <c r="I238" i="1" s="1"/>
  <c r="H278" i="1" s="1"/>
</calcChain>
</file>

<file path=xl/sharedStrings.xml><?xml version="1.0" encoding="utf-8"?>
<sst xmlns="http://schemas.openxmlformats.org/spreadsheetml/2006/main" count="281" uniqueCount="177">
  <si>
    <t xml:space="preserve">Трактор 1103. </t>
  </si>
  <si>
    <t>Предварительный расчет элементов гидропривода</t>
  </si>
  <si>
    <t>1. Расчет подачи насосов</t>
  </si>
  <si>
    <t>1.1 Гидронавесная система</t>
  </si>
  <si>
    <t>Данные  для расчета</t>
  </si>
  <si>
    <t>Насос шестеренный AP30.430.CN1U01SV-001</t>
  </si>
  <si>
    <t>рабочий объем, Vн, см.куб/об</t>
  </si>
  <si>
    <t>объемный КПД насоса, ηv</t>
  </si>
  <si>
    <t>передаточное число привода, i</t>
  </si>
  <si>
    <t>Двигатель Д245S3A</t>
  </si>
  <si>
    <t>обороты холостого хода, Nхх</t>
  </si>
  <si>
    <t>обороты номинальные, Nном</t>
  </si>
  <si>
    <t>обороты при мах крутящем моменте, Nmax</t>
  </si>
  <si>
    <t>Подача насоса, Q, л/мин</t>
  </si>
  <si>
    <t>при оборотах холостого хода</t>
  </si>
  <si>
    <t>при номинальных оборотах</t>
  </si>
  <si>
    <t>при максимальном крутящем моменте</t>
  </si>
  <si>
    <t>1.2 Гидросистема рулевого управления</t>
  </si>
  <si>
    <t>Насос шестеренный НШ10</t>
  </si>
  <si>
    <t>2. Расчет внутреннего диаметра трубопроводов</t>
  </si>
  <si>
    <t>2.1 Гидронавесная система</t>
  </si>
  <si>
    <t>Рекомендуемая скорость рабочей жидкости в трубопроводах:</t>
  </si>
  <si>
    <t>для всасывающих трубопроводов v=0.5-1.5 м/с</t>
  </si>
  <si>
    <t>для сливных трубопроводов v=2-3 м/с</t>
  </si>
  <si>
    <t>для напорных трубопроводов (р=16 Мпа) v=3-5 м/с</t>
  </si>
  <si>
    <t>Всасывающий трубопровод, dвс</t>
  </si>
  <si>
    <t>Сливной трубопровод, dсл</t>
  </si>
  <si>
    <t>Напорный трубопровод, dн</t>
  </si>
  <si>
    <t>2.2 Гидросистема рулевого управления</t>
  </si>
  <si>
    <t>Для расчета диаметров трубопроводов принимаем расход рабочей</t>
  </si>
  <si>
    <t>жидкости при оборотах двигателя при макс крутящем моменте</t>
  </si>
  <si>
    <t xml:space="preserve">3. Определение средних скоростей течения рабочей жидкости с учетом </t>
  </si>
  <si>
    <t>принятых диаметров трубопроводов (РВД)</t>
  </si>
  <si>
    <t>Обороты двигателя:</t>
  </si>
  <si>
    <t>3.1 Гидронавесная система</t>
  </si>
  <si>
    <t>Всасывающий трубопровод, Vвс</t>
  </si>
  <si>
    <t>Сливной трубопровод, Vсл</t>
  </si>
  <si>
    <t>Напорный трубопровод, Vн</t>
  </si>
  <si>
    <t>3.2 Гидросистема рулевого управления</t>
  </si>
  <si>
    <t>4. Определение гидравлических потерь в контуре гидросистемы</t>
  </si>
  <si>
    <t>Потери давления подсчитываются отдельно для подводящей магистрали</t>
  </si>
  <si>
    <t>(от гидроцилиндра до бака).</t>
  </si>
  <si>
    <t xml:space="preserve"> </t>
  </si>
  <si>
    <t>(от насоса к гидроцилиндру) и отдельно для сливного участка (от гидроцилиндра</t>
  </si>
  <si>
    <t>4.1 Число Рейнольдса</t>
  </si>
  <si>
    <t>Рабочая жидкость - масло гидравлическое HLP32</t>
  </si>
  <si>
    <t>Кинематическая вязкость, сСт (см2/с)</t>
  </si>
  <si>
    <t>Плотность масла HLP32, кг/м3 (кг/см3)</t>
  </si>
  <si>
    <t>0,868^-3</t>
  </si>
  <si>
    <t>Гидронавесная система</t>
  </si>
  <si>
    <t>всасывающая линия</t>
  </si>
  <si>
    <t>напорная линия</t>
  </si>
  <si>
    <t>сливная линия</t>
  </si>
  <si>
    <t>Re</t>
  </si>
  <si>
    <t>Гидросистема рулевого управления</t>
  </si>
  <si>
    <r>
      <t xml:space="preserve">4.2 Коэффициент гидравлического трения </t>
    </r>
    <r>
      <rPr>
        <sz val="14"/>
        <color theme="1"/>
        <rFont val="Calibri"/>
        <family val="2"/>
        <charset val="204"/>
      </rPr>
      <t>λ</t>
    </r>
  </si>
  <si>
    <t>Обороты двигателя</t>
  </si>
  <si>
    <t>λ</t>
  </si>
  <si>
    <t>длина напорной линии Lн, м</t>
  </si>
  <si>
    <t>длина сливной линии Lсл, м</t>
  </si>
  <si>
    <t>ГНС</t>
  </si>
  <si>
    <t>ГРУ</t>
  </si>
  <si>
    <t>МПа</t>
  </si>
  <si>
    <t>Конструктивно принимаем:</t>
  </si>
  <si>
    <r>
      <t>резкий поворот 90</t>
    </r>
    <r>
      <rPr>
        <sz val="14"/>
        <color theme="1"/>
        <rFont val="Calibri"/>
        <family val="2"/>
        <charset val="204"/>
      </rPr>
      <t>°</t>
    </r>
  </si>
  <si>
    <r>
      <t>плавный поворот 90</t>
    </r>
    <r>
      <rPr>
        <sz val="14"/>
        <color theme="1"/>
        <rFont val="Calibri"/>
        <family val="2"/>
        <charset val="204"/>
      </rPr>
      <t>°</t>
    </r>
  </si>
  <si>
    <t>резкое сужение</t>
  </si>
  <si>
    <t>резкое расширение</t>
  </si>
  <si>
    <t>Напорная линия</t>
  </si>
  <si>
    <t>Сливная линия</t>
  </si>
  <si>
    <t>вход в фильтр</t>
  </si>
  <si>
    <t>n</t>
  </si>
  <si>
    <t>ξ</t>
  </si>
  <si>
    <r>
      <t xml:space="preserve">4.3 Потери давления на трение </t>
    </r>
    <r>
      <rPr>
        <sz val="14"/>
        <color theme="1"/>
        <rFont val="Calibri"/>
        <family val="2"/>
        <charset val="204"/>
      </rPr>
      <t>Δ</t>
    </r>
    <r>
      <rPr>
        <sz val="14"/>
        <color theme="1"/>
        <rFont val="Times New Roman"/>
        <family val="1"/>
        <charset val="204"/>
      </rPr>
      <t>Рт, Мпа</t>
    </r>
  </si>
  <si>
    <r>
      <t xml:space="preserve">4.5 Потери давления в узлах и агрегатах </t>
    </r>
    <r>
      <rPr>
        <sz val="14"/>
        <color theme="1"/>
        <rFont val="Calibri"/>
        <family val="2"/>
        <charset val="204"/>
      </rPr>
      <t>ΔР</t>
    </r>
    <r>
      <rPr>
        <sz val="14"/>
        <color theme="1"/>
        <rFont val="Times New Roman"/>
        <family val="1"/>
        <charset val="204"/>
      </rPr>
      <t>а</t>
    </r>
  </si>
  <si>
    <r>
      <rPr>
        <sz val="14"/>
        <color theme="1"/>
        <rFont val="Calibri"/>
        <family val="2"/>
        <charset val="204"/>
      </rPr>
      <t>ΔР</t>
    </r>
    <r>
      <rPr>
        <sz val="14"/>
        <color theme="1"/>
        <rFont val="Times New Roman"/>
        <family val="1"/>
        <charset val="204"/>
      </rPr>
      <t>м</t>
    </r>
  </si>
  <si>
    <r>
      <t xml:space="preserve">4.4 Потери давления в местных сопротивлениях </t>
    </r>
    <r>
      <rPr>
        <sz val="14"/>
        <color theme="1"/>
        <rFont val="Calibri"/>
        <family val="2"/>
        <charset val="204"/>
      </rPr>
      <t>ΔР</t>
    </r>
    <r>
      <rPr>
        <sz val="14"/>
        <color theme="1"/>
        <rFont val="Times New Roman"/>
        <family val="1"/>
        <charset val="204"/>
      </rPr>
      <t>м, Мпа</t>
    </r>
  </si>
  <si>
    <r>
      <rPr>
        <sz val="14"/>
        <color theme="1"/>
        <rFont val="Calibri"/>
        <family val="2"/>
        <charset val="204"/>
      </rPr>
      <t>ΔР</t>
    </r>
    <r>
      <rPr>
        <sz val="14"/>
        <color theme="1"/>
        <rFont val="Times New Roman"/>
        <family val="1"/>
        <charset val="204"/>
      </rPr>
      <t>т</t>
    </r>
  </si>
  <si>
    <t>Насос ГНС AP30.430CN1U01SV-001</t>
  </si>
  <si>
    <t>масса насоса, m, кг</t>
  </si>
  <si>
    <t>перепад давления, МПа</t>
  </si>
  <si>
    <t>масса распределителя, кг</t>
  </si>
  <si>
    <t>Распределитель RGE100/5CF</t>
  </si>
  <si>
    <t>Блок питания BPG000AA</t>
  </si>
  <si>
    <t>масса блока, кг</t>
  </si>
  <si>
    <t>Насос НШ-10</t>
  </si>
  <si>
    <t>Гидроблок ГБФ.00.000</t>
  </si>
  <si>
    <t>Фильтр сливной FRC12B06BNFD30XX</t>
  </si>
  <si>
    <t>масса фильтра, кг</t>
  </si>
  <si>
    <t>Гидроцилиндр Ц63х40х220</t>
  </si>
  <si>
    <t>масса гидроцилиндра, кг</t>
  </si>
  <si>
    <t>площадь поршня, см2</t>
  </si>
  <si>
    <t>площадь сечения штока, см2</t>
  </si>
  <si>
    <t>объем поршневой полости, ход 220 / 110 мм</t>
  </si>
  <si>
    <t>объем штоковой полости, ход 220 / 110 мм</t>
  </si>
  <si>
    <r>
      <rPr>
        <sz val="14"/>
        <color theme="1"/>
        <rFont val="Calibri"/>
        <family val="2"/>
        <charset val="204"/>
      </rPr>
      <t>ΔР</t>
    </r>
    <r>
      <rPr>
        <sz val="14"/>
        <color theme="1"/>
        <rFont val="Times New Roman"/>
        <family val="1"/>
        <charset val="204"/>
      </rPr>
      <t>а</t>
    </r>
  </si>
  <si>
    <t>ΔРа</t>
  </si>
  <si>
    <t>Общие гидравлические потери в контуре гидросистемы, МПа</t>
  </si>
  <si>
    <t>Общие гидравлические потери</t>
  </si>
  <si>
    <t>5. Расчет параметров гидроцилиндров ЗНУ</t>
  </si>
  <si>
    <t>5.1 Данные для расчета</t>
  </si>
  <si>
    <t>диаметр поршня, D, м</t>
  </si>
  <si>
    <t>диаметр штока, d, м</t>
  </si>
  <si>
    <t>ход поршня, S, м</t>
  </si>
  <si>
    <t>усилие на штоке гидроцилиндра, F, Н</t>
  </si>
  <si>
    <t>5.2 Площадь поршня, м2</t>
  </si>
  <si>
    <t>5.3 Площадь сечения штока, м2</t>
  </si>
  <si>
    <t>5.4 Площадь штоковой полости, м2</t>
  </si>
  <si>
    <t>гидроцилиндра ЗНУ, МПа</t>
  </si>
  <si>
    <t>5.5 Давление в поршневой полости</t>
  </si>
  <si>
    <t xml:space="preserve">5.6 Скорость движения штока </t>
  </si>
  <si>
    <t>гидроцилиндра ЗНУ, м/сек</t>
  </si>
  <si>
    <t>5.7 Мощность, развиваемая штоками</t>
  </si>
  <si>
    <t>гидроцилиндров, Вт (кВт)</t>
  </si>
  <si>
    <r>
      <t xml:space="preserve">6.1 Гидравлический КПД, </t>
    </r>
    <r>
      <rPr>
        <sz val="14"/>
        <color theme="1"/>
        <rFont val="Calibri"/>
        <family val="2"/>
        <charset val="204"/>
      </rPr>
      <t>η</t>
    </r>
    <r>
      <rPr>
        <sz val="14"/>
        <color theme="1"/>
        <rFont val="Times New Roman"/>
        <family val="1"/>
        <charset val="204"/>
      </rPr>
      <t>г</t>
    </r>
  </si>
  <si>
    <t>номинальное давление в гидросистеме, Рн, МПа</t>
  </si>
  <si>
    <r>
      <t xml:space="preserve">6.2 КПД объемного распределителя, </t>
    </r>
    <r>
      <rPr>
        <sz val="14"/>
        <color theme="1"/>
        <rFont val="Calibri"/>
        <family val="2"/>
        <charset val="204"/>
      </rPr>
      <t>η</t>
    </r>
    <r>
      <rPr>
        <sz val="14"/>
        <color theme="1"/>
        <rFont val="Times New Roman"/>
        <family val="1"/>
        <charset val="204"/>
      </rPr>
      <t>р</t>
    </r>
  </si>
  <si>
    <t>внутренние утечки распределителя Qр, л/мин</t>
  </si>
  <si>
    <t>внутренние утечки блока питания Qбп, л/мин</t>
  </si>
  <si>
    <r>
      <t xml:space="preserve">6.3 КПД гидроцилиндра механический, </t>
    </r>
    <r>
      <rPr>
        <sz val="14"/>
        <color theme="1"/>
        <rFont val="Calibri"/>
        <family val="2"/>
        <charset val="204"/>
      </rPr>
      <t>ηгм</t>
    </r>
  </si>
  <si>
    <r>
      <t xml:space="preserve">6.4 КПД насоса полный, </t>
    </r>
    <r>
      <rPr>
        <sz val="14"/>
        <color theme="1"/>
        <rFont val="Calibri"/>
        <family val="2"/>
        <charset val="204"/>
      </rPr>
      <t>η</t>
    </r>
    <r>
      <rPr>
        <sz val="14"/>
        <color theme="1"/>
        <rFont val="Times New Roman"/>
        <family val="1"/>
        <charset val="204"/>
      </rPr>
      <t>н</t>
    </r>
  </si>
  <si>
    <r>
      <t xml:space="preserve">КПД насоса объемный </t>
    </r>
    <r>
      <rPr>
        <sz val="14"/>
        <color theme="1"/>
        <rFont val="Calibri"/>
        <family val="2"/>
        <charset val="204"/>
      </rPr>
      <t>η</t>
    </r>
    <r>
      <rPr>
        <sz val="14"/>
        <color theme="1"/>
        <rFont val="Times New Roman"/>
        <family val="1"/>
        <charset val="204"/>
      </rPr>
      <t>v</t>
    </r>
  </si>
  <si>
    <r>
      <t xml:space="preserve">КПД насоса механический, </t>
    </r>
    <r>
      <rPr>
        <sz val="14"/>
        <color theme="1"/>
        <rFont val="Calibri"/>
        <family val="2"/>
        <charset val="204"/>
      </rPr>
      <t>η</t>
    </r>
    <r>
      <rPr>
        <sz val="14"/>
        <color theme="1"/>
        <rFont val="Times New Roman"/>
        <family val="1"/>
        <charset val="204"/>
      </rPr>
      <t>м</t>
    </r>
  </si>
  <si>
    <r>
      <t xml:space="preserve">Полный КПД гидронавесной системы </t>
    </r>
    <r>
      <rPr>
        <sz val="14"/>
        <color theme="1"/>
        <rFont val="Calibri"/>
        <family val="2"/>
        <charset val="204"/>
      </rPr>
      <t>η</t>
    </r>
  </si>
  <si>
    <t>6. Расчет КПД гидронавесной системы</t>
  </si>
  <si>
    <t>7. Тепловой расчет гидронавесной системы</t>
  </si>
  <si>
    <t>площадь боковой поверхности, м2</t>
  </si>
  <si>
    <t>площадь поверхности гидробака, м2</t>
  </si>
  <si>
    <t>коэффициент динамичности (легкий режим), Кдин</t>
  </si>
  <si>
    <t>коэффициент продолжительности работы</t>
  </si>
  <si>
    <t>под нагрузкой, Кв</t>
  </si>
  <si>
    <t xml:space="preserve">коэффициент использования номинального </t>
  </si>
  <si>
    <t>давления, Кд</t>
  </si>
  <si>
    <t>Мощность потребляемая насосом, N, кВт</t>
  </si>
  <si>
    <t>8. Расчет КПД гидросистемы рулевого управления</t>
  </si>
  <si>
    <t>8.1 Расчет параметров гидроцилиндров ГРУ</t>
  </si>
  <si>
    <t>площадь поршня, м2</t>
  </si>
  <si>
    <t>площадь сечения штока, м2</t>
  </si>
  <si>
    <t>площадь штоковой полости, м2</t>
  </si>
  <si>
    <t>скорость движения штока</t>
  </si>
  <si>
    <t>гидроцилиндров ГРУ, м/с</t>
  </si>
  <si>
    <t>мощность, развиваемая штоками</t>
  </si>
  <si>
    <t>гидроцилиндров ГРУ, Вт  (кВт)</t>
  </si>
  <si>
    <r>
      <t xml:space="preserve">гидравлический КПД, </t>
    </r>
    <r>
      <rPr>
        <sz val="14"/>
        <color theme="1"/>
        <rFont val="Calibri"/>
        <family val="2"/>
        <charset val="204"/>
      </rPr>
      <t>η</t>
    </r>
    <r>
      <rPr>
        <sz val="14"/>
        <color theme="1"/>
        <rFont val="Times New Roman"/>
        <family val="1"/>
        <charset val="204"/>
      </rPr>
      <t>г</t>
    </r>
  </si>
  <si>
    <r>
      <t xml:space="preserve">КПД объемного распределителя, </t>
    </r>
    <r>
      <rPr>
        <sz val="14"/>
        <color theme="1"/>
        <rFont val="Calibri"/>
        <family val="2"/>
        <charset val="204"/>
      </rPr>
      <t>η</t>
    </r>
    <r>
      <rPr>
        <sz val="14"/>
        <color theme="1"/>
        <rFont val="Times New Roman"/>
        <family val="1"/>
        <charset val="204"/>
      </rPr>
      <t>р</t>
    </r>
  </si>
  <si>
    <t>внутренние утечки гидроблока Qбл, л/мин</t>
  </si>
  <si>
    <r>
      <t xml:space="preserve">КПД гидроцилиндра механический, </t>
    </r>
    <r>
      <rPr>
        <sz val="14"/>
        <color theme="1"/>
        <rFont val="Calibri"/>
        <family val="2"/>
        <charset val="204"/>
      </rPr>
      <t>η</t>
    </r>
    <r>
      <rPr>
        <sz val="14"/>
        <color theme="1"/>
        <rFont val="Times New Roman"/>
        <family val="1"/>
        <charset val="204"/>
      </rPr>
      <t>гм</t>
    </r>
  </si>
  <si>
    <r>
      <t xml:space="preserve">КПД насоса НШ10 полный, </t>
    </r>
    <r>
      <rPr>
        <sz val="14"/>
        <color theme="1"/>
        <rFont val="Calibri"/>
        <family val="2"/>
        <charset val="204"/>
      </rPr>
      <t>η</t>
    </r>
    <r>
      <rPr>
        <sz val="14"/>
        <color theme="1"/>
        <rFont val="Times New Roman"/>
        <family val="1"/>
        <charset val="204"/>
      </rPr>
      <t>н</t>
    </r>
  </si>
  <si>
    <r>
      <t xml:space="preserve">КПД насоса механический </t>
    </r>
    <r>
      <rPr>
        <sz val="14"/>
        <color theme="1"/>
        <rFont val="Calibri"/>
        <family val="2"/>
        <charset val="204"/>
      </rPr>
      <t>η</t>
    </r>
    <r>
      <rPr>
        <sz val="14"/>
        <color theme="1"/>
        <rFont val="Times New Roman"/>
        <family val="1"/>
        <charset val="204"/>
      </rPr>
      <t>м</t>
    </r>
  </si>
  <si>
    <r>
      <t xml:space="preserve">Полный КПД гидросистемы рулевого управления </t>
    </r>
    <r>
      <rPr>
        <sz val="14"/>
        <color theme="1"/>
        <rFont val="Calibri"/>
        <family val="2"/>
        <charset val="204"/>
      </rPr>
      <t>η</t>
    </r>
  </si>
  <si>
    <t>Количество тепла, выделяемое гидросистемой, Qгнс, кВт</t>
  </si>
  <si>
    <t>9. Тепловой расчет гидросистемы рулевого управления</t>
  </si>
  <si>
    <t>Коэффициент динамичности (тяжелый режим) Кдн</t>
  </si>
  <si>
    <t>Мощность потребляемая насосом Nнш10, кВт</t>
  </si>
  <si>
    <t>Количество тепла выделяемого гидросистемой Qгру, кВт</t>
  </si>
  <si>
    <t xml:space="preserve">Общее количество тепла, выделяемого </t>
  </si>
  <si>
    <t>гидросистемой Q1, кВт</t>
  </si>
  <si>
    <t>Габариты проектируемого бака гидросистемы:</t>
  </si>
  <si>
    <t>длина L, м</t>
  </si>
  <si>
    <t>ширина S, м</t>
  </si>
  <si>
    <t>высота H, м</t>
  </si>
  <si>
    <t>проектируемого бака, л</t>
  </si>
  <si>
    <t xml:space="preserve">Заправочный объем (объем рабочей жидкости) </t>
  </si>
  <si>
    <t>10. Определение объема бака и установившейся температуры</t>
  </si>
  <si>
    <t>рабочей жидкости в гидросистеме</t>
  </si>
  <si>
    <t>бака Sпов, м2</t>
  </si>
  <si>
    <t>Площадь наружной поверхности проектируемого</t>
  </si>
  <si>
    <t>Площадь поверхности теплообмена F, м2</t>
  </si>
  <si>
    <r>
      <t xml:space="preserve">Коэффициент теплопередачи К, Вт/м2 </t>
    </r>
    <r>
      <rPr>
        <sz val="14"/>
        <color theme="1"/>
        <rFont val="Calibri"/>
        <family val="2"/>
        <charset val="204"/>
      </rPr>
      <t>°</t>
    </r>
    <r>
      <rPr>
        <sz val="14"/>
        <color theme="1"/>
        <rFont val="Times New Roman"/>
        <family val="1"/>
        <charset val="204"/>
      </rPr>
      <t>С</t>
    </r>
  </si>
  <si>
    <t>Установившаяся температура рабочей жидкости, tж max</t>
  </si>
  <si>
    <t>Температура окружающего воздуха, tв max</t>
  </si>
  <si>
    <t>Площадь поверхностей гидрооборудования Fоб, м2</t>
  </si>
  <si>
    <t>Необходимая площадь гидробака Fб, м2</t>
  </si>
  <si>
    <t>Определение установившейся температуры рабочей жидкости</t>
  </si>
  <si>
    <t>по известному объему гидравлического бака</t>
  </si>
  <si>
    <t>Площадь теплоотдачи гидробака Fбпр, м2</t>
  </si>
  <si>
    <t>Установившаяся температура рабочей жидкости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</si>
</sst>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sz val="14"/>
      <name val="Times New Roman"/>
      <family val="1"/>
      <charset val="204"/>
    </font>
    <font>
      <sz val="14"/>
      <color rgb="FF00B05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1" fillId="5" borderId="0" xfId="0" applyFont="1" applyFill="1"/>
    <xf numFmtId="0" fontId="4" fillId="0" borderId="0" xfId="0" applyFont="1" applyFill="1"/>
    <xf numFmtId="0" fontId="4" fillId="0" borderId="0" xfId="0" applyFont="1"/>
    <xf numFmtId="0" fontId="3" fillId="4" borderId="0" xfId="0" applyFont="1" applyFill="1"/>
    <xf numFmtId="0" fontId="3" fillId="0" borderId="0" xfId="0" applyFont="1"/>
    <xf numFmtId="0" fontId="1" fillId="0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3"/>
  <sheetViews>
    <sheetView tabSelected="1" topLeftCell="A182" workbookViewId="0">
      <selection activeCell="G208" sqref="G208"/>
    </sheetView>
  </sheetViews>
  <sheetFormatPr defaultRowHeight="15" x14ac:dyDescent="0.25"/>
  <cols>
    <col min="6" max="6" width="8.85546875" customWidth="1"/>
  </cols>
  <sheetData>
    <row r="1" spans="1:10" ht="18.75" x14ac:dyDescent="0.3">
      <c r="A1" s="1" t="s">
        <v>0</v>
      </c>
    </row>
    <row r="2" spans="1:10" ht="18.75" x14ac:dyDescent="0.3">
      <c r="A2" s="1" t="s">
        <v>1</v>
      </c>
    </row>
    <row r="4" spans="1:10" ht="18.75" x14ac:dyDescent="0.3">
      <c r="A4" s="1" t="s">
        <v>2</v>
      </c>
    </row>
    <row r="5" spans="1:10" ht="18.75" x14ac:dyDescent="0.3">
      <c r="A5" s="2" t="s">
        <v>3</v>
      </c>
    </row>
    <row r="6" spans="1:10" ht="18.75" x14ac:dyDescent="0.3">
      <c r="A6" s="2" t="s">
        <v>4</v>
      </c>
      <c r="G6" s="1"/>
      <c r="H6" s="1"/>
      <c r="I6" s="1"/>
      <c r="J6" s="1"/>
    </row>
    <row r="7" spans="1:10" ht="18.75" x14ac:dyDescent="0.3">
      <c r="A7" s="2" t="s">
        <v>5</v>
      </c>
      <c r="G7" s="1"/>
      <c r="H7" s="1"/>
      <c r="I7" s="1"/>
      <c r="J7" s="1"/>
    </row>
    <row r="8" spans="1:10" ht="18.75" x14ac:dyDescent="0.3">
      <c r="A8" s="2" t="s">
        <v>6</v>
      </c>
      <c r="G8" s="1"/>
      <c r="H8" s="1">
        <v>43</v>
      </c>
      <c r="I8" s="1"/>
      <c r="J8" s="1"/>
    </row>
    <row r="9" spans="1:10" ht="18.75" x14ac:dyDescent="0.3">
      <c r="A9" s="2" t="s">
        <v>7</v>
      </c>
      <c r="G9" s="1"/>
      <c r="H9" s="1">
        <v>0.92</v>
      </c>
      <c r="I9" s="1"/>
      <c r="J9" s="1"/>
    </row>
    <row r="10" spans="1:10" ht="18.75" x14ac:dyDescent="0.3">
      <c r="A10" s="2" t="s">
        <v>8</v>
      </c>
      <c r="G10" s="1"/>
      <c r="H10" s="1">
        <v>0.86599999999999999</v>
      </c>
      <c r="I10" s="1"/>
      <c r="J10" s="1"/>
    </row>
    <row r="11" spans="1:10" ht="18.75" x14ac:dyDescent="0.3">
      <c r="A11" s="2" t="s">
        <v>9</v>
      </c>
      <c r="G11" s="1"/>
      <c r="H11" s="1"/>
      <c r="I11" s="1"/>
      <c r="J11" s="1"/>
    </row>
    <row r="12" spans="1:10" ht="18.75" x14ac:dyDescent="0.3">
      <c r="A12" s="2" t="s">
        <v>10</v>
      </c>
      <c r="G12" s="1"/>
      <c r="H12" s="1">
        <v>750</v>
      </c>
      <c r="I12" s="1"/>
      <c r="J12" s="1"/>
    </row>
    <row r="13" spans="1:10" ht="18.75" x14ac:dyDescent="0.3">
      <c r="A13" s="2" t="s">
        <v>11</v>
      </c>
      <c r="G13" s="1"/>
      <c r="H13" s="1">
        <v>2200</v>
      </c>
      <c r="I13" s="1"/>
      <c r="J13" s="1"/>
    </row>
    <row r="14" spans="1:10" ht="18.75" x14ac:dyDescent="0.3">
      <c r="A14" s="2" t="s">
        <v>12</v>
      </c>
      <c r="G14" s="1"/>
      <c r="H14" s="1">
        <v>1600</v>
      </c>
      <c r="I14" s="1"/>
      <c r="J14" s="1"/>
    </row>
    <row r="15" spans="1:10" ht="18.75" x14ac:dyDescent="0.3">
      <c r="G15" s="1"/>
      <c r="H15" s="1"/>
      <c r="I15" s="1"/>
      <c r="J15" s="1"/>
    </row>
    <row r="16" spans="1:10" ht="18.75" x14ac:dyDescent="0.3">
      <c r="A16" s="2" t="s">
        <v>13</v>
      </c>
      <c r="G16" s="1"/>
      <c r="H16" s="1"/>
      <c r="I16" s="1"/>
      <c r="J16" s="1"/>
    </row>
    <row r="17" spans="1:10" ht="18.75" x14ac:dyDescent="0.3">
      <c r="A17" s="2" t="s">
        <v>14</v>
      </c>
      <c r="G17" s="1"/>
      <c r="H17" s="1">
        <f>(H12*H8*H10*H9)/1000</f>
        <v>25.694220000000001</v>
      </c>
      <c r="I17" s="1"/>
      <c r="J17" s="1"/>
    </row>
    <row r="18" spans="1:10" ht="18.75" x14ac:dyDescent="0.3">
      <c r="A18" s="2" t="s">
        <v>15</v>
      </c>
      <c r="G18" s="1"/>
      <c r="H18" s="1">
        <f>(H13*H8*H10*H9)/1000</f>
        <v>75.369712000000021</v>
      </c>
      <c r="I18" s="1"/>
      <c r="J18" s="1"/>
    </row>
    <row r="19" spans="1:10" ht="18.75" x14ac:dyDescent="0.3">
      <c r="A19" s="2" t="s">
        <v>16</v>
      </c>
      <c r="G19" s="1"/>
      <c r="H19" s="1">
        <f>(H14*H8*H10*H9)/1000</f>
        <v>54.814336000000004</v>
      </c>
      <c r="I19" s="1"/>
      <c r="J19" s="1"/>
    </row>
    <row r="20" spans="1:10" ht="18.75" x14ac:dyDescent="0.3">
      <c r="G20" s="1"/>
      <c r="H20" s="1"/>
      <c r="I20" s="1"/>
      <c r="J20" s="1"/>
    </row>
    <row r="21" spans="1:10" ht="18.75" x14ac:dyDescent="0.3">
      <c r="A21" s="2" t="s">
        <v>17</v>
      </c>
      <c r="G21" s="1"/>
      <c r="H21" s="1"/>
      <c r="I21" s="1"/>
      <c r="J21" s="1"/>
    </row>
    <row r="22" spans="1:10" ht="18.75" x14ac:dyDescent="0.3">
      <c r="A22" s="2" t="s">
        <v>18</v>
      </c>
      <c r="G22" s="1"/>
      <c r="H22" s="1"/>
      <c r="I22" s="1"/>
      <c r="J22" s="1"/>
    </row>
    <row r="23" spans="1:10" ht="18.75" x14ac:dyDescent="0.3">
      <c r="A23" s="2" t="s">
        <v>6</v>
      </c>
      <c r="G23" s="1"/>
      <c r="H23" s="1">
        <v>10</v>
      </c>
      <c r="I23" s="1"/>
      <c r="J23" s="1"/>
    </row>
    <row r="24" spans="1:10" ht="18.75" x14ac:dyDescent="0.3">
      <c r="A24" s="2" t="s">
        <v>7</v>
      </c>
      <c r="G24" s="1"/>
      <c r="H24" s="1">
        <v>0.92</v>
      </c>
      <c r="I24" s="1"/>
      <c r="J24" s="1"/>
    </row>
    <row r="25" spans="1:10" ht="18.75" x14ac:dyDescent="0.3">
      <c r="A25" s="2" t="s">
        <v>8</v>
      </c>
      <c r="G25" s="1"/>
      <c r="H25" s="1">
        <v>1</v>
      </c>
      <c r="I25" s="1"/>
      <c r="J25" s="1"/>
    </row>
    <row r="26" spans="1:10" ht="18.75" x14ac:dyDescent="0.3">
      <c r="G26" s="1"/>
      <c r="H26" s="1"/>
      <c r="I26" s="1"/>
      <c r="J26" s="1"/>
    </row>
    <row r="27" spans="1:10" ht="18.75" x14ac:dyDescent="0.3">
      <c r="A27" s="2" t="s">
        <v>13</v>
      </c>
      <c r="G27" s="1"/>
      <c r="H27" s="1"/>
      <c r="I27" s="1"/>
      <c r="J27" s="1"/>
    </row>
    <row r="28" spans="1:10" ht="18.75" x14ac:dyDescent="0.3">
      <c r="A28" s="2" t="s">
        <v>14</v>
      </c>
      <c r="G28" s="1"/>
      <c r="H28" s="1">
        <f>(H12*H23*H25*H24)/1000</f>
        <v>6.9</v>
      </c>
      <c r="I28" s="1"/>
      <c r="J28" s="1"/>
    </row>
    <row r="29" spans="1:10" ht="18.75" x14ac:dyDescent="0.3">
      <c r="A29" s="2" t="s">
        <v>15</v>
      </c>
      <c r="G29" s="1"/>
      <c r="H29" s="1">
        <f>(H13*H23*H25*H24)/1000</f>
        <v>20.239999999999998</v>
      </c>
      <c r="I29" s="1"/>
      <c r="J29" s="1"/>
    </row>
    <row r="30" spans="1:10" ht="18.75" x14ac:dyDescent="0.3">
      <c r="A30" s="2" t="s">
        <v>12</v>
      </c>
      <c r="G30" s="1"/>
      <c r="H30" s="1">
        <f>(H14*H23*H25*H24)/1000</f>
        <v>14.72</v>
      </c>
      <c r="I30" s="1"/>
      <c r="J30" s="1"/>
    </row>
    <row r="31" spans="1:10" ht="18.75" x14ac:dyDescent="0.3">
      <c r="G31" s="1"/>
      <c r="H31" s="1"/>
      <c r="I31" s="1"/>
      <c r="J31" s="1"/>
    </row>
    <row r="32" spans="1:10" ht="18.75" x14ac:dyDescent="0.3">
      <c r="A32" s="2" t="s">
        <v>19</v>
      </c>
      <c r="G32" s="1"/>
      <c r="H32" s="1"/>
      <c r="I32" s="1"/>
      <c r="J32" s="1"/>
    </row>
    <row r="33" spans="1:10" ht="18.75" x14ac:dyDescent="0.3">
      <c r="A33" s="2" t="s">
        <v>21</v>
      </c>
      <c r="G33" s="1"/>
      <c r="H33" s="1"/>
      <c r="I33" s="1"/>
    </row>
    <row r="34" spans="1:10" ht="18.75" x14ac:dyDescent="0.3">
      <c r="A34" s="2" t="s">
        <v>22</v>
      </c>
      <c r="G34" s="1"/>
      <c r="H34" s="1">
        <v>1.4</v>
      </c>
      <c r="I34" s="1"/>
    </row>
    <row r="35" spans="1:10" ht="18.75" x14ac:dyDescent="0.3">
      <c r="A35" s="2" t="s">
        <v>23</v>
      </c>
      <c r="G35" s="1"/>
      <c r="H35" s="1">
        <v>2.25</v>
      </c>
      <c r="I35" s="1"/>
    </row>
    <row r="36" spans="1:10" ht="18.75" x14ac:dyDescent="0.3">
      <c r="A36" s="2" t="s">
        <v>24</v>
      </c>
      <c r="G36" s="1"/>
      <c r="H36" s="1">
        <v>5.35</v>
      </c>
      <c r="I36" s="1"/>
    </row>
    <row r="37" spans="1:10" ht="18.75" x14ac:dyDescent="0.3">
      <c r="G37" s="1"/>
      <c r="H37" s="1"/>
      <c r="I37" s="1"/>
    </row>
    <row r="38" spans="1:10" ht="18.75" x14ac:dyDescent="0.3">
      <c r="A38" s="2" t="s">
        <v>29</v>
      </c>
      <c r="G38" s="1"/>
      <c r="H38" s="1"/>
      <c r="I38" s="1"/>
    </row>
    <row r="39" spans="1:10" ht="18.75" x14ac:dyDescent="0.3">
      <c r="A39" s="2" t="s">
        <v>30</v>
      </c>
      <c r="G39" s="1"/>
      <c r="H39" s="1"/>
      <c r="I39" s="1"/>
    </row>
    <row r="40" spans="1:10" ht="18.75" x14ac:dyDescent="0.3">
      <c r="A40" s="2"/>
      <c r="G40" s="1"/>
      <c r="H40" s="1"/>
      <c r="I40" s="1"/>
    </row>
    <row r="41" spans="1:10" ht="18.75" x14ac:dyDescent="0.3">
      <c r="E41" s="1"/>
      <c r="F41" s="1"/>
      <c r="G41" s="1"/>
      <c r="H41" s="1"/>
      <c r="I41" s="1"/>
      <c r="J41" s="1"/>
    </row>
    <row r="42" spans="1:10" ht="18.75" x14ac:dyDescent="0.3">
      <c r="A42" s="2" t="s">
        <v>20</v>
      </c>
      <c r="E42" s="1"/>
      <c r="F42" s="1"/>
      <c r="G42" s="1"/>
      <c r="H42" s="1"/>
      <c r="I42" s="1"/>
      <c r="J42" s="1"/>
    </row>
    <row r="43" spans="1:10" ht="18.75" x14ac:dyDescent="0.3">
      <c r="A43" s="2" t="s">
        <v>25</v>
      </c>
      <c r="E43" s="1"/>
      <c r="F43" s="4">
        <v>38</v>
      </c>
      <c r="G43" s="1">
        <f>4.6*((H17/H34)^0.5)</f>
        <v>19.706592356003974</v>
      </c>
      <c r="H43" s="3">
        <f>4.6*((H19/H34)^0.5)</f>
        <v>28.783320439846008</v>
      </c>
      <c r="I43" s="1">
        <f>4.6*((H18/H34)^0.5)</f>
        <v>33.751434952775398</v>
      </c>
      <c r="J43" s="1"/>
    </row>
    <row r="44" spans="1:10" ht="18.75" x14ac:dyDescent="0.3">
      <c r="A44" s="2" t="s">
        <v>26</v>
      </c>
      <c r="E44" s="1"/>
      <c r="F44" s="4">
        <v>24</v>
      </c>
      <c r="G44" s="1">
        <f>4.6*((H17/H35)^0.5)</f>
        <v>15.544769684152072</v>
      </c>
      <c r="H44" s="3">
        <f>4.6*((H19/H35)^0.5)</f>
        <v>22.704589352620122</v>
      </c>
      <c r="I44" s="1">
        <f>4.6*((H18/H35)^0.5)</f>
        <v>26.62349092996217</v>
      </c>
      <c r="J44" s="1"/>
    </row>
    <row r="45" spans="1:10" ht="18.75" x14ac:dyDescent="0.3">
      <c r="A45" s="2" t="s">
        <v>27</v>
      </c>
      <c r="E45" s="1"/>
      <c r="F45" s="4">
        <v>20</v>
      </c>
      <c r="G45" s="1">
        <f>4.6*((H17/H36)^0.5)</f>
        <v>10.080884985627895</v>
      </c>
      <c r="H45" s="3">
        <f>4.6*((H19/H36)^0.5)</f>
        <v>14.724074949982775</v>
      </c>
      <c r="I45" s="1">
        <f>4.6*((H18/H36)^0.5)</f>
        <v>17.265508298555147</v>
      </c>
      <c r="J45" s="1"/>
    </row>
    <row r="46" spans="1:10" ht="18.75" x14ac:dyDescent="0.3">
      <c r="E46" s="1"/>
      <c r="F46" s="1"/>
      <c r="G46" s="1"/>
      <c r="H46" s="1"/>
      <c r="I46" s="1"/>
      <c r="J46" s="1"/>
    </row>
    <row r="47" spans="1:10" ht="18.75" x14ac:dyDescent="0.3">
      <c r="A47" s="2" t="s">
        <v>28</v>
      </c>
      <c r="E47" s="1"/>
      <c r="F47" s="1"/>
      <c r="G47" s="1"/>
      <c r="H47" s="1"/>
      <c r="I47" s="1"/>
      <c r="J47" s="1"/>
    </row>
    <row r="48" spans="1:10" ht="18.75" x14ac:dyDescent="0.3">
      <c r="A48" s="2" t="s">
        <v>25</v>
      </c>
      <c r="E48" s="1"/>
      <c r="F48" s="4">
        <v>20</v>
      </c>
      <c r="G48" s="1">
        <f>4.6*((H28/H34)^0.5)</f>
        <v>10.212177604633178</v>
      </c>
      <c r="H48" s="3">
        <f>4.6*((H30/H34)^0.5)</f>
        <v>14.915840094151106</v>
      </c>
      <c r="I48" s="1">
        <f>4.6*((H29/H34)^0.5)</f>
        <v>17.490372862153134</v>
      </c>
      <c r="J48" s="1"/>
    </row>
    <row r="49" spans="1:10" ht="18.75" x14ac:dyDescent="0.3">
      <c r="A49" s="2" t="s">
        <v>26</v>
      </c>
      <c r="E49" s="1"/>
      <c r="F49" s="4">
        <v>16</v>
      </c>
      <c r="G49" s="1">
        <f>4.6*((H28/H35)^0.5)</f>
        <v>8.0554743290923998</v>
      </c>
      <c r="H49" s="3">
        <f>4.6*((H30/H35)^0.5)</f>
        <v>11.76577333719387</v>
      </c>
      <c r="I49" s="1">
        <f>4.6*((H29/H35)^0.5)</f>
        <v>13.796592171821109</v>
      </c>
      <c r="J49" s="1"/>
    </row>
    <row r="50" spans="1:10" ht="18.75" x14ac:dyDescent="0.3">
      <c r="A50" s="2" t="s">
        <v>27</v>
      </c>
      <c r="E50" s="1"/>
      <c r="F50" s="4">
        <v>12</v>
      </c>
      <c r="G50" s="1">
        <f>4.6*((H28/H36)^0.5)</f>
        <v>5.2240278798757975</v>
      </c>
      <c r="H50" s="3">
        <f>4.6*((H30/H36)^0.5)</f>
        <v>7.6301810955836338</v>
      </c>
      <c r="I50" s="1">
        <f>4.6*((H29/H36)^0.5)</f>
        <v>8.9471804152580692</v>
      </c>
      <c r="J50" s="1"/>
    </row>
    <row r="51" spans="1:10" ht="18.75" x14ac:dyDescent="0.3">
      <c r="E51" s="1"/>
      <c r="F51" s="1"/>
      <c r="G51" s="1"/>
      <c r="H51" s="1"/>
      <c r="I51" s="1"/>
      <c r="J51" s="1"/>
    </row>
    <row r="52" spans="1:10" ht="18.75" x14ac:dyDescent="0.3">
      <c r="A52" s="2" t="s">
        <v>31</v>
      </c>
      <c r="E52" s="1"/>
      <c r="F52" s="1"/>
      <c r="G52" s="1"/>
      <c r="H52" s="1"/>
      <c r="I52" s="1"/>
      <c r="J52" s="1"/>
    </row>
    <row r="53" spans="1:10" ht="18.75" x14ac:dyDescent="0.3">
      <c r="A53" s="2" t="s">
        <v>32</v>
      </c>
      <c r="E53" s="1"/>
      <c r="F53" s="1"/>
      <c r="G53" s="1"/>
      <c r="H53" s="1"/>
      <c r="I53" s="1"/>
      <c r="J53" s="1"/>
    </row>
    <row r="54" spans="1:10" ht="18.75" x14ac:dyDescent="0.3">
      <c r="E54" s="1"/>
      <c r="F54" s="1"/>
      <c r="G54" s="1"/>
      <c r="H54" s="1"/>
      <c r="I54" s="1"/>
      <c r="J54" s="1"/>
    </row>
    <row r="55" spans="1:10" ht="18.75" x14ac:dyDescent="0.3">
      <c r="A55" s="2" t="s">
        <v>33</v>
      </c>
      <c r="E55" s="1"/>
      <c r="F55" s="7">
        <v>750</v>
      </c>
      <c r="G55" s="7">
        <v>1600</v>
      </c>
      <c r="H55" s="7">
        <v>2200</v>
      </c>
      <c r="I55" s="1"/>
      <c r="J55" s="1"/>
    </row>
    <row r="56" spans="1:10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8.75" x14ac:dyDescent="0.3">
      <c r="A57" s="2" t="s">
        <v>34</v>
      </c>
      <c r="B57" s="1"/>
      <c r="C57" s="1"/>
      <c r="D57" s="1"/>
      <c r="E57" s="1"/>
      <c r="F57" s="1"/>
      <c r="G57" s="1"/>
      <c r="H57" s="1"/>
      <c r="I57" s="1"/>
      <c r="J57" s="1"/>
    </row>
    <row r="58" spans="1:10" ht="18.75" x14ac:dyDescent="0.3">
      <c r="A58" s="1" t="s">
        <v>35</v>
      </c>
      <c r="B58" s="1"/>
      <c r="C58" s="1"/>
      <c r="D58" s="1"/>
      <c r="E58" s="1"/>
      <c r="F58" s="1">
        <f>(21.16*H17)/F43^2</f>
        <v>0.37651640941828263</v>
      </c>
      <c r="G58" s="5">
        <f>(21.16*H19)/F43^2</f>
        <v>0.80323500675900283</v>
      </c>
      <c r="H58" s="1">
        <f>(21.16*H18)/F43^2</f>
        <v>1.1044481342936292</v>
      </c>
      <c r="I58" s="1"/>
      <c r="J58" s="1"/>
    </row>
    <row r="59" spans="1:10" ht="18.75" x14ac:dyDescent="0.3">
      <c r="A59" s="2" t="s">
        <v>36</v>
      </c>
      <c r="B59" s="1"/>
      <c r="C59" s="1"/>
      <c r="D59" s="1"/>
      <c r="E59" s="1"/>
      <c r="F59" s="1">
        <f>(21.16*H17)/F44^2</f>
        <v>0.94390572083333346</v>
      </c>
      <c r="G59" s="5">
        <f>(21.16*H19)/F44^2</f>
        <v>2.0136655377777779</v>
      </c>
      <c r="H59" s="1">
        <f>(21.16*H18)/F44^2</f>
        <v>2.7687901144444451</v>
      </c>
      <c r="I59" s="1"/>
      <c r="J59" s="1"/>
    </row>
    <row r="60" spans="1:10" ht="18.75" x14ac:dyDescent="0.3">
      <c r="A60" s="1" t="s">
        <v>37</v>
      </c>
      <c r="B60" s="1"/>
      <c r="C60" s="1"/>
      <c r="D60" s="1"/>
      <c r="E60" s="1"/>
      <c r="F60" s="1">
        <f>(21.16*H17)/F45^2</f>
        <v>1.3592242380000001</v>
      </c>
      <c r="G60" s="5">
        <f>(21.16*H19)/F45^2</f>
        <v>2.8996783744000005</v>
      </c>
      <c r="H60" s="1">
        <f>(21.16*H18)/F45^2</f>
        <v>3.9870577648000012</v>
      </c>
      <c r="I60" s="1"/>
      <c r="J60" s="1"/>
    </row>
    <row r="61" spans="1:10" ht="18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8.75" x14ac:dyDescent="0.3">
      <c r="A62" s="1" t="s">
        <v>38</v>
      </c>
      <c r="B62" s="1"/>
      <c r="C62" s="1"/>
      <c r="D62" s="1"/>
      <c r="E62" s="1"/>
      <c r="F62" s="1"/>
      <c r="G62" s="1"/>
      <c r="H62" s="1"/>
      <c r="I62" s="1"/>
    </row>
    <row r="63" spans="1:10" ht="18.75" x14ac:dyDescent="0.3">
      <c r="A63" s="1" t="s">
        <v>35</v>
      </c>
      <c r="B63" s="1"/>
      <c r="C63" s="1"/>
      <c r="D63" s="1"/>
      <c r="E63" s="1"/>
      <c r="F63" s="1">
        <f>(21.16*H28)/F48^2</f>
        <v>0.36501000000000006</v>
      </c>
      <c r="G63" s="5">
        <f>(21.16*H30)/F48^2</f>
        <v>0.77868800000000005</v>
      </c>
      <c r="H63" s="1">
        <f>(21.16*H29)/F48^2</f>
        <v>1.0706959999999999</v>
      </c>
      <c r="I63" s="1"/>
    </row>
    <row r="64" spans="1:10" ht="18.75" x14ac:dyDescent="0.3">
      <c r="A64" s="1" t="s">
        <v>36</v>
      </c>
      <c r="B64" s="1"/>
      <c r="C64" s="1"/>
      <c r="D64" s="1"/>
      <c r="E64" s="1"/>
      <c r="F64" s="1">
        <f>(21.16*H28)/F49^2</f>
        <v>0.57032812500000007</v>
      </c>
      <c r="G64" s="5">
        <f>(21.16*H30)/F49^2</f>
        <v>1.2167000000000001</v>
      </c>
      <c r="H64" s="1">
        <f>(21.16*H29)/F49^2</f>
        <v>1.6729624999999999</v>
      </c>
      <c r="I64" s="1"/>
    </row>
    <row r="65" spans="1:9" ht="18.75" x14ac:dyDescent="0.3">
      <c r="A65" s="1" t="s">
        <v>37</v>
      </c>
      <c r="B65" s="1"/>
      <c r="C65" s="1"/>
      <c r="D65" s="1"/>
      <c r="E65" s="1"/>
      <c r="F65" s="1">
        <f>(21.16*H28)/F50^2</f>
        <v>1.0139166666666668</v>
      </c>
      <c r="G65" s="5">
        <f>(21.16*H30)/F50^2</f>
        <v>2.1630222222222226</v>
      </c>
      <c r="H65" s="1">
        <f>(21.16*H29)/F50^2</f>
        <v>2.9741555555555554</v>
      </c>
      <c r="I65" s="1"/>
    </row>
    <row r="66" spans="1:9" ht="18.75" x14ac:dyDescent="0.3">
      <c r="A66" s="1"/>
      <c r="B66" s="1"/>
      <c r="C66" s="1"/>
      <c r="D66" s="1"/>
      <c r="E66" s="1"/>
      <c r="F66" s="1"/>
      <c r="G66" s="1"/>
      <c r="H66" s="1"/>
      <c r="I66" s="1"/>
    </row>
    <row r="67" spans="1:9" ht="18.75" x14ac:dyDescent="0.3">
      <c r="A67" s="1" t="s">
        <v>39</v>
      </c>
      <c r="B67" s="1"/>
      <c r="C67" s="1"/>
      <c r="D67" s="1"/>
      <c r="E67" s="1"/>
      <c r="F67" s="1"/>
      <c r="G67" s="1"/>
      <c r="H67" s="1"/>
      <c r="I67" s="1"/>
    </row>
    <row r="68" spans="1:9" ht="18.75" x14ac:dyDescent="0.3">
      <c r="A68" s="1" t="s">
        <v>40</v>
      </c>
      <c r="B68" s="1"/>
      <c r="C68" s="1"/>
      <c r="D68" s="1"/>
      <c r="E68" s="1"/>
      <c r="F68" s="1"/>
      <c r="G68" s="1"/>
      <c r="H68" s="1"/>
      <c r="I68" s="1"/>
    </row>
    <row r="69" spans="1:9" ht="18.75" x14ac:dyDescent="0.3">
      <c r="A69" s="1" t="s">
        <v>43</v>
      </c>
      <c r="B69" s="1"/>
      <c r="C69" s="1"/>
      <c r="D69" s="1"/>
      <c r="E69" s="1"/>
      <c r="F69" s="1"/>
      <c r="G69" s="1"/>
      <c r="H69" s="1"/>
      <c r="I69" s="1" t="s">
        <v>42</v>
      </c>
    </row>
    <row r="70" spans="1:9" ht="18.75" x14ac:dyDescent="0.3">
      <c r="A70" s="1" t="s">
        <v>41</v>
      </c>
      <c r="B70" s="1"/>
      <c r="C70" s="1"/>
      <c r="D70" s="1"/>
      <c r="E70" s="1"/>
      <c r="F70" s="1"/>
      <c r="G70" s="1"/>
      <c r="H70" s="1"/>
      <c r="I70" s="1"/>
    </row>
    <row r="71" spans="1:9" ht="18.75" x14ac:dyDescent="0.3">
      <c r="A71" s="1"/>
      <c r="B71" s="1"/>
      <c r="C71" s="1"/>
      <c r="D71" s="1"/>
      <c r="E71" s="1"/>
      <c r="F71" s="1"/>
      <c r="G71" s="1"/>
      <c r="H71" s="1"/>
      <c r="I71" s="1"/>
    </row>
    <row r="72" spans="1:9" ht="18.75" x14ac:dyDescent="0.3">
      <c r="A72" s="1" t="s">
        <v>44</v>
      </c>
      <c r="B72" s="1"/>
      <c r="C72" s="1"/>
      <c r="D72" s="1"/>
      <c r="E72" s="1"/>
      <c r="F72" s="1"/>
      <c r="G72" s="1"/>
      <c r="H72" s="1"/>
      <c r="I72" s="1"/>
    </row>
    <row r="73" spans="1:9" ht="18.75" x14ac:dyDescent="0.3">
      <c r="A73" s="1" t="s">
        <v>45</v>
      </c>
      <c r="B73" s="1"/>
      <c r="C73" s="1"/>
      <c r="D73" s="1"/>
      <c r="E73" s="1"/>
      <c r="F73" s="1"/>
      <c r="G73" s="1"/>
      <c r="H73" s="1"/>
      <c r="I73" s="1"/>
    </row>
    <row r="74" spans="1:9" ht="18.75" x14ac:dyDescent="0.3">
      <c r="A74" s="1" t="s">
        <v>47</v>
      </c>
      <c r="B74" s="1"/>
      <c r="C74" s="1"/>
      <c r="D74" s="1"/>
      <c r="E74" s="1"/>
      <c r="F74" s="1">
        <v>868</v>
      </c>
      <c r="G74" s="1" t="s">
        <v>48</v>
      </c>
      <c r="H74" s="1"/>
      <c r="I74" s="1"/>
    </row>
    <row r="75" spans="1:9" ht="18.75" x14ac:dyDescent="0.3">
      <c r="A75" s="1" t="s">
        <v>46</v>
      </c>
      <c r="B75" s="1"/>
      <c r="C75" s="1"/>
      <c r="D75" s="1"/>
      <c r="E75" s="1"/>
      <c r="F75" s="1">
        <v>33.200000000000003</v>
      </c>
      <c r="G75" s="1">
        <v>0.33200000000000002</v>
      </c>
      <c r="H75" s="1"/>
      <c r="I75" s="1"/>
    </row>
    <row r="76" spans="1:9" ht="18.75" x14ac:dyDescent="0.3">
      <c r="A76" s="1" t="s">
        <v>49</v>
      </c>
      <c r="B76" s="1"/>
      <c r="C76" s="1"/>
      <c r="D76" s="1"/>
      <c r="E76" s="1"/>
      <c r="F76" s="1"/>
      <c r="G76" s="1"/>
      <c r="H76" s="1"/>
      <c r="I76" s="1"/>
    </row>
    <row r="77" spans="1:9" ht="18.75" x14ac:dyDescent="0.3">
      <c r="A77" s="1" t="s">
        <v>50</v>
      </c>
      <c r="D77" s="1" t="s">
        <v>53</v>
      </c>
      <c r="E77" s="1"/>
      <c r="F77" s="1">
        <f>(F58*F43*10)/G75</f>
        <v>430.9525168040584</v>
      </c>
      <c r="G77" s="1">
        <f>(G58*F43*10)/G75</f>
        <v>919.36536918199113</v>
      </c>
      <c r="H77" s="1">
        <f>(H58*F43*10)/G75</f>
        <v>1264.1273826252382</v>
      </c>
      <c r="I77" s="1"/>
    </row>
    <row r="78" spans="1:9" ht="18.75" x14ac:dyDescent="0.3">
      <c r="A78" s="1" t="s">
        <v>52</v>
      </c>
      <c r="D78" s="1" t="s">
        <v>53</v>
      </c>
      <c r="E78" s="1"/>
      <c r="F78" s="1">
        <f>(F59*F44*10)/G75</f>
        <v>682.34148493975908</v>
      </c>
      <c r="G78" s="1">
        <f>(G59*F44*10)/G75</f>
        <v>1455.6618345381528</v>
      </c>
      <c r="H78" s="1">
        <f>(H59*F44*10)/G75</f>
        <v>2001.5350224899601</v>
      </c>
      <c r="I78" s="1"/>
    </row>
    <row r="79" spans="1:9" ht="18.75" x14ac:dyDescent="0.3">
      <c r="A79" s="1" t="s">
        <v>51</v>
      </c>
      <c r="D79" s="1" t="s">
        <v>53</v>
      </c>
      <c r="E79" s="1"/>
      <c r="F79" s="1">
        <f>(F60*F45*10)/G75</f>
        <v>818.8097819277109</v>
      </c>
      <c r="G79" s="1">
        <f>(G60*F45*10)/G75</f>
        <v>1746.7942014457833</v>
      </c>
      <c r="H79" s="1">
        <f>(H60*F45*10)/G75</f>
        <v>2401.8420269879521</v>
      </c>
      <c r="I79" s="1"/>
    </row>
    <row r="80" spans="1:9" ht="18.75" x14ac:dyDescent="0.3">
      <c r="D80" s="1"/>
      <c r="E80" s="1"/>
      <c r="F80" s="1"/>
      <c r="G80" s="1"/>
      <c r="H80" s="1"/>
      <c r="I80" s="1"/>
    </row>
    <row r="82" spans="1:9" ht="18.75" x14ac:dyDescent="0.3">
      <c r="A82" s="1" t="s">
        <v>54</v>
      </c>
      <c r="B82" s="1"/>
      <c r="C82" s="1"/>
      <c r="D82" s="1"/>
      <c r="E82" s="1"/>
      <c r="F82" s="1"/>
      <c r="G82" s="1"/>
      <c r="H82" s="1"/>
      <c r="I82" s="1"/>
    </row>
    <row r="83" spans="1:9" ht="18.75" x14ac:dyDescent="0.3">
      <c r="A83" s="1" t="s">
        <v>50</v>
      </c>
      <c r="B83" s="1"/>
      <c r="C83" s="1"/>
      <c r="D83" s="1" t="s">
        <v>53</v>
      </c>
      <c r="E83" s="1"/>
      <c r="F83" s="1">
        <f>(F63*F48*10)/G75</f>
        <v>219.8855421686747</v>
      </c>
      <c r="G83" s="1">
        <f>(G63*F48*10)/G75</f>
        <v>469.08915662650594</v>
      </c>
      <c r="H83" s="1">
        <f>(H63*F48*10)/G75</f>
        <v>644.99759036144565</v>
      </c>
      <c r="I83" s="1"/>
    </row>
    <row r="84" spans="1:9" ht="18.75" x14ac:dyDescent="0.3">
      <c r="A84" s="1" t="s">
        <v>52</v>
      </c>
      <c r="B84" s="1"/>
      <c r="C84" s="1"/>
      <c r="D84" s="1" t="s">
        <v>53</v>
      </c>
      <c r="E84" s="1"/>
      <c r="F84" s="1">
        <f>(F64*F49*10)/G75</f>
        <v>274.85692771084342</v>
      </c>
      <c r="G84" s="1">
        <f>(G64*F49*10)/G75</f>
        <v>586.36144578313258</v>
      </c>
      <c r="H84" s="1">
        <f>(H64*F49*10)/G75</f>
        <v>806.24698795180711</v>
      </c>
      <c r="I84" s="1"/>
    </row>
    <row r="85" spans="1:9" ht="18.75" x14ac:dyDescent="0.3">
      <c r="A85" s="1" t="s">
        <v>51</v>
      </c>
      <c r="B85" s="1"/>
      <c r="C85" s="1"/>
      <c r="D85" s="1" t="s">
        <v>53</v>
      </c>
      <c r="E85" s="1"/>
      <c r="F85" s="1">
        <f>(F65*F50*10)/G75</f>
        <v>366.47590361445788</v>
      </c>
      <c r="G85" s="1">
        <f>(G65*F50*10)/G75</f>
        <v>781.81526104417674</v>
      </c>
      <c r="H85" s="1">
        <f>(H65*F50*10)/G75</f>
        <v>1074.995983935743</v>
      </c>
      <c r="I85" s="1"/>
    </row>
    <row r="86" spans="1:9" ht="18.75" x14ac:dyDescent="0.3">
      <c r="A86" s="1"/>
      <c r="B86" s="1"/>
      <c r="C86" s="1"/>
      <c r="D86" s="1"/>
      <c r="E86" s="1"/>
      <c r="F86" s="1"/>
      <c r="G86" s="1"/>
      <c r="H86" s="1"/>
      <c r="I86" s="1"/>
    </row>
    <row r="87" spans="1:9" ht="18.75" x14ac:dyDescent="0.3">
      <c r="A87" s="1" t="s">
        <v>55</v>
      </c>
      <c r="B87" s="1"/>
      <c r="C87" s="1"/>
      <c r="D87" s="1"/>
      <c r="E87" s="1"/>
      <c r="F87" s="1"/>
      <c r="G87" s="1"/>
      <c r="H87" s="1"/>
      <c r="I87" s="1"/>
    </row>
    <row r="88" spans="1:9" ht="18.75" x14ac:dyDescent="0.3">
      <c r="A88" s="1" t="s">
        <v>56</v>
      </c>
      <c r="B88" s="1"/>
      <c r="C88" s="1"/>
      <c r="D88" s="1"/>
      <c r="E88" s="1"/>
      <c r="F88" s="7">
        <v>1600</v>
      </c>
      <c r="G88" s="1"/>
      <c r="H88" s="7">
        <v>2200</v>
      </c>
      <c r="I88" s="1"/>
    </row>
    <row r="89" spans="1:9" ht="18.75" x14ac:dyDescent="0.3">
      <c r="A89" s="1" t="s">
        <v>49</v>
      </c>
      <c r="B89" s="1"/>
      <c r="C89" s="1"/>
      <c r="D89" s="1"/>
      <c r="E89" s="1"/>
      <c r="F89" s="1"/>
      <c r="G89" s="1"/>
      <c r="H89" s="1"/>
      <c r="I89" s="1"/>
    </row>
    <row r="90" spans="1:9" ht="18.75" x14ac:dyDescent="0.3">
      <c r="A90" s="1" t="s">
        <v>51</v>
      </c>
      <c r="B90" s="1"/>
      <c r="C90" s="1"/>
      <c r="D90" s="6" t="s">
        <v>57</v>
      </c>
      <c r="E90" s="1"/>
      <c r="F90" s="1">
        <f>90/G79</f>
        <v>5.1522955552239048E-2</v>
      </c>
      <c r="G90" s="1"/>
      <c r="H90" s="1">
        <f>90/H79</f>
        <v>3.74712404016284E-2</v>
      </c>
      <c r="I90" s="1"/>
    </row>
    <row r="91" spans="1:9" ht="18.75" x14ac:dyDescent="0.3">
      <c r="A91" s="1" t="s">
        <v>52</v>
      </c>
      <c r="B91" s="1"/>
      <c r="C91" s="1"/>
      <c r="D91" s="6" t="s">
        <v>57</v>
      </c>
      <c r="E91" s="1"/>
      <c r="F91" s="1">
        <f>90/G78</f>
        <v>6.1827546662686861E-2</v>
      </c>
      <c r="G91" s="1"/>
      <c r="H91" s="1">
        <f>90/H78</f>
        <v>4.4965488481954079E-2</v>
      </c>
      <c r="I91" s="1"/>
    </row>
    <row r="92" spans="1:9" ht="18.75" x14ac:dyDescent="0.3">
      <c r="A92" s="1" t="s">
        <v>54</v>
      </c>
      <c r="B92" s="1"/>
      <c r="C92" s="1"/>
      <c r="D92" s="1"/>
      <c r="E92" s="1"/>
      <c r="F92" s="1"/>
      <c r="G92" s="1"/>
      <c r="H92" s="1"/>
      <c r="I92" s="1"/>
    </row>
    <row r="93" spans="1:9" ht="18.75" x14ac:dyDescent="0.3">
      <c r="A93" s="1" t="s">
        <v>51</v>
      </c>
      <c r="B93" s="1"/>
      <c r="C93" s="1"/>
      <c r="D93" s="6" t="s">
        <v>57</v>
      </c>
      <c r="E93" s="1"/>
      <c r="F93" s="1">
        <f>90/G85</f>
        <v>0.11511670913125667</v>
      </c>
      <c r="G93" s="1"/>
      <c r="H93" s="1">
        <f>90/H85</f>
        <v>8.3721243004550305E-2</v>
      </c>
      <c r="I93" s="1"/>
    </row>
    <row r="94" spans="1:9" ht="18.75" x14ac:dyDescent="0.3">
      <c r="A94" s="1" t="s">
        <v>52</v>
      </c>
      <c r="B94" s="1"/>
      <c r="C94" s="1"/>
      <c r="D94" s="6" t="s">
        <v>57</v>
      </c>
      <c r="E94" s="1"/>
      <c r="F94" s="1">
        <f>90/G84</f>
        <v>0.15348894550834222</v>
      </c>
      <c r="G94" s="1"/>
      <c r="H94" s="1">
        <f>90/H84</f>
        <v>0.11162832400606709</v>
      </c>
      <c r="I94" s="1"/>
    </row>
    <row r="95" spans="1:9" ht="18.75" x14ac:dyDescent="0.3">
      <c r="A95" s="1"/>
      <c r="B95" s="1"/>
      <c r="C95" s="1"/>
      <c r="D95" s="1"/>
      <c r="E95" s="1"/>
      <c r="F95" s="1"/>
      <c r="G95" s="1"/>
      <c r="H95" s="1"/>
      <c r="I95" s="1"/>
    </row>
    <row r="96" spans="1:9" ht="18.75" x14ac:dyDescent="0.3">
      <c r="A96" s="1" t="s">
        <v>73</v>
      </c>
      <c r="B96" s="1"/>
      <c r="C96" s="1"/>
      <c r="D96" s="1"/>
      <c r="E96" s="1"/>
      <c r="F96" s="1"/>
      <c r="G96" s="1"/>
      <c r="H96" s="1"/>
      <c r="I96" s="1"/>
    </row>
    <row r="97" spans="1:9" ht="18.75" x14ac:dyDescent="0.3">
      <c r="A97" s="1" t="s">
        <v>49</v>
      </c>
      <c r="B97" s="1"/>
      <c r="C97" s="1"/>
      <c r="D97" s="1"/>
      <c r="E97" s="1"/>
      <c r="F97" s="1"/>
      <c r="G97" s="1"/>
      <c r="H97" s="1"/>
      <c r="I97" s="1"/>
    </row>
    <row r="98" spans="1:9" ht="18.75" x14ac:dyDescent="0.3">
      <c r="A98" s="1" t="s">
        <v>58</v>
      </c>
      <c r="B98" s="1"/>
      <c r="C98" s="1"/>
      <c r="D98" s="1"/>
      <c r="E98" s="1"/>
      <c r="F98" s="1">
        <v>2</v>
      </c>
      <c r="G98" s="1"/>
      <c r="H98" s="1"/>
      <c r="I98" s="1"/>
    </row>
    <row r="99" spans="1:9" ht="18.75" x14ac:dyDescent="0.3">
      <c r="A99" s="1" t="s">
        <v>59</v>
      </c>
      <c r="B99" s="1"/>
      <c r="C99" s="1"/>
      <c r="D99" s="1"/>
      <c r="E99" s="1"/>
      <c r="F99" s="1">
        <v>1</v>
      </c>
      <c r="G99" s="1"/>
      <c r="H99" s="1"/>
      <c r="I99" s="1"/>
    </row>
    <row r="100" spans="1:9" ht="18.75" x14ac:dyDescent="0.3">
      <c r="A100" s="1" t="s">
        <v>54</v>
      </c>
      <c r="B100" s="1"/>
      <c r="C100" s="1"/>
      <c r="D100" s="1"/>
      <c r="E100" s="1"/>
      <c r="F100" s="1"/>
      <c r="G100" s="1"/>
      <c r="H100" s="1"/>
      <c r="I100" s="1"/>
    </row>
    <row r="101" spans="1:9" ht="18.75" x14ac:dyDescent="0.3">
      <c r="A101" s="1" t="s">
        <v>58</v>
      </c>
      <c r="B101" s="1"/>
      <c r="C101" s="1"/>
      <c r="D101" s="1"/>
      <c r="E101" s="1"/>
      <c r="F101" s="1">
        <v>3</v>
      </c>
      <c r="G101" s="1"/>
      <c r="H101" s="1"/>
      <c r="I101" s="1"/>
    </row>
    <row r="102" spans="1:9" ht="18.75" x14ac:dyDescent="0.3">
      <c r="A102" s="1" t="s">
        <v>59</v>
      </c>
      <c r="B102" s="1"/>
      <c r="C102" s="1"/>
      <c r="D102" s="1"/>
      <c r="E102" s="1"/>
      <c r="F102" s="1">
        <v>1</v>
      </c>
      <c r="G102" s="1"/>
      <c r="H102" s="1"/>
      <c r="I102" s="1"/>
    </row>
    <row r="103" spans="1:9" ht="18.75" x14ac:dyDescent="0.3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8.75" x14ac:dyDescent="0.3">
      <c r="A104" s="1" t="s">
        <v>60</v>
      </c>
      <c r="B104" s="1"/>
      <c r="C104" s="1"/>
      <c r="D104" s="1"/>
      <c r="E104" s="1"/>
      <c r="F104" s="1" t="s">
        <v>77</v>
      </c>
      <c r="G104" s="1"/>
      <c r="H104" s="1" t="s">
        <v>77</v>
      </c>
      <c r="I104" s="1"/>
    </row>
    <row r="105" spans="1:9" ht="18.75" x14ac:dyDescent="0.3">
      <c r="A105" s="1" t="s">
        <v>51</v>
      </c>
      <c r="B105" s="1"/>
      <c r="C105" s="1"/>
      <c r="D105" s="1" t="s">
        <v>62</v>
      </c>
      <c r="E105" s="1"/>
      <c r="F105" s="5">
        <f>((F74*F90*F98*G60*G60)/(2*F45*0.001))*0.000001</f>
        <v>1.8801398592474629E-2</v>
      </c>
      <c r="G105" s="1"/>
      <c r="H105" s="1">
        <f>((F74*H90*F98*H60*H60)/(2*F45*0.001))*0.000001</f>
        <v>2.5851923064652622E-2</v>
      </c>
      <c r="I105" s="1"/>
    </row>
    <row r="106" spans="1:9" ht="18.75" x14ac:dyDescent="0.3">
      <c r="A106" s="1" t="s">
        <v>52</v>
      </c>
      <c r="B106" s="1"/>
      <c r="C106" s="1"/>
      <c r="D106" s="1" t="s">
        <v>62</v>
      </c>
      <c r="E106" s="1"/>
      <c r="F106" s="5">
        <f>((F74*F91*F99*G59*G59)/(2*F44*0.001))*0.000001</f>
        <v>4.5335162501144435E-3</v>
      </c>
      <c r="G106" s="1"/>
      <c r="H106" s="1">
        <f>((F74*H91*F99*H59*H59)/(2*F44*0.001))*0.000001</f>
        <v>6.2335848439073627E-3</v>
      </c>
      <c r="I106" s="1"/>
    </row>
    <row r="107" spans="1:9" ht="18.75" x14ac:dyDescent="0.3">
      <c r="A107" s="1" t="s">
        <v>61</v>
      </c>
      <c r="B107" s="1"/>
      <c r="C107" s="1"/>
      <c r="D107" s="1"/>
      <c r="E107" s="1"/>
      <c r="F107" s="1"/>
      <c r="G107" s="1"/>
      <c r="H107" s="1"/>
      <c r="I107" s="1"/>
    </row>
    <row r="108" spans="1:9" ht="18.75" x14ac:dyDescent="0.3">
      <c r="A108" s="1" t="s">
        <v>51</v>
      </c>
      <c r="B108" s="1"/>
      <c r="C108" s="1"/>
      <c r="D108" s="1" t="s">
        <v>62</v>
      </c>
      <c r="E108" s="1"/>
      <c r="F108" s="5">
        <f>((F93*F101*G65*G65*F74)/(2*F50*0.001))*0.000001</f>
        <v>5.8437289866666679E-2</v>
      </c>
      <c r="G108" s="1"/>
      <c r="H108" s="1">
        <f>((H93*F101*H65*H65*F74)/(2*F50*0.001))*0.000001</f>
        <v>8.0351273566666659E-2</v>
      </c>
      <c r="I108" s="1"/>
    </row>
    <row r="109" spans="1:9" ht="18.75" x14ac:dyDescent="0.3">
      <c r="A109" s="1" t="s">
        <v>52</v>
      </c>
      <c r="B109" s="1"/>
      <c r="C109" s="1"/>
      <c r="D109" s="1" t="s">
        <v>62</v>
      </c>
      <c r="E109" s="1"/>
      <c r="F109" s="5">
        <f>((F94*F102*G64*G64*F74)/(2*F49*0.001))*0.000001</f>
        <v>6.1633079156250001E-3</v>
      </c>
      <c r="G109" s="1"/>
      <c r="H109" s="1">
        <f>((H94*F102*H64*H64*F74)/(2*F49*0.001))*0.000001</f>
        <v>8.4745483839843722E-3</v>
      </c>
      <c r="I109" s="1"/>
    </row>
    <row r="110" spans="1:9" ht="18.75" x14ac:dyDescent="0.3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8.75" x14ac:dyDescent="0.3">
      <c r="A111" s="1" t="s">
        <v>76</v>
      </c>
      <c r="B111" s="1"/>
      <c r="C111" s="1"/>
      <c r="D111" s="1"/>
      <c r="E111" s="1"/>
      <c r="F111" s="1"/>
      <c r="G111" s="1"/>
      <c r="H111" s="1"/>
      <c r="I111" s="1"/>
    </row>
    <row r="112" spans="1:9" ht="18.75" x14ac:dyDescent="0.3">
      <c r="A112" s="1" t="s">
        <v>63</v>
      </c>
      <c r="B112" s="1"/>
      <c r="C112" s="1"/>
      <c r="D112" s="1"/>
      <c r="E112" s="1"/>
      <c r="F112" s="1"/>
      <c r="G112" s="1"/>
      <c r="H112" s="1"/>
      <c r="I112" s="1"/>
    </row>
    <row r="113" spans="1:9" ht="18.75" x14ac:dyDescent="0.3">
      <c r="A113" s="1" t="s">
        <v>60</v>
      </c>
      <c r="B113" s="1"/>
      <c r="C113" s="1"/>
      <c r="D113" s="1"/>
      <c r="E113" s="6" t="s">
        <v>72</v>
      </c>
      <c r="F113" s="1" t="s">
        <v>71</v>
      </c>
      <c r="G113" s="1"/>
      <c r="H113" s="6" t="s">
        <v>72</v>
      </c>
      <c r="I113" s="1" t="s">
        <v>71</v>
      </c>
    </row>
    <row r="114" spans="1:9" ht="18.75" x14ac:dyDescent="0.3">
      <c r="A114" s="1"/>
      <c r="B114" s="1"/>
      <c r="C114" s="1"/>
      <c r="D114" s="1" t="s">
        <v>68</v>
      </c>
      <c r="E114" s="1"/>
      <c r="F114" s="1"/>
      <c r="G114" s="1"/>
      <c r="H114" s="1" t="s">
        <v>69</v>
      </c>
      <c r="I114" s="1"/>
    </row>
    <row r="115" spans="1:9" ht="18.75" x14ac:dyDescent="0.3">
      <c r="A115" s="1" t="s">
        <v>66</v>
      </c>
      <c r="B115" s="1"/>
      <c r="C115" s="1"/>
      <c r="D115" s="1"/>
      <c r="E115" s="1">
        <v>0.5</v>
      </c>
      <c r="F115" s="1">
        <v>5</v>
      </c>
      <c r="G115" s="1"/>
      <c r="H115" s="1">
        <v>0.5</v>
      </c>
      <c r="I115" s="1">
        <v>2</v>
      </c>
    </row>
    <row r="116" spans="1:9" ht="18.75" x14ac:dyDescent="0.3">
      <c r="A116" s="1" t="s">
        <v>64</v>
      </c>
      <c r="B116" s="1"/>
      <c r="C116" s="1"/>
      <c r="D116" s="1"/>
      <c r="E116" s="1">
        <v>1</v>
      </c>
      <c r="F116" s="1">
        <v>1</v>
      </c>
      <c r="G116" s="1"/>
      <c r="H116" s="1"/>
      <c r="I116" s="1"/>
    </row>
    <row r="117" spans="1:9" ht="18.75" x14ac:dyDescent="0.3">
      <c r="A117" s="1" t="s">
        <v>65</v>
      </c>
      <c r="B117" s="1"/>
      <c r="C117" s="1"/>
      <c r="D117" s="1"/>
      <c r="E117" s="1">
        <v>0.15</v>
      </c>
      <c r="F117" s="1">
        <v>3</v>
      </c>
      <c r="G117" s="1"/>
      <c r="H117" s="1"/>
      <c r="I117" s="1"/>
    </row>
    <row r="118" spans="1:9" ht="18.75" x14ac:dyDescent="0.3">
      <c r="A118" s="1" t="s">
        <v>67</v>
      </c>
      <c r="B118" s="1"/>
      <c r="C118" s="1"/>
      <c r="D118" s="1"/>
      <c r="E118" s="1"/>
      <c r="F118" s="1"/>
      <c r="G118" s="1"/>
      <c r="H118" s="1">
        <v>1</v>
      </c>
      <c r="I118" s="1">
        <v>1</v>
      </c>
    </row>
    <row r="119" spans="1:9" ht="18.75" x14ac:dyDescent="0.3">
      <c r="A119" s="1" t="s">
        <v>70</v>
      </c>
      <c r="B119" s="1"/>
      <c r="C119" s="1"/>
      <c r="D119" s="1"/>
      <c r="E119" s="1"/>
      <c r="F119" s="1"/>
      <c r="G119" s="1"/>
      <c r="H119" s="1">
        <v>0.8</v>
      </c>
      <c r="I119" s="1">
        <v>1</v>
      </c>
    </row>
    <row r="120" spans="1:9" ht="18.75" x14ac:dyDescent="0.3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8.75" x14ac:dyDescent="0.3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8.75" x14ac:dyDescent="0.3">
      <c r="A122" s="1" t="s">
        <v>60</v>
      </c>
      <c r="B122" s="1"/>
      <c r="C122" s="1"/>
      <c r="D122" s="1"/>
      <c r="E122" s="1"/>
      <c r="F122" s="1" t="s">
        <v>75</v>
      </c>
      <c r="G122" s="1"/>
      <c r="H122" s="1" t="s">
        <v>75</v>
      </c>
      <c r="I122" s="1"/>
    </row>
    <row r="123" spans="1:9" ht="18.75" x14ac:dyDescent="0.3">
      <c r="A123" s="1" t="s">
        <v>51</v>
      </c>
      <c r="B123" s="1"/>
      <c r="C123" s="1"/>
      <c r="D123" s="1" t="s">
        <v>62</v>
      </c>
      <c r="E123" s="1"/>
      <c r="F123" s="5">
        <f>((F74*G60)/2)*((E115*F115+E116*F116+E117*F117)*0.000001)</f>
        <v>4.9709186372339214E-3</v>
      </c>
      <c r="G123" s="1"/>
      <c r="H123" s="1">
        <f>((F74*H60)/2)*((E115*F115+E116*F116+E117*F117)*0.000001)</f>
        <v>6.8350131261966426E-3</v>
      </c>
      <c r="I123" s="1"/>
    </row>
    <row r="124" spans="1:9" ht="18.75" x14ac:dyDescent="0.3">
      <c r="A124" s="1" t="s">
        <v>52</v>
      </c>
      <c r="B124" s="1"/>
      <c r="C124" s="1"/>
      <c r="D124" s="1" t="s">
        <v>62</v>
      </c>
      <c r="E124" s="1"/>
      <c r="F124" s="5">
        <f>((F74*G59)/2)*((H115*I115+H118*I118+H119*I119)*0.000001)</f>
        <v>2.4470063615075555E-3</v>
      </c>
      <c r="G124" s="1"/>
      <c r="H124" s="1">
        <f>((F74*H59)/2)*((H115*I115+H118*I118+H119*I119)*0.000001)</f>
        <v>3.3646337470728893E-3</v>
      </c>
      <c r="I124" s="1"/>
    </row>
    <row r="125" spans="1:9" ht="18.75" x14ac:dyDescent="0.3">
      <c r="A125" s="1" t="s">
        <v>61</v>
      </c>
      <c r="B125" s="1"/>
      <c r="C125" s="1"/>
      <c r="D125" s="1"/>
      <c r="E125" s="1"/>
      <c r="F125" s="1"/>
      <c r="G125" s="1"/>
      <c r="H125" s="1"/>
      <c r="I125" s="1"/>
    </row>
    <row r="126" spans="1:9" ht="18.75" x14ac:dyDescent="0.3">
      <c r="A126" s="1" t="s">
        <v>51</v>
      </c>
      <c r="B126" s="1"/>
      <c r="C126" s="1"/>
      <c r="D126" s="1" t="s">
        <v>62</v>
      </c>
      <c r="E126" s="1"/>
      <c r="F126" s="5">
        <f>((F74*G65)/2)*((E131*F131+E133*F133+E134*F134)*0.000001)</f>
        <v>3.7080689955555565E-3</v>
      </c>
      <c r="G126" s="1"/>
      <c r="H126" s="1">
        <f>((F74*H65)/2)*((E131*F131+E133*F133+E134*F134)*0.000001)</f>
        <v>5.0985948688888885E-3</v>
      </c>
      <c r="I126" s="1"/>
    </row>
    <row r="127" spans="1:9" ht="18.75" x14ac:dyDescent="0.3">
      <c r="A127" s="1" t="s">
        <v>52</v>
      </c>
      <c r="B127" s="1"/>
      <c r="C127" s="1"/>
      <c r="D127" s="1" t="s">
        <v>62</v>
      </c>
      <c r="E127" s="1"/>
      <c r="F127" s="5">
        <f>((F74*G64)/2)*((H131*I131+H132*I132+H135*I135)*0.000001)</f>
        <v>1.4785338400000001E-3</v>
      </c>
      <c r="G127" s="1"/>
      <c r="H127" s="1">
        <f>((F74*H64)/2)*((H115*I115+H118*I118+H119*I119)*0.000001)</f>
        <v>2.0329840299999997E-3</v>
      </c>
      <c r="I127" s="1"/>
    </row>
    <row r="128" spans="1:9" ht="18.75" x14ac:dyDescent="0.3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8.75" x14ac:dyDescent="0.3">
      <c r="A129" s="1" t="s">
        <v>61</v>
      </c>
      <c r="B129" s="1"/>
      <c r="C129" s="1"/>
      <c r="D129" s="1"/>
      <c r="E129" s="6" t="s">
        <v>72</v>
      </c>
      <c r="F129" s="1" t="s">
        <v>71</v>
      </c>
      <c r="G129" s="1"/>
      <c r="H129" s="6" t="s">
        <v>72</v>
      </c>
      <c r="I129" s="1" t="s">
        <v>71</v>
      </c>
    </row>
    <row r="130" spans="1:9" ht="18.75" x14ac:dyDescent="0.3">
      <c r="A130" s="1"/>
      <c r="B130" s="1"/>
      <c r="C130" s="1"/>
      <c r="D130" s="1" t="s">
        <v>68</v>
      </c>
      <c r="E130" s="1"/>
      <c r="F130" s="1"/>
      <c r="G130" s="1"/>
      <c r="H130" s="1" t="s">
        <v>69</v>
      </c>
      <c r="I130" s="1"/>
    </row>
    <row r="131" spans="1:9" ht="18.75" x14ac:dyDescent="0.3">
      <c r="A131" s="1" t="s">
        <v>66</v>
      </c>
      <c r="B131" s="1"/>
      <c r="C131" s="1"/>
      <c r="D131" s="1"/>
      <c r="E131" s="1">
        <v>0.5</v>
      </c>
      <c r="F131" s="1">
        <v>5</v>
      </c>
      <c r="G131" s="1"/>
      <c r="H131" s="1">
        <v>0.5</v>
      </c>
      <c r="I131" s="1">
        <v>2</v>
      </c>
    </row>
    <row r="132" spans="1:9" ht="18.75" x14ac:dyDescent="0.3">
      <c r="A132" s="1" t="s">
        <v>67</v>
      </c>
      <c r="B132" s="1"/>
      <c r="C132" s="1"/>
      <c r="D132" s="1"/>
      <c r="E132" s="1"/>
      <c r="F132" s="1"/>
      <c r="G132" s="1"/>
      <c r="H132" s="1">
        <v>1</v>
      </c>
      <c r="I132" s="1">
        <v>1</v>
      </c>
    </row>
    <row r="133" spans="1:9" ht="18.75" x14ac:dyDescent="0.3">
      <c r="A133" s="1" t="s">
        <v>64</v>
      </c>
      <c r="B133" s="1"/>
      <c r="C133" s="1"/>
      <c r="D133" s="1"/>
      <c r="E133" s="1">
        <v>1</v>
      </c>
      <c r="F133" s="1">
        <v>1</v>
      </c>
      <c r="G133" s="1"/>
      <c r="H133" s="1"/>
      <c r="I133" s="1"/>
    </row>
    <row r="134" spans="1:9" ht="18.75" x14ac:dyDescent="0.3">
      <c r="A134" s="1" t="s">
        <v>65</v>
      </c>
      <c r="B134" s="1"/>
      <c r="C134" s="1"/>
      <c r="D134" s="1"/>
      <c r="E134" s="1">
        <v>0.15</v>
      </c>
      <c r="F134" s="1">
        <v>3</v>
      </c>
      <c r="G134" s="1"/>
      <c r="H134" s="1"/>
      <c r="I134" s="1"/>
    </row>
    <row r="135" spans="1:9" ht="18.75" x14ac:dyDescent="0.3">
      <c r="A135" s="1" t="s">
        <v>70</v>
      </c>
      <c r="B135" s="1"/>
      <c r="C135" s="1"/>
      <c r="D135" s="1"/>
      <c r="E135" s="1"/>
      <c r="F135" s="1"/>
      <c r="G135" s="1"/>
      <c r="H135" s="1">
        <v>0.8</v>
      </c>
      <c r="I135" s="1">
        <v>1</v>
      </c>
    </row>
    <row r="136" spans="1:9" ht="18.75" x14ac:dyDescent="0.3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8.75" x14ac:dyDescent="0.3">
      <c r="A137" s="1" t="s">
        <v>74</v>
      </c>
      <c r="B137" s="1"/>
      <c r="C137" s="1"/>
      <c r="D137" s="1"/>
      <c r="E137" s="1"/>
      <c r="F137" s="1"/>
      <c r="G137" s="1"/>
      <c r="H137" s="1"/>
      <c r="I137" s="1"/>
    </row>
    <row r="138" spans="1:9" ht="18.75" x14ac:dyDescent="0.3">
      <c r="A138" s="8" t="s">
        <v>78</v>
      </c>
      <c r="B138" s="1"/>
      <c r="C138" s="1"/>
      <c r="D138" s="1"/>
      <c r="E138" s="1"/>
      <c r="F138" s="1"/>
      <c r="G138" s="1"/>
      <c r="H138" s="1"/>
      <c r="I138" s="1"/>
    </row>
    <row r="139" spans="1:9" ht="18.75" x14ac:dyDescent="0.3">
      <c r="A139" s="1" t="s">
        <v>79</v>
      </c>
      <c r="B139" s="1"/>
      <c r="C139" s="1"/>
      <c r="D139" s="1"/>
      <c r="E139" s="1"/>
      <c r="F139" s="1"/>
      <c r="G139" s="1"/>
      <c r="H139" s="1"/>
      <c r="I139" s="1"/>
    </row>
    <row r="140" spans="1:9" ht="18.75" x14ac:dyDescent="0.3">
      <c r="A140" s="1" t="s">
        <v>126</v>
      </c>
      <c r="B140" s="1"/>
      <c r="C140" s="1"/>
      <c r="D140" s="1"/>
      <c r="E140" s="1"/>
      <c r="F140" s="1"/>
      <c r="G140" s="1"/>
      <c r="H140" s="1">
        <v>7.7600000000000002E-2</v>
      </c>
      <c r="I140" s="1"/>
    </row>
    <row r="141" spans="1:9" ht="18.75" x14ac:dyDescent="0.3">
      <c r="A141" s="9" t="s">
        <v>82</v>
      </c>
      <c r="B141" s="1"/>
      <c r="C141" s="1"/>
      <c r="D141" s="1"/>
      <c r="E141" s="1"/>
      <c r="F141" s="1"/>
      <c r="G141" s="1"/>
      <c r="H141" s="1"/>
      <c r="I141" s="1"/>
    </row>
    <row r="142" spans="1:9" ht="18.75" x14ac:dyDescent="0.3">
      <c r="A142" s="1" t="s">
        <v>80</v>
      </c>
      <c r="B142" s="1"/>
      <c r="C142" s="1"/>
      <c r="D142" s="1"/>
      <c r="E142" s="1"/>
      <c r="F142" s="1"/>
      <c r="G142" s="1"/>
      <c r="H142" s="1">
        <v>1.5</v>
      </c>
      <c r="I142" s="1"/>
    </row>
    <row r="143" spans="1:9" ht="18.75" x14ac:dyDescent="0.3">
      <c r="A143" s="1" t="s">
        <v>81</v>
      </c>
      <c r="B143" s="1"/>
      <c r="C143" s="1"/>
      <c r="D143" s="1"/>
      <c r="E143" s="1"/>
      <c r="F143" s="1"/>
      <c r="G143" s="1"/>
      <c r="H143" s="1">
        <v>25.8</v>
      </c>
      <c r="I143" s="1"/>
    </row>
    <row r="144" spans="1:9" ht="18.75" x14ac:dyDescent="0.3">
      <c r="A144" s="1" t="s">
        <v>126</v>
      </c>
      <c r="B144" s="1"/>
      <c r="C144" s="1"/>
      <c r="D144" s="1"/>
      <c r="E144" s="1"/>
      <c r="F144" s="1"/>
      <c r="G144" s="1"/>
      <c r="H144" s="1">
        <v>0.32</v>
      </c>
      <c r="I144" s="1"/>
    </row>
    <row r="145" spans="1:9" ht="18.75" x14ac:dyDescent="0.3">
      <c r="A145" s="9" t="s">
        <v>83</v>
      </c>
      <c r="B145" s="1"/>
      <c r="C145" s="1"/>
      <c r="D145" s="1"/>
      <c r="E145" s="1"/>
      <c r="F145" s="1"/>
      <c r="G145" s="1"/>
      <c r="H145" s="1"/>
      <c r="I145" s="1"/>
    </row>
    <row r="146" spans="1:9" ht="18.75" x14ac:dyDescent="0.3">
      <c r="A146" s="1" t="s">
        <v>80</v>
      </c>
      <c r="B146" s="1"/>
      <c r="C146" s="1"/>
      <c r="D146" s="1"/>
      <c r="E146" s="1"/>
      <c r="F146" s="1"/>
      <c r="G146" s="1"/>
      <c r="H146" s="1">
        <v>0.35</v>
      </c>
      <c r="I146" s="1"/>
    </row>
    <row r="147" spans="1:9" ht="18.75" x14ac:dyDescent="0.3">
      <c r="A147" s="1" t="s">
        <v>84</v>
      </c>
      <c r="B147" s="1"/>
      <c r="C147" s="1"/>
      <c r="D147" s="1"/>
      <c r="E147" s="1"/>
      <c r="F147" s="1"/>
      <c r="G147" s="1"/>
      <c r="H147" s="1">
        <v>4</v>
      </c>
      <c r="I147" s="1"/>
    </row>
    <row r="148" spans="1:9" ht="18.75" x14ac:dyDescent="0.3">
      <c r="A148" s="1" t="s">
        <v>126</v>
      </c>
      <c r="B148" s="1"/>
      <c r="C148" s="1"/>
      <c r="D148" s="1"/>
      <c r="E148" s="1"/>
      <c r="F148" s="1"/>
      <c r="G148" s="1"/>
      <c r="H148" s="1">
        <v>8.5000000000000006E-2</v>
      </c>
      <c r="I148" s="1"/>
    </row>
    <row r="149" spans="1:9" ht="18.75" x14ac:dyDescent="0.3">
      <c r="A149" s="9" t="s">
        <v>85</v>
      </c>
      <c r="B149" s="1"/>
      <c r="C149" s="1"/>
      <c r="D149" s="1"/>
      <c r="E149" s="1"/>
      <c r="F149" s="1"/>
      <c r="G149" s="1"/>
      <c r="H149" s="1"/>
      <c r="I149" s="1"/>
    </row>
    <row r="150" spans="1:9" ht="18.75" x14ac:dyDescent="0.3">
      <c r="A150" s="1" t="s">
        <v>79</v>
      </c>
      <c r="B150" s="1"/>
      <c r="C150" s="1"/>
      <c r="D150" s="1"/>
      <c r="E150" s="1"/>
      <c r="F150" s="1"/>
      <c r="G150" s="1"/>
      <c r="H150" s="1"/>
      <c r="I150" s="1"/>
    </row>
    <row r="151" spans="1:9" ht="18.75" x14ac:dyDescent="0.3">
      <c r="A151" s="1" t="s">
        <v>126</v>
      </c>
      <c r="B151" s="1"/>
      <c r="C151" s="1"/>
      <c r="D151" s="1"/>
      <c r="E151" s="1"/>
      <c r="F151" s="1"/>
      <c r="G151" s="1"/>
      <c r="H151" s="1">
        <v>4.1200000000000001E-2</v>
      </c>
      <c r="I151" s="1"/>
    </row>
    <row r="152" spans="1:9" ht="18.75" x14ac:dyDescent="0.3">
      <c r="A152" s="9" t="s">
        <v>86</v>
      </c>
      <c r="B152" s="1"/>
      <c r="C152" s="1"/>
      <c r="D152" s="1"/>
      <c r="E152" s="1"/>
      <c r="F152" s="1"/>
      <c r="G152" s="1"/>
      <c r="H152" s="1"/>
      <c r="I152" s="1"/>
    </row>
    <row r="153" spans="1:9" ht="18.75" x14ac:dyDescent="0.3">
      <c r="A153" s="1" t="s">
        <v>80</v>
      </c>
      <c r="B153" s="1"/>
      <c r="C153" s="1"/>
      <c r="D153" s="1"/>
      <c r="E153" s="1"/>
      <c r="F153" s="1"/>
      <c r="G153" s="1"/>
      <c r="H153" s="1">
        <v>0.3</v>
      </c>
      <c r="I153" s="1"/>
    </row>
    <row r="154" spans="1:9" ht="18.75" x14ac:dyDescent="0.3">
      <c r="A154" s="1" t="s">
        <v>84</v>
      </c>
      <c r="B154" s="1"/>
      <c r="C154" s="1"/>
      <c r="D154" s="1"/>
      <c r="E154" s="1"/>
      <c r="F154" s="1"/>
      <c r="G154" s="1"/>
      <c r="H154" s="1">
        <v>5.5</v>
      </c>
      <c r="I154" s="1"/>
    </row>
    <row r="155" spans="1:9" ht="18.75" x14ac:dyDescent="0.3">
      <c r="A155" s="1" t="s">
        <v>126</v>
      </c>
      <c r="B155" s="1"/>
      <c r="C155" s="1"/>
      <c r="D155" s="1"/>
      <c r="E155" s="1"/>
      <c r="F155" s="1"/>
      <c r="G155" s="1"/>
      <c r="H155" s="1">
        <v>6.3E-2</v>
      </c>
      <c r="I155" s="1"/>
    </row>
    <row r="156" spans="1:9" ht="18.75" x14ac:dyDescent="0.3">
      <c r="A156" s="9" t="s">
        <v>87</v>
      </c>
      <c r="B156" s="1"/>
      <c r="C156" s="1"/>
      <c r="D156" s="1"/>
      <c r="E156" s="1"/>
      <c r="F156" s="1"/>
      <c r="G156" s="1"/>
      <c r="H156" s="1"/>
      <c r="I156" s="1"/>
    </row>
    <row r="157" spans="1:9" ht="18.75" x14ac:dyDescent="0.3">
      <c r="A157" s="1" t="s">
        <v>80</v>
      </c>
      <c r="B157" s="1"/>
      <c r="C157" s="1"/>
      <c r="D157" s="1"/>
      <c r="E157" s="1"/>
      <c r="F157" s="1"/>
      <c r="G157" s="1"/>
      <c r="H157" s="1">
        <v>0.1</v>
      </c>
      <c r="I157" s="1"/>
    </row>
    <row r="158" spans="1:9" ht="18.75" x14ac:dyDescent="0.3">
      <c r="A158" s="1" t="s">
        <v>88</v>
      </c>
      <c r="B158" s="1"/>
      <c r="C158" s="1"/>
      <c r="D158" s="1"/>
      <c r="E158" s="1"/>
      <c r="F158" s="1"/>
      <c r="G158" s="1"/>
      <c r="H158" s="1">
        <v>1.2</v>
      </c>
      <c r="I158" s="1"/>
    </row>
    <row r="159" spans="1:9" ht="18.75" x14ac:dyDescent="0.3">
      <c r="A159" s="1" t="s">
        <v>126</v>
      </c>
      <c r="B159" s="1"/>
      <c r="C159" s="1"/>
      <c r="D159" s="1"/>
      <c r="E159" s="1"/>
      <c r="F159" s="1"/>
      <c r="G159" s="1"/>
      <c r="H159" s="1">
        <v>0.19800000000000001</v>
      </c>
      <c r="I159" s="1"/>
    </row>
    <row r="160" spans="1:9" ht="18.75" x14ac:dyDescent="0.3">
      <c r="A160" s="9" t="s">
        <v>89</v>
      </c>
      <c r="B160" s="1"/>
      <c r="C160" s="1"/>
      <c r="D160" s="1"/>
      <c r="E160" s="1"/>
      <c r="F160" s="1"/>
      <c r="G160" s="1"/>
      <c r="H160" s="1"/>
      <c r="I160" s="1"/>
    </row>
    <row r="161" spans="1:9" ht="18.75" x14ac:dyDescent="0.3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8.75" x14ac:dyDescent="0.3">
      <c r="A162" s="1" t="s">
        <v>90</v>
      </c>
      <c r="B162" s="1"/>
      <c r="C162" s="1"/>
      <c r="D162" s="1"/>
      <c r="E162" s="1"/>
      <c r="F162" s="1"/>
      <c r="G162" s="1"/>
      <c r="H162" s="1">
        <v>8.1</v>
      </c>
      <c r="I162" s="1"/>
    </row>
    <row r="163" spans="1:9" ht="18.75" x14ac:dyDescent="0.3">
      <c r="A163" s="1" t="s">
        <v>126</v>
      </c>
      <c r="B163" s="1"/>
      <c r="C163" s="1"/>
      <c r="D163" s="1"/>
      <c r="E163" s="1"/>
      <c r="F163" s="1"/>
      <c r="G163" s="1"/>
      <c r="H163" s="1">
        <v>8.5999999999999993E-2</v>
      </c>
      <c r="I163" s="1"/>
    </row>
    <row r="164" spans="1:9" ht="18.75" x14ac:dyDescent="0.3">
      <c r="A164" s="1" t="s">
        <v>91</v>
      </c>
      <c r="B164" s="1"/>
      <c r="C164" s="1"/>
      <c r="D164" s="1"/>
      <c r="E164" s="1"/>
      <c r="F164" s="1"/>
      <c r="G164" s="1"/>
      <c r="H164" s="11">
        <f>H198</f>
        <v>3.1156650000000001E-3</v>
      </c>
      <c r="I164" s="1"/>
    </row>
    <row r="165" spans="1:9" ht="18.75" x14ac:dyDescent="0.3">
      <c r="A165" s="1" t="s">
        <v>92</v>
      </c>
      <c r="B165" s="1"/>
      <c r="C165" s="1"/>
      <c r="D165" s="1"/>
      <c r="E165" s="1"/>
      <c r="F165" s="1"/>
      <c r="G165" s="1"/>
      <c r="H165" s="1">
        <f>H199</f>
        <v>1.2560000000000002E-3</v>
      </c>
      <c r="I165" s="1"/>
    </row>
    <row r="166" spans="1:9" ht="18.75" x14ac:dyDescent="0.3">
      <c r="A166" s="1" t="s">
        <v>93</v>
      </c>
      <c r="B166" s="1"/>
      <c r="C166" s="1"/>
      <c r="D166" s="1"/>
      <c r="E166" s="1"/>
      <c r="F166" s="1"/>
      <c r="G166" s="1">
        <f>H198*H195</f>
        <v>6.2313300000000011E-4</v>
      </c>
      <c r="H166" s="1"/>
      <c r="I166" s="1">
        <f>H198*(H195/2)</f>
        <v>3.1156650000000005E-4</v>
      </c>
    </row>
    <row r="167" spans="1:9" ht="18.75" x14ac:dyDescent="0.3">
      <c r="A167" s="1" t="s">
        <v>94</v>
      </c>
      <c r="B167" s="1"/>
      <c r="C167" s="1"/>
      <c r="D167" s="1"/>
      <c r="E167" s="1"/>
      <c r="F167" s="1"/>
      <c r="G167" s="1">
        <f>H200*H195</f>
        <v>3.7193300000000007E-4</v>
      </c>
      <c r="H167" s="1"/>
      <c r="I167" s="1">
        <f>H200*(H195/2)</f>
        <v>1.8596650000000004E-4</v>
      </c>
    </row>
    <row r="168" spans="1:9" ht="18.75" x14ac:dyDescent="0.3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8.75" x14ac:dyDescent="0.3">
      <c r="A169" s="1"/>
      <c r="B169" s="1"/>
      <c r="C169" s="1"/>
      <c r="D169" s="1"/>
      <c r="E169" s="1"/>
      <c r="F169" s="1" t="s">
        <v>95</v>
      </c>
      <c r="G169" s="1"/>
      <c r="H169" s="6" t="s">
        <v>96</v>
      </c>
      <c r="I169" s="1"/>
    </row>
    <row r="170" spans="1:9" ht="18.75" x14ac:dyDescent="0.3">
      <c r="A170" s="1" t="s">
        <v>60</v>
      </c>
      <c r="B170" s="1"/>
      <c r="C170" s="1"/>
      <c r="D170" s="1"/>
      <c r="E170" s="1"/>
      <c r="F170" s="7">
        <v>1600</v>
      </c>
      <c r="G170" s="1"/>
      <c r="H170" s="7">
        <v>2500</v>
      </c>
      <c r="I170" s="1"/>
    </row>
    <row r="171" spans="1:9" ht="18.75" x14ac:dyDescent="0.3">
      <c r="A171" s="1" t="s">
        <v>51</v>
      </c>
      <c r="B171" s="1"/>
      <c r="C171" s="1"/>
      <c r="D171" s="1" t="s">
        <v>62</v>
      </c>
      <c r="E171" s="1"/>
      <c r="F171" s="1">
        <f>H142+H146</f>
        <v>1.85</v>
      </c>
      <c r="G171" s="1"/>
      <c r="H171" s="1">
        <f>H142+H146</f>
        <v>1.85</v>
      </c>
      <c r="I171" s="1"/>
    </row>
    <row r="172" spans="1:9" ht="18.75" x14ac:dyDescent="0.3">
      <c r="A172" s="1" t="s">
        <v>52</v>
      </c>
      <c r="B172" s="1"/>
      <c r="C172" s="1"/>
      <c r="D172" s="1" t="s">
        <v>62</v>
      </c>
      <c r="E172" s="1"/>
      <c r="F172" s="1">
        <f>H142+H157</f>
        <v>1.6</v>
      </c>
      <c r="G172" s="1"/>
      <c r="H172" s="1">
        <f>H142+H157</f>
        <v>1.6</v>
      </c>
      <c r="I172" s="1"/>
    </row>
    <row r="173" spans="1:9" ht="18.75" x14ac:dyDescent="0.3">
      <c r="A173" s="1" t="s">
        <v>61</v>
      </c>
      <c r="B173" s="1"/>
      <c r="C173" s="1"/>
      <c r="D173" s="1"/>
      <c r="E173" s="1"/>
      <c r="F173" s="1"/>
      <c r="G173" s="1"/>
      <c r="H173" s="1"/>
      <c r="I173" s="1"/>
    </row>
    <row r="174" spans="1:9" ht="18.75" x14ac:dyDescent="0.3">
      <c r="A174" s="1" t="s">
        <v>51</v>
      </c>
      <c r="B174" s="1"/>
      <c r="C174" s="1"/>
      <c r="D174" s="1" t="s">
        <v>62</v>
      </c>
      <c r="E174" s="1"/>
      <c r="F174" s="1">
        <f>H153</f>
        <v>0.3</v>
      </c>
      <c r="G174" s="1"/>
      <c r="H174" s="1">
        <f>H153</f>
        <v>0.3</v>
      </c>
      <c r="I174" s="1"/>
    </row>
    <row r="175" spans="1:9" ht="18.75" x14ac:dyDescent="0.3">
      <c r="A175" s="1" t="s">
        <v>52</v>
      </c>
      <c r="B175" s="1"/>
      <c r="C175" s="1"/>
      <c r="D175" s="1" t="s">
        <v>62</v>
      </c>
      <c r="E175" s="1"/>
      <c r="F175" s="1">
        <f>H153</f>
        <v>0.3</v>
      </c>
      <c r="G175" s="1"/>
      <c r="H175" s="1">
        <f>H153</f>
        <v>0.3</v>
      </c>
      <c r="I175" s="1"/>
    </row>
    <row r="176" spans="1:9" ht="18.75" x14ac:dyDescent="0.3">
      <c r="A176" s="1"/>
      <c r="B176" s="1"/>
      <c r="C176" s="1"/>
      <c r="D176" s="1"/>
      <c r="E176" s="1"/>
      <c r="F176" s="1"/>
      <c r="G176" s="1"/>
      <c r="H176" s="1"/>
      <c r="I176" s="1"/>
    </row>
    <row r="177" spans="1:11" ht="18.75" x14ac:dyDescent="0.3">
      <c r="A177" s="1" t="s">
        <v>97</v>
      </c>
      <c r="B177" s="1"/>
      <c r="C177" s="1"/>
      <c r="D177" s="1"/>
      <c r="E177" s="1"/>
      <c r="F177" s="1"/>
      <c r="G177" s="1"/>
      <c r="H177" s="1"/>
      <c r="I177" s="1"/>
    </row>
    <row r="178" spans="1:11" ht="18.75" x14ac:dyDescent="0.3">
      <c r="A178" s="1"/>
      <c r="B178" s="1"/>
      <c r="C178" s="1"/>
      <c r="D178" s="1"/>
      <c r="E178" s="1"/>
      <c r="F178" s="1"/>
      <c r="G178" s="1"/>
      <c r="H178" s="1"/>
      <c r="I178" s="1"/>
    </row>
    <row r="179" spans="1:11" ht="18.75" x14ac:dyDescent="0.3">
      <c r="A179" s="1" t="s">
        <v>60</v>
      </c>
      <c r="B179" s="1"/>
      <c r="C179" s="1"/>
      <c r="D179" s="1"/>
      <c r="E179" s="1"/>
      <c r="F179" s="1"/>
      <c r="G179" s="1"/>
      <c r="H179" s="1"/>
      <c r="I179" s="1"/>
    </row>
    <row r="180" spans="1:11" ht="18.75" x14ac:dyDescent="0.3">
      <c r="A180" s="1" t="s">
        <v>51</v>
      </c>
      <c r="B180" s="1"/>
      <c r="C180" s="1"/>
      <c r="D180" s="1"/>
      <c r="E180" s="1"/>
      <c r="F180" s="1">
        <f>F105+F123+F171</f>
        <v>1.8737723172297087</v>
      </c>
      <c r="G180" s="1"/>
      <c r="H180" s="1">
        <f>H105+H123+H171</f>
        <v>1.8826869361908494</v>
      </c>
      <c r="I180" s="1"/>
    </row>
    <row r="181" spans="1:11" ht="18.75" x14ac:dyDescent="0.3">
      <c r="A181" s="1" t="s">
        <v>52</v>
      </c>
      <c r="B181" s="1"/>
      <c r="C181" s="1"/>
      <c r="D181" s="1"/>
      <c r="E181" s="1"/>
      <c r="F181" s="1">
        <f>F106+F124+F172</f>
        <v>1.6069805226116221</v>
      </c>
      <c r="G181" s="1"/>
      <c r="H181" s="1">
        <f>H106+H124+H172</f>
        <v>1.6095982185909803</v>
      </c>
      <c r="I181" s="1"/>
    </row>
    <row r="182" spans="1:11" ht="18.75" x14ac:dyDescent="0.3">
      <c r="A182" s="9" t="s">
        <v>98</v>
      </c>
      <c r="B182" s="1"/>
      <c r="C182" s="1"/>
      <c r="D182" s="1"/>
      <c r="E182" s="1"/>
      <c r="F182" s="10">
        <f>F180+F181</f>
        <v>3.4807528398413305</v>
      </c>
      <c r="G182" s="1" t="s">
        <v>62</v>
      </c>
      <c r="H182" s="1">
        <f>H180+H181</f>
        <v>3.4922851547818299</v>
      </c>
      <c r="I182" s="1"/>
    </row>
    <row r="183" spans="1:11" ht="18.75" x14ac:dyDescent="0.3">
      <c r="A183" s="1" t="s">
        <v>61</v>
      </c>
      <c r="B183" s="1"/>
      <c r="C183" s="1"/>
      <c r="D183" s="1"/>
      <c r="E183" s="1"/>
      <c r="F183" s="1"/>
      <c r="G183" s="1"/>
      <c r="H183" s="1"/>
      <c r="I183" s="1"/>
    </row>
    <row r="184" spans="1:11" ht="18.75" x14ac:dyDescent="0.3">
      <c r="A184" s="1" t="s">
        <v>51</v>
      </c>
      <c r="B184" s="1"/>
      <c r="C184" s="1"/>
      <c r="D184" s="1"/>
      <c r="E184" s="1"/>
      <c r="F184" s="1">
        <f>F108+F126+F174</f>
        <v>0.36214535886222221</v>
      </c>
      <c r="G184" s="1"/>
      <c r="H184" s="1">
        <f>H108+H126+H174</f>
        <v>0.38544986843555551</v>
      </c>
      <c r="I184" s="1"/>
    </row>
    <row r="185" spans="1:11" ht="18.75" x14ac:dyDescent="0.3">
      <c r="A185" s="1" t="s">
        <v>52</v>
      </c>
      <c r="B185" s="1"/>
      <c r="C185" s="1"/>
      <c r="D185" s="1"/>
      <c r="E185" s="1"/>
      <c r="F185" s="1">
        <f>F109+F127+F175</f>
        <v>0.30764184175562498</v>
      </c>
      <c r="G185" s="1"/>
      <c r="H185" s="1">
        <f>H109+H127+H175</f>
        <v>0.31050753241398438</v>
      </c>
      <c r="I185" s="1"/>
    </row>
    <row r="186" spans="1:11" ht="18.75" x14ac:dyDescent="0.3">
      <c r="A186" s="9" t="s">
        <v>98</v>
      </c>
      <c r="B186" s="1"/>
      <c r="C186" s="1"/>
      <c r="D186" s="1"/>
      <c r="E186" s="1"/>
      <c r="F186" s="5">
        <f>F184+F185</f>
        <v>0.66978720061784713</v>
      </c>
      <c r="G186" s="1" t="s">
        <v>62</v>
      </c>
      <c r="H186" s="1">
        <f>H184+H185</f>
        <v>0.69595740084953994</v>
      </c>
      <c r="I186" s="1"/>
    </row>
    <row r="187" spans="1:11" ht="18.75" x14ac:dyDescent="0.3">
      <c r="A187" s="1"/>
      <c r="B187" s="1"/>
      <c r="C187" s="1"/>
      <c r="D187" s="1"/>
      <c r="E187" s="1"/>
      <c r="F187" s="1"/>
      <c r="G187" s="1"/>
      <c r="H187" s="1"/>
      <c r="I187" s="1"/>
    </row>
    <row r="188" spans="1:11" ht="18.7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8.7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8.75" x14ac:dyDescent="0.3">
      <c r="A190" s="1" t="s">
        <v>99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8.75" x14ac:dyDescent="0.3">
      <c r="A191" s="1" t="s">
        <v>100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8.7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8.75" x14ac:dyDescent="0.3">
      <c r="A193" s="1" t="s">
        <v>101</v>
      </c>
      <c r="B193" s="1"/>
      <c r="C193" s="1"/>
      <c r="D193" s="1"/>
      <c r="E193" s="1"/>
      <c r="F193" s="1"/>
      <c r="G193" s="1"/>
      <c r="H193" s="1">
        <v>6.3E-2</v>
      </c>
      <c r="I193" s="1"/>
      <c r="J193" s="1"/>
      <c r="K193" s="1"/>
    </row>
    <row r="194" spans="1:11" ht="18.75" x14ac:dyDescent="0.3">
      <c r="A194" s="1" t="s">
        <v>102</v>
      </c>
      <c r="B194" s="1"/>
      <c r="C194" s="1"/>
      <c r="D194" s="1"/>
      <c r="E194" s="1"/>
      <c r="F194" s="1"/>
      <c r="G194" s="1"/>
      <c r="H194" s="1">
        <v>0.04</v>
      </c>
      <c r="I194" s="1"/>
      <c r="J194" s="1"/>
      <c r="K194" s="1"/>
    </row>
    <row r="195" spans="1:11" ht="18.75" x14ac:dyDescent="0.3">
      <c r="A195" s="1" t="s">
        <v>103</v>
      </c>
      <c r="B195" s="1"/>
      <c r="C195" s="1"/>
      <c r="D195" s="1"/>
      <c r="E195" s="1"/>
      <c r="F195" s="1"/>
      <c r="G195" s="1"/>
      <c r="H195" s="1">
        <v>0.2</v>
      </c>
      <c r="I195" s="1"/>
      <c r="J195" s="1"/>
      <c r="K195" s="1"/>
    </row>
    <row r="196" spans="1:11" ht="18.75" x14ac:dyDescent="0.3">
      <c r="A196" s="1" t="s">
        <v>104</v>
      </c>
      <c r="B196" s="1"/>
      <c r="C196" s="1"/>
      <c r="D196" s="1"/>
      <c r="E196" s="1"/>
      <c r="F196" s="1"/>
      <c r="G196" s="1"/>
      <c r="H196" s="1">
        <v>39923.4</v>
      </c>
      <c r="I196" s="1"/>
      <c r="J196" s="1"/>
      <c r="K196" s="1"/>
    </row>
    <row r="197" spans="1:11" ht="18.7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ht="18.75" x14ac:dyDescent="0.3">
      <c r="A198" s="1" t="s">
        <v>105</v>
      </c>
      <c r="B198" s="1"/>
      <c r="C198" s="1"/>
      <c r="D198" s="1"/>
      <c r="E198" s="1"/>
      <c r="F198" s="1"/>
      <c r="G198" s="1"/>
      <c r="H198" s="1">
        <f>0.785*H193*H193</f>
        <v>3.1156650000000001E-3</v>
      </c>
      <c r="I198" s="1"/>
      <c r="J198" s="1"/>
      <c r="K198" s="1"/>
    </row>
    <row r="199" spans="1:11" ht="18.75" x14ac:dyDescent="0.3">
      <c r="A199" s="1" t="s">
        <v>106</v>
      </c>
      <c r="B199" s="1"/>
      <c r="C199" s="1"/>
      <c r="D199" s="1"/>
      <c r="E199" s="1"/>
      <c r="F199" s="1"/>
      <c r="G199" s="1"/>
      <c r="H199" s="1">
        <f>0.785*H194*H194</f>
        <v>1.2560000000000002E-3</v>
      </c>
      <c r="I199" s="1"/>
      <c r="J199" s="1"/>
      <c r="K199" s="1"/>
    </row>
    <row r="200" spans="1:11" ht="18.75" x14ac:dyDescent="0.3">
      <c r="A200" s="1" t="s">
        <v>107</v>
      </c>
      <c r="B200" s="1"/>
      <c r="C200" s="1"/>
      <c r="D200" s="1"/>
      <c r="E200" s="1"/>
      <c r="F200" s="1"/>
      <c r="G200" s="1"/>
      <c r="H200" s="1">
        <f>0.785*((H193*H193)-(H194*H194))</f>
        <v>1.8596650000000004E-3</v>
      </c>
      <c r="I200" s="1"/>
      <c r="J200" s="1"/>
      <c r="K200" s="1"/>
    </row>
    <row r="201" spans="1:11" ht="18.7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ht="18.75" x14ac:dyDescent="0.3">
      <c r="A202" s="1" t="s">
        <v>109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ht="18.75" x14ac:dyDescent="0.3">
      <c r="A203" s="1" t="s">
        <v>108</v>
      </c>
      <c r="B203" s="1"/>
      <c r="C203" s="1"/>
      <c r="D203" s="1"/>
      <c r="E203" s="1"/>
      <c r="F203" s="1"/>
      <c r="G203" s="1"/>
      <c r="H203" s="1">
        <f>(H196/H198)/1000000</f>
        <v>12.81376527964335</v>
      </c>
      <c r="I203" s="1"/>
      <c r="J203" s="1"/>
      <c r="K203" s="1"/>
    </row>
    <row r="204" spans="1:11" ht="18.75" x14ac:dyDescent="0.3">
      <c r="A204" s="1" t="s">
        <v>110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ht="18.75" x14ac:dyDescent="0.3">
      <c r="A205" s="1" t="s">
        <v>111</v>
      </c>
      <c r="B205" s="1"/>
      <c r="C205" s="1"/>
      <c r="D205" s="1"/>
      <c r="E205" s="1"/>
      <c r="F205" s="1"/>
      <c r="G205" s="1"/>
      <c r="H205" s="1">
        <f>(H19*0.001)/(2*60*H198)</f>
        <v>0.1466095146087058</v>
      </c>
      <c r="I205" s="1"/>
      <c r="J205" s="1"/>
      <c r="K205" s="1"/>
    </row>
    <row r="206" spans="1:11" ht="18.7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ht="18.75" x14ac:dyDescent="0.3">
      <c r="A207" s="1" t="s">
        <v>112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ht="18.75" x14ac:dyDescent="0.3">
      <c r="A208" s="1" t="s">
        <v>113</v>
      </c>
      <c r="B208" s="1"/>
      <c r="C208" s="1"/>
      <c r="D208" s="1"/>
      <c r="E208" s="1"/>
      <c r="F208" s="1"/>
      <c r="G208" s="1">
        <f>H205*H196</f>
        <v>5853.1502955292053</v>
      </c>
      <c r="H208" s="1"/>
      <c r="I208" s="1">
        <f>G208/1000</f>
        <v>5.853150295529205</v>
      </c>
      <c r="J208" s="1"/>
      <c r="K208" s="1"/>
    </row>
    <row r="209" spans="1:11" ht="18.7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ht="18.75" x14ac:dyDescent="0.3">
      <c r="A210" s="1" t="s">
        <v>124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ht="18.7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ht="18.75" x14ac:dyDescent="0.3">
      <c r="A212" s="1" t="s">
        <v>114</v>
      </c>
      <c r="B212" s="1"/>
      <c r="C212" s="1"/>
      <c r="D212" s="1"/>
      <c r="E212" s="1"/>
      <c r="F212" s="1"/>
      <c r="G212" s="1"/>
      <c r="H212" s="1">
        <f>1-(F182/H213)</f>
        <v>0.7824529475099169</v>
      </c>
      <c r="I212" s="1"/>
      <c r="J212" s="1"/>
      <c r="K212" s="1"/>
    </row>
    <row r="213" spans="1:11" ht="18.75" x14ac:dyDescent="0.3">
      <c r="A213" s="1" t="s">
        <v>115</v>
      </c>
      <c r="B213" s="1"/>
      <c r="C213" s="1"/>
      <c r="D213" s="1"/>
      <c r="E213" s="1"/>
      <c r="F213" s="1"/>
      <c r="G213" s="1"/>
      <c r="H213" s="1">
        <v>16</v>
      </c>
      <c r="I213" s="1"/>
      <c r="J213" s="1"/>
      <c r="K213" s="1"/>
    </row>
    <row r="214" spans="1:11" ht="18.7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ht="18.75" x14ac:dyDescent="0.3">
      <c r="A215" s="1" t="s">
        <v>116</v>
      </c>
      <c r="B215" s="1"/>
      <c r="C215" s="1"/>
      <c r="D215" s="1"/>
      <c r="E215" s="1"/>
      <c r="F215" s="1"/>
      <c r="G215" s="1"/>
      <c r="H215" s="1">
        <f>1-((H216+H217)/H19)</f>
        <v>0.99781079168778042</v>
      </c>
      <c r="I215" s="1"/>
      <c r="J215" s="1"/>
      <c r="K215" s="1"/>
    </row>
    <row r="216" spans="1:11" ht="18.75" x14ac:dyDescent="0.3">
      <c r="A216" s="1" t="s">
        <v>117</v>
      </c>
      <c r="B216" s="1"/>
      <c r="C216" s="1"/>
      <c r="D216" s="1"/>
      <c r="E216" s="1"/>
      <c r="F216" s="1"/>
      <c r="G216" s="1"/>
      <c r="H216" s="1">
        <v>0.02</v>
      </c>
      <c r="I216" s="1"/>
      <c r="J216" s="1"/>
      <c r="K216" s="1"/>
    </row>
    <row r="217" spans="1:11" ht="18.75" x14ac:dyDescent="0.3">
      <c r="A217" s="1" t="s">
        <v>118</v>
      </c>
      <c r="B217" s="1"/>
      <c r="C217" s="1"/>
      <c r="D217" s="1"/>
      <c r="E217" s="1"/>
      <c r="F217" s="1"/>
      <c r="G217" s="1"/>
      <c r="H217" s="1">
        <v>0.1</v>
      </c>
      <c r="I217" s="1"/>
      <c r="J217" s="1"/>
      <c r="K217" s="1"/>
    </row>
    <row r="218" spans="1:11" ht="18.7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ht="18.75" x14ac:dyDescent="0.3">
      <c r="A219" s="1" t="s">
        <v>119</v>
      </c>
      <c r="B219" s="1"/>
      <c r="C219" s="1"/>
      <c r="D219" s="1"/>
      <c r="E219" s="1"/>
      <c r="F219" s="1"/>
      <c r="G219" s="1"/>
      <c r="H219" s="1">
        <v>0.95</v>
      </c>
      <c r="I219" s="1"/>
      <c r="J219" s="1"/>
      <c r="K219" s="1"/>
    </row>
    <row r="220" spans="1:11" ht="18.7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ht="18.75" x14ac:dyDescent="0.3">
      <c r="A221" s="1" t="s">
        <v>120</v>
      </c>
      <c r="B221" s="1"/>
      <c r="C221" s="1"/>
      <c r="D221" s="1"/>
      <c r="E221" s="1"/>
      <c r="F221" s="1"/>
      <c r="G221" s="1"/>
      <c r="H221" s="1">
        <f>H222*H223</f>
        <v>0.78200000000000003</v>
      </c>
      <c r="I221" s="1"/>
      <c r="J221" s="1"/>
      <c r="K221" s="1"/>
    </row>
    <row r="222" spans="1:11" ht="18.75" x14ac:dyDescent="0.3">
      <c r="A222" s="1" t="s">
        <v>121</v>
      </c>
      <c r="B222" s="1"/>
      <c r="C222" s="1"/>
      <c r="D222" s="1"/>
      <c r="E222" s="1"/>
      <c r="F222" s="1"/>
      <c r="G222" s="1"/>
      <c r="H222" s="1">
        <v>0.92</v>
      </c>
      <c r="I222" s="1"/>
      <c r="J222" s="1"/>
      <c r="K222" s="1"/>
    </row>
    <row r="223" spans="1:11" ht="18.75" x14ac:dyDescent="0.3">
      <c r="A223" s="1" t="s">
        <v>122</v>
      </c>
      <c r="B223" s="1"/>
      <c r="C223" s="1"/>
      <c r="D223" s="1"/>
      <c r="E223" s="1"/>
      <c r="F223" s="1"/>
      <c r="G223" s="1"/>
      <c r="H223" s="1">
        <v>0.85</v>
      </c>
      <c r="I223" s="1"/>
      <c r="J223" s="1"/>
      <c r="K223" s="1"/>
    </row>
    <row r="224" spans="1:11" ht="18.7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ht="18.75" x14ac:dyDescent="0.3">
      <c r="A225" s="12" t="s">
        <v>123</v>
      </c>
      <c r="B225" s="1"/>
      <c r="C225" s="1"/>
      <c r="D225" s="1"/>
      <c r="E225" s="1"/>
      <c r="F225" s="1"/>
      <c r="G225" s="1"/>
      <c r="H225" s="7">
        <f>H221*H212*H219*H215</f>
        <v>0.5800117422953861</v>
      </c>
      <c r="I225" s="1"/>
      <c r="J225" s="1"/>
      <c r="K225" s="1"/>
    </row>
    <row r="226" spans="1:11" ht="18.7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ht="18.75" x14ac:dyDescent="0.3">
      <c r="A227" s="1" t="s">
        <v>125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ht="18.7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ht="18.75" x14ac:dyDescent="0.3">
      <c r="A229" s="1" t="s">
        <v>127</v>
      </c>
      <c r="B229" s="1"/>
      <c r="C229" s="1"/>
      <c r="D229" s="1"/>
      <c r="E229" s="1"/>
      <c r="F229" s="1"/>
      <c r="G229" s="1"/>
      <c r="H229" s="1">
        <v>1.2490000000000001</v>
      </c>
      <c r="I229" s="1"/>
      <c r="J229" s="1"/>
      <c r="K229" s="1"/>
    </row>
    <row r="230" spans="1:11" ht="18.75" x14ac:dyDescent="0.3">
      <c r="A230" s="1" t="s">
        <v>128</v>
      </c>
      <c r="B230" s="1"/>
      <c r="C230" s="1"/>
      <c r="D230" s="1"/>
      <c r="E230" s="1"/>
      <c r="F230" s="1"/>
      <c r="G230" s="1"/>
      <c r="H230" s="1">
        <v>2.5</v>
      </c>
      <c r="I230" s="1"/>
      <c r="J230" s="1"/>
      <c r="K230" s="1"/>
    </row>
    <row r="231" spans="1:11" ht="18.75" x14ac:dyDescent="0.3">
      <c r="A231" s="1" t="s">
        <v>129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ht="18.75" x14ac:dyDescent="0.3">
      <c r="A232" s="1" t="s">
        <v>130</v>
      </c>
      <c r="B232" s="1"/>
      <c r="C232" s="1"/>
      <c r="D232" s="1"/>
      <c r="E232" s="1"/>
      <c r="F232" s="1"/>
      <c r="G232" s="1"/>
      <c r="H232" s="1">
        <v>0.7</v>
      </c>
      <c r="I232" s="1"/>
      <c r="J232" s="1"/>
      <c r="K232" s="1"/>
    </row>
    <row r="233" spans="1:11" ht="18.75" x14ac:dyDescent="0.3">
      <c r="A233" s="1" t="s">
        <v>131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ht="18.75" x14ac:dyDescent="0.3">
      <c r="A234" s="1" t="s">
        <v>132</v>
      </c>
      <c r="B234" s="1"/>
      <c r="C234" s="1"/>
      <c r="D234" s="1"/>
      <c r="E234" s="1"/>
      <c r="F234" s="1"/>
      <c r="G234" s="1"/>
      <c r="H234" s="1">
        <v>0.6</v>
      </c>
      <c r="I234" s="1"/>
      <c r="J234" s="1"/>
      <c r="K234" s="1"/>
    </row>
    <row r="235" spans="1:11" ht="18.7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ht="18.75" x14ac:dyDescent="0.3">
      <c r="A236" s="1" t="s">
        <v>133</v>
      </c>
      <c r="B236" s="1"/>
      <c r="C236" s="1"/>
      <c r="D236" s="1"/>
      <c r="E236" s="1"/>
      <c r="F236" s="1"/>
      <c r="G236" s="1"/>
      <c r="H236" s="1">
        <f>(H230*H19*H213)/(60*H221)</f>
        <v>46.730039215686276</v>
      </c>
      <c r="I236" s="1"/>
      <c r="J236" s="1"/>
      <c r="K236" s="1"/>
    </row>
    <row r="237" spans="1:11" ht="18.7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ht="18.75" x14ac:dyDescent="0.3">
      <c r="A238" s="1" t="s">
        <v>150</v>
      </c>
      <c r="B238" s="1"/>
      <c r="C238" s="1"/>
      <c r="D238" s="1"/>
      <c r="E238" s="1"/>
      <c r="F238" s="1"/>
      <c r="G238" s="1"/>
      <c r="H238" s="1"/>
      <c r="I238" s="7">
        <f>(1-H225)*H236*H232*H234</f>
        <v>8.2429484561190307</v>
      </c>
      <c r="J238" s="1"/>
      <c r="K238" s="1"/>
    </row>
    <row r="239" spans="1:11" ht="18.7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ht="18.75" x14ac:dyDescent="0.3">
      <c r="A240" s="1" t="s">
        <v>134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ht="18.75" x14ac:dyDescent="0.3">
      <c r="A241" s="1" t="s">
        <v>135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ht="18.75" x14ac:dyDescent="0.3">
      <c r="A242" s="1" t="s">
        <v>101</v>
      </c>
      <c r="B242" s="1"/>
      <c r="C242" s="1"/>
      <c r="D242" s="1"/>
      <c r="E242" s="1"/>
      <c r="F242" s="1"/>
      <c r="G242" s="1"/>
      <c r="H242" s="1">
        <v>7.0000000000000007E-2</v>
      </c>
      <c r="I242" s="1"/>
      <c r="J242" s="1"/>
      <c r="K242" s="1"/>
    </row>
    <row r="243" spans="1:11" ht="18.75" x14ac:dyDescent="0.3">
      <c r="A243" s="1" t="s">
        <v>102</v>
      </c>
      <c r="B243" s="1"/>
      <c r="C243" s="1"/>
      <c r="D243" s="1"/>
      <c r="E243" s="1"/>
      <c r="F243" s="1"/>
      <c r="G243" s="1"/>
      <c r="H243" s="1">
        <v>0.06</v>
      </c>
      <c r="I243" s="1"/>
      <c r="J243" s="1"/>
      <c r="K243" s="1"/>
    </row>
    <row r="244" spans="1:11" ht="18.75" x14ac:dyDescent="0.3">
      <c r="A244" s="1" t="s">
        <v>103</v>
      </c>
      <c r="B244" s="1"/>
      <c r="C244" s="1"/>
      <c r="D244" s="1"/>
      <c r="E244" s="1"/>
      <c r="F244" s="1"/>
      <c r="G244" s="1"/>
      <c r="H244" s="1">
        <v>7.0000000000000001E-3</v>
      </c>
      <c r="I244" s="1"/>
      <c r="J244" s="1"/>
      <c r="K244" s="1"/>
    </row>
    <row r="245" spans="1:11" ht="18.75" x14ac:dyDescent="0.3">
      <c r="A245" s="1" t="s">
        <v>104</v>
      </c>
      <c r="B245" s="1"/>
      <c r="C245" s="1"/>
      <c r="D245" s="1"/>
      <c r="E245" s="1"/>
      <c r="F245" s="1"/>
      <c r="G245" s="1"/>
      <c r="H245" s="1">
        <f>H255*1000000*H248</f>
        <v>12246.000000000007</v>
      </c>
      <c r="I245" s="1"/>
      <c r="J245" s="1"/>
      <c r="K245" s="1"/>
    </row>
    <row r="246" spans="1:11" ht="18.75" x14ac:dyDescent="0.3">
      <c r="A246" s="1" t="s">
        <v>136</v>
      </c>
      <c r="B246" s="1"/>
      <c r="C246" s="1"/>
      <c r="D246" s="1"/>
      <c r="E246" s="1"/>
      <c r="F246" s="1"/>
      <c r="G246" s="1"/>
      <c r="H246" s="1">
        <f>0.785*H242*H242</f>
        <v>3.846500000000001E-3</v>
      </c>
      <c r="I246" s="1"/>
      <c r="J246" s="1"/>
      <c r="K246" s="1"/>
    </row>
    <row r="247" spans="1:11" ht="18.75" x14ac:dyDescent="0.3">
      <c r="A247" s="1" t="s">
        <v>137</v>
      </c>
      <c r="B247" s="1"/>
      <c r="C247" s="1"/>
      <c r="D247" s="1"/>
      <c r="E247" s="1"/>
      <c r="F247" s="1"/>
      <c r="G247" s="1"/>
      <c r="H247" s="1">
        <f>0.785*H243*H243</f>
        <v>2.826E-3</v>
      </c>
      <c r="I247" s="1"/>
      <c r="J247" s="1"/>
      <c r="K247" s="1"/>
    </row>
    <row r="248" spans="1:11" ht="18.75" x14ac:dyDescent="0.3">
      <c r="A248" s="1" t="s">
        <v>138</v>
      </c>
      <c r="B248" s="1"/>
      <c r="C248" s="1"/>
      <c r="D248" s="1"/>
      <c r="E248" s="1"/>
      <c r="F248" s="1"/>
      <c r="G248" s="1"/>
      <c r="H248" s="1">
        <f>0.785*((H242*H242)-(H243*H243))</f>
        <v>1.0205000000000006E-3</v>
      </c>
      <c r="I248" s="1"/>
      <c r="J248" s="1"/>
      <c r="K248" s="1"/>
    </row>
    <row r="249" spans="1:11" ht="18.7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ht="18.7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ht="18.75" x14ac:dyDescent="0.3">
      <c r="A251" s="1" t="s">
        <v>139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ht="18.75" x14ac:dyDescent="0.3">
      <c r="A252" s="1" t="s">
        <v>140</v>
      </c>
      <c r="B252" s="1"/>
      <c r="C252" s="1"/>
      <c r="D252" s="1"/>
      <c r="E252" s="1"/>
      <c r="F252" s="1"/>
      <c r="G252" s="1"/>
      <c r="H252" s="1">
        <f>(H30*0.001)/(2*60*H248)</f>
        <v>0.12020251510697365</v>
      </c>
      <c r="I252" s="1"/>
      <c r="J252" s="1"/>
      <c r="K252" s="1"/>
    </row>
    <row r="253" spans="1:11" ht="18.75" x14ac:dyDescent="0.3">
      <c r="A253" s="1" t="s">
        <v>141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ht="18.75" x14ac:dyDescent="0.3">
      <c r="A254" s="1" t="s">
        <v>142</v>
      </c>
      <c r="B254" s="1"/>
      <c r="C254" s="1"/>
      <c r="D254" s="1"/>
      <c r="E254" s="1"/>
      <c r="F254" s="1"/>
      <c r="G254" s="1"/>
      <c r="H254" s="1">
        <f>H252*H255</f>
        <v>1.4424301812836837</v>
      </c>
      <c r="I254" s="1"/>
      <c r="J254" s="1"/>
      <c r="K254" s="1"/>
    </row>
    <row r="255" spans="1:11" ht="18.75" x14ac:dyDescent="0.3">
      <c r="A255" s="1" t="s">
        <v>115</v>
      </c>
      <c r="B255" s="1"/>
      <c r="C255" s="1"/>
      <c r="D255" s="1"/>
      <c r="E255" s="1"/>
      <c r="F255" s="1"/>
      <c r="G255" s="1"/>
      <c r="H255" s="1">
        <v>12</v>
      </c>
      <c r="I255" s="1"/>
      <c r="J255" s="1"/>
      <c r="K255" s="1"/>
    </row>
    <row r="256" spans="1:11" ht="18.7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ht="18.75" x14ac:dyDescent="0.3">
      <c r="A257" s="1" t="s">
        <v>143</v>
      </c>
      <c r="B257" s="1"/>
      <c r="C257" s="1"/>
      <c r="D257" s="1"/>
      <c r="E257" s="1"/>
      <c r="F257" s="1"/>
      <c r="G257" s="1"/>
      <c r="H257" s="13">
        <f>1-(F186/H255)</f>
        <v>0.94418439994851278</v>
      </c>
      <c r="I257" s="1"/>
      <c r="J257" s="1"/>
      <c r="K257" s="1"/>
    </row>
    <row r="258" spans="1:11" ht="18.7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ht="18.75" x14ac:dyDescent="0.3">
      <c r="A259" s="1" t="s">
        <v>144</v>
      </c>
      <c r="B259" s="1"/>
      <c r="C259" s="1"/>
      <c r="D259" s="1"/>
      <c r="E259" s="1"/>
      <c r="F259" s="1"/>
      <c r="G259" s="1"/>
      <c r="H259" s="13">
        <f>1-(H260/H30)</f>
        <v>0.99898097826086951</v>
      </c>
      <c r="I259" s="1"/>
      <c r="J259" s="1"/>
      <c r="K259" s="1"/>
    </row>
    <row r="260" spans="1:11" ht="18.75" x14ac:dyDescent="0.3">
      <c r="A260" s="1" t="s">
        <v>145</v>
      </c>
      <c r="B260" s="1"/>
      <c r="C260" s="1"/>
      <c r="D260" s="1"/>
      <c r="E260" s="1"/>
      <c r="F260" s="1"/>
      <c r="G260" s="1"/>
      <c r="H260" s="1">
        <v>1.4999999999999999E-2</v>
      </c>
      <c r="I260" s="1"/>
      <c r="J260" s="1"/>
      <c r="K260" s="1"/>
    </row>
    <row r="261" spans="1:11" ht="18.7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ht="18.75" x14ac:dyDescent="0.3">
      <c r="A262" s="1" t="s">
        <v>146</v>
      </c>
      <c r="B262" s="1"/>
      <c r="C262" s="1"/>
      <c r="D262" s="1"/>
      <c r="E262" s="1"/>
      <c r="F262" s="1"/>
      <c r="G262" s="1"/>
      <c r="H262" s="13">
        <v>0.98</v>
      </c>
      <c r="I262" s="1"/>
      <c r="J262" s="1"/>
      <c r="K262" s="1"/>
    </row>
    <row r="263" spans="1:11" ht="18.7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ht="18.75" x14ac:dyDescent="0.3">
      <c r="A264" s="1" t="s">
        <v>147</v>
      </c>
      <c r="B264" s="1"/>
      <c r="C264" s="1"/>
      <c r="D264" s="1"/>
      <c r="E264" s="1"/>
      <c r="F264" s="1"/>
      <c r="G264" s="1"/>
      <c r="H264" s="13">
        <f>H265*H266</f>
        <v>0.78200000000000003</v>
      </c>
      <c r="I264" s="1"/>
      <c r="J264" s="1"/>
      <c r="K264" s="1"/>
    </row>
    <row r="265" spans="1:11" ht="18.75" x14ac:dyDescent="0.3">
      <c r="A265" s="1" t="s">
        <v>121</v>
      </c>
      <c r="B265" s="1"/>
      <c r="C265" s="1"/>
      <c r="D265" s="1"/>
      <c r="E265" s="1"/>
      <c r="F265" s="1"/>
      <c r="G265" s="1"/>
      <c r="H265" s="1">
        <v>0.92</v>
      </c>
      <c r="I265" s="1"/>
      <c r="J265" s="1"/>
      <c r="K265" s="1"/>
    </row>
    <row r="266" spans="1:11" ht="18.75" x14ac:dyDescent="0.3">
      <c r="A266" s="1" t="s">
        <v>148</v>
      </c>
      <c r="B266" s="1"/>
      <c r="C266" s="1"/>
      <c r="D266" s="1"/>
      <c r="E266" s="1"/>
      <c r="F266" s="1"/>
      <c r="G266" s="1"/>
      <c r="H266" s="1">
        <v>0.85</v>
      </c>
      <c r="I266" s="1"/>
      <c r="J266" s="1"/>
      <c r="K266" s="1"/>
    </row>
    <row r="267" spans="1:11" ht="18.7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ht="18.75" x14ac:dyDescent="0.3">
      <c r="A268" s="1" t="s">
        <v>149</v>
      </c>
      <c r="B268" s="1"/>
      <c r="C268" s="1"/>
      <c r="D268" s="1"/>
      <c r="E268" s="1"/>
      <c r="F268" s="1"/>
      <c r="G268" s="1"/>
      <c r="H268" s="7">
        <f>H257*H259*H262*H264</f>
        <v>0.72284780773970747</v>
      </c>
      <c r="I268" s="1"/>
      <c r="J268" s="1"/>
      <c r="K268" s="1"/>
    </row>
    <row r="269" spans="1:11" ht="18.7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ht="18.75" x14ac:dyDescent="0.3">
      <c r="A270" s="1" t="s">
        <v>151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ht="18.75" x14ac:dyDescent="0.3">
      <c r="A271" s="1" t="s">
        <v>152</v>
      </c>
      <c r="B271" s="1"/>
      <c r="C271" s="1"/>
      <c r="D271" s="1"/>
      <c r="E271" s="1"/>
      <c r="F271" s="1"/>
      <c r="G271" s="1"/>
      <c r="H271" s="1">
        <v>1.5</v>
      </c>
      <c r="I271" s="1"/>
      <c r="J271" s="1"/>
      <c r="K271" s="1"/>
    </row>
    <row r="272" spans="1:11" ht="18.7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ht="18.75" x14ac:dyDescent="0.3">
      <c r="A273" s="1" t="s">
        <v>153</v>
      </c>
      <c r="B273" s="1"/>
      <c r="C273" s="1"/>
      <c r="D273" s="1"/>
      <c r="E273" s="1"/>
      <c r="F273" s="1"/>
      <c r="G273" s="1"/>
      <c r="H273" s="1">
        <f>(H271*H30*H255)/(60*H264)</f>
        <v>5.6470588235294121</v>
      </c>
      <c r="I273" s="1"/>
      <c r="J273" s="1"/>
      <c r="K273" s="1"/>
    </row>
    <row r="274" spans="1:11" ht="18.7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ht="18.75" x14ac:dyDescent="0.3">
      <c r="A275" s="1" t="s">
        <v>154</v>
      </c>
      <c r="B275" s="1"/>
      <c r="C275" s="1"/>
      <c r="D275" s="1"/>
      <c r="E275" s="1"/>
      <c r="F275" s="1"/>
      <c r="G275" s="1"/>
      <c r="H275" s="1"/>
      <c r="I275" s="7">
        <f>(1-H268)*H273*H232*H234</f>
        <v>0.65733978776088209</v>
      </c>
      <c r="J275" s="1"/>
      <c r="K275" s="1"/>
    </row>
    <row r="276" spans="1:11" ht="18.7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ht="18.75" x14ac:dyDescent="0.3">
      <c r="A277" s="14" t="s">
        <v>155</v>
      </c>
      <c r="B277" s="14"/>
      <c r="C277" s="14"/>
      <c r="D277" s="14"/>
      <c r="E277" s="14"/>
      <c r="F277" s="12"/>
      <c r="G277" s="12"/>
      <c r="H277" s="12"/>
      <c r="I277" s="12"/>
      <c r="J277" s="12"/>
      <c r="K277" s="1"/>
    </row>
    <row r="278" spans="1:11" ht="18.75" x14ac:dyDescent="0.3">
      <c r="A278" s="14" t="s">
        <v>156</v>
      </c>
      <c r="B278" s="14"/>
      <c r="C278" s="14"/>
      <c r="D278" s="14"/>
      <c r="E278" s="1"/>
      <c r="F278" s="1"/>
      <c r="G278" s="1"/>
      <c r="H278" s="16">
        <f>I238+I275</f>
        <v>8.9002882438799134</v>
      </c>
      <c r="I278" s="1"/>
      <c r="J278" s="1"/>
      <c r="K278" s="1"/>
    </row>
    <row r="279" spans="1:11" ht="18.7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ht="18.7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ht="18.7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ht="18.75" x14ac:dyDescent="0.3">
      <c r="A282" s="1" t="s">
        <v>163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ht="18.75" x14ac:dyDescent="0.3">
      <c r="A283" s="1" t="s">
        <v>164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ht="18.7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ht="18.75" x14ac:dyDescent="0.3">
      <c r="A285" s="1" t="s">
        <v>157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ht="18.75" x14ac:dyDescent="0.3">
      <c r="A286" s="1" t="s">
        <v>158</v>
      </c>
      <c r="B286" s="1"/>
      <c r="C286" s="1" t="s">
        <v>159</v>
      </c>
      <c r="D286" s="1"/>
      <c r="E286" s="1"/>
      <c r="F286" s="1" t="s">
        <v>160</v>
      </c>
      <c r="G286" s="1"/>
      <c r="H286" s="1"/>
      <c r="I286" s="1"/>
      <c r="J286" s="1"/>
      <c r="K286" s="1"/>
    </row>
    <row r="287" spans="1:11" ht="18.75" x14ac:dyDescent="0.3">
      <c r="A287" s="1">
        <v>0.69499999999999995</v>
      </c>
      <c r="B287" s="1"/>
      <c r="C287" s="1">
        <v>0.36</v>
      </c>
      <c r="D287" s="1"/>
      <c r="E287" s="1"/>
      <c r="F287" s="1">
        <v>0.44500000000000001</v>
      </c>
      <c r="G287" s="1"/>
      <c r="H287" s="1"/>
      <c r="I287" s="1"/>
      <c r="J287" s="1"/>
      <c r="K287" s="1"/>
    </row>
    <row r="288" spans="1:11" ht="18.75" x14ac:dyDescent="0.3">
      <c r="A288" s="1" t="s">
        <v>162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ht="18.75" x14ac:dyDescent="0.3">
      <c r="A289" s="1" t="s">
        <v>161</v>
      </c>
      <c r="B289" s="1"/>
      <c r="C289" s="1"/>
      <c r="D289" s="1"/>
      <c r="E289" s="1"/>
      <c r="F289" s="1"/>
      <c r="G289" s="1"/>
      <c r="H289" s="1">
        <f>A287*C287*F287*0.8*1000</f>
        <v>89.071200000000005</v>
      </c>
      <c r="I289" s="1"/>
      <c r="J289" s="1"/>
      <c r="K289" s="1"/>
    </row>
    <row r="290" spans="1:11" ht="18.7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ht="18.75" x14ac:dyDescent="0.3">
      <c r="A291" s="1" t="s">
        <v>166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ht="18.75" x14ac:dyDescent="0.3">
      <c r="A292" s="1" t="s">
        <v>165</v>
      </c>
      <c r="B292" s="1"/>
      <c r="C292" s="1"/>
      <c r="D292" s="1"/>
      <c r="E292" s="1"/>
      <c r="F292" s="1"/>
      <c r="G292" s="1"/>
      <c r="H292" s="16">
        <f>2*F287*C287+2*F287*A287+2*C287*A287</f>
        <v>1.4393499999999999</v>
      </c>
      <c r="I292" s="1"/>
      <c r="J292" s="1"/>
      <c r="K292" s="1"/>
    </row>
    <row r="293" spans="1:11" ht="18.7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ht="18.75" x14ac:dyDescent="0.3">
      <c r="A294" s="1" t="s">
        <v>167</v>
      </c>
      <c r="B294" s="1"/>
      <c r="C294" s="1"/>
      <c r="D294" s="1"/>
      <c r="E294" s="1"/>
      <c r="F294" s="1"/>
      <c r="G294" s="1"/>
      <c r="H294" s="1">
        <f>(H278*1000)/(H296*(I297-I298))</f>
        <v>14.833813739799856</v>
      </c>
      <c r="I294" s="1"/>
      <c r="J294" s="1"/>
      <c r="K294" s="1"/>
    </row>
    <row r="295" spans="1:11" ht="18.7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ht="18.75" x14ac:dyDescent="0.3">
      <c r="A296" s="1" t="s">
        <v>168</v>
      </c>
      <c r="B296" s="1"/>
      <c r="C296" s="1"/>
      <c r="D296" s="1"/>
      <c r="E296" s="1"/>
      <c r="F296" s="1"/>
      <c r="G296" s="1"/>
      <c r="H296" s="1">
        <v>15</v>
      </c>
      <c r="I296" s="1"/>
      <c r="J296" s="1"/>
      <c r="K296" s="1"/>
    </row>
    <row r="297" spans="1:11" ht="18.75" x14ac:dyDescent="0.3">
      <c r="A297" s="1" t="s">
        <v>169</v>
      </c>
      <c r="B297" s="1"/>
      <c r="C297" s="1"/>
      <c r="D297" s="1"/>
      <c r="E297" s="1"/>
      <c r="F297" s="1"/>
      <c r="G297" s="1"/>
      <c r="H297" s="1"/>
      <c r="I297" s="1">
        <v>70</v>
      </c>
      <c r="J297" s="1"/>
      <c r="K297" s="1"/>
    </row>
    <row r="298" spans="1:11" ht="18.75" x14ac:dyDescent="0.3">
      <c r="A298" s="1" t="s">
        <v>170</v>
      </c>
      <c r="B298" s="1"/>
      <c r="C298" s="1"/>
      <c r="D298" s="1"/>
      <c r="E298" s="1"/>
      <c r="F298" s="1"/>
      <c r="G298" s="1"/>
      <c r="H298" s="1"/>
      <c r="I298" s="1">
        <v>30</v>
      </c>
      <c r="J298" s="1"/>
      <c r="K298" s="1"/>
    </row>
    <row r="299" spans="1:11" ht="18.75" x14ac:dyDescent="0.3">
      <c r="A299" s="1" t="s">
        <v>171</v>
      </c>
      <c r="B299" s="1"/>
      <c r="C299" s="1"/>
      <c r="D299" s="1"/>
      <c r="E299" s="1"/>
      <c r="F299" s="1"/>
      <c r="G299" s="1"/>
      <c r="H299" s="1">
        <f>H140+H144+H148+H151+H155+H163</f>
        <v>0.67279999999999995</v>
      </c>
      <c r="I299" s="1"/>
      <c r="J299" s="1"/>
      <c r="K299" s="1"/>
    </row>
    <row r="300" spans="1:11" ht="18.7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ht="18.75" x14ac:dyDescent="0.3">
      <c r="A301" s="1" t="s">
        <v>172</v>
      </c>
      <c r="B301" s="1"/>
      <c r="C301" s="1"/>
      <c r="D301" s="1"/>
      <c r="E301" s="1"/>
      <c r="F301" s="1"/>
      <c r="G301" s="1"/>
      <c r="H301" s="16">
        <f>H294-H299</f>
        <v>14.161013739799856</v>
      </c>
      <c r="I301" s="1"/>
      <c r="J301" s="1"/>
      <c r="K301" s="1"/>
    </row>
    <row r="302" spans="1:11" ht="18.7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ht="18.7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ht="18.7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ht="18.75" x14ac:dyDescent="0.3">
      <c r="A305" s="1" t="s">
        <v>173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ht="18.75" x14ac:dyDescent="0.3">
      <c r="A306" s="1" t="s">
        <v>174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ht="18.7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ht="18.75" x14ac:dyDescent="0.3">
      <c r="A308" s="1" t="s">
        <v>175</v>
      </c>
      <c r="B308" s="1"/>
      <c r="C308" s="1"/>
      <c r="D308" s="1"/>
      <c r="E308" s="1"/>
      <c r="F308" s="1"/>
      <c r="G308" s="1"/>
      <c r="H308" s="1">
        <f>0.065*(H289*H289)^(1/3)</f>
        <v>1.2963976214064159</v>
      </c>
      <c r="I308" s="1"/>
      <c r="J308" s="1"/>
      <c r="K308" s="1"/>
    </row>
    <row r="309" spans="1:11" ht="18.7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ht="18.75" x14ac:dyDescent="0.3">
      <c r="A310" s="1" t="s">
        <v>176</v>
      </c>
      <c r="B310" s="1"/>
      <c r="C310" s="1"/>
      <c r="D310" s="1"/>
      <c r="E310" s="1"/>
      <c r="F310" s="1"/>
      <c r="G310" s="1"/>
      <c r="H310" s="15">
        <f>(H278*1000/(H296*(H308+H299)))+I298</f>
        <v>331.31691362099923</v>
      </c>
      <c r="I310" s="1"/>
      <c r="J310" s="1"/>
      <c r="K310" s="1"/>
    </row>
    <row r="311" spans="1:11" ht="18.7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ht="18.7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ht="18.7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ht="18.7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ht="18.7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ht="18.7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ht="18.7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ht="18.7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ht="18.7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ht="18.7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ht="18.7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ht="18.7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ht="18.7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ht="18.7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ht="18.7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ht="18.7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ht="18.7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ht="18.7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ht="18.7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ht="18.7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ht="18.7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ht="18.7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ht="18.7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ht="18.7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ht="18.7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ht="18.7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ht="18.7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ht="18.7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8.7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ht="18.7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ht="18.7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ht="18.7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ht="18.7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ht="18.7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ht="18.7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ht="18.7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ht="18.7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ht="18.7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ht="18.7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ht="18.7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ht="18.7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ht="18.7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ht="18.7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ht="18.7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ht="18.7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ht="18.7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ht="18.7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ht="18.7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ht="18.7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ht="18.7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ht="18.7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ht="18.7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ht="18.7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ht="18.7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ht="18.7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ht="18.7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ht="18.7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ht="18.7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ht="18.7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ht="18.7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ht="18.7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ht="18.7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ht="18.7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ht="18.7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ht="18.7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ht="18.7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ht="18.7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ht="18.7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ht="18.7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ht="18.7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ht="18.7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ht="18.7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ht="18.7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ht="18.7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ht="18.7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ht="18.7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ht="18.7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ht="18.7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ht="18.7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ht="18.7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ht="18.7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ht="18.7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ht="18.7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ht="18.7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ht="18.7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ht="18.7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ht="18.7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ht="18.7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ht="18.7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ht="18.7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ht="18.7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ht="18.7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ht="18.7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ht="18.7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ht="18.7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ht="18.7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ht="18.7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ht="18.7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ht="18.7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ht="18.7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ht="18.7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ht="18.7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ht="18.7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ht="18.7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ht="18.7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ht="18.7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ht="18.7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ht="18.7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ht="18.7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ht="18.7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ht="18.7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ht="18.7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ht="18.7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ht="18.7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ht="18.7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ht="18.7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ht="18.7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ht="18.7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ht="18.7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ht="18.7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ht="18.7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ht="18.7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ht="18.7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ht="18.7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8.7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ht="18.7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ht="18.7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ht="18.7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ht="18.7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ht="18.7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ht="18.7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ht="18.7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ht="18.7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ht="18.7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ht="18.7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ht="18.7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ht="18.7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ht="18.7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ht="18.7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ht="18.7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ht="18.7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ht="18.7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ht="18.7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ht="18.7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ht="18.7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ht="18.7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ht="18.7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ht="18.7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ht="18.7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ht="18.7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ht="18.7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ht="18.7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ht="18.7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ht="18.7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ht="18.7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ht="18.7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ht="18.7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ht="18.7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ht="18.7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ht="18.7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ht="18.7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ht="18.7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ht="18.7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ht="18.7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ht="18.7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ht="18.7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ht="18.7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ht="18.7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ht="18.7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ht="18.7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ht="18.7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ht="18.7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ht="18.7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ht="18.7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ht="18.7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ht="18.7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ht="18.7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ht="18.7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ht="18.7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ht="18.7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ht="18.7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ht="18.7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ht="18.7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ht="18.7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ht="18.7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ht="18.7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ht="18.7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ht="18.7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ht="18.7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ht="18.7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ht="18.7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ht="18.7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ht="18.7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ht="18.7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ht="18.7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ht="18.7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ht="18.7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ht="18.7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ht="18.7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ht="18.7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ht="18.7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ht="18.7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ht="18.7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ht="18.7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ht="18.7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ht="18.7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ht="18.7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ht="18.7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ht="18.7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ht="18.7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ht="18.7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ht="18.7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ht="18.7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ht="18.7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ht="18.7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ht="18.7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ht="18.7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ht="18.7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ht="18.7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ht="18.7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8.7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ht="18.7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ht="18.7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ht="18.7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ht="18.7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ht="18.7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ht="18.7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ht="18.7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ht="18.7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ht="18.7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ht="18.7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ht="18.7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ht="18.7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ht="18.7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ht="18.7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ht="18.7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ht="18.7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ht="18.7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ht="18.7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ht="18.7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ht="18.7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ht="18.7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ht="18.7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ht="18.7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ht="18.7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ht="18.7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ht="18.7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ht="18.7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ht="18.7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ht="18.7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ht="18.7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ht="18.7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ht="18.7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ht="18.7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ht="18.7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ht="18.7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ht="18.7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ht="18.7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ht="18.7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ht="18.7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ht="18.7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ht="18.7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ht="18.7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ht="18.7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ht="18.7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ht="18.7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ht="18.7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ht="18.7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ht="18.7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ht="18.7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ht="18.7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ht="18.7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ht="18.7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ht="18.7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ht="18.7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ht="18.7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ht="18.7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ht="18.7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ht="18.7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ht="18.7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ht="18.7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ht="18.7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ht="18.7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ht="18.7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ht="18.7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ht="18.7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ht="18.7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ht="18.7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ht="18.7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ht="18.7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ht="18.7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ht="18.7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ht="18.7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ht="18.7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ht="18.7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ht="18.7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ht="18.7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ht="18.7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ht="18.7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ht="18.7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ht="18.7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ht="18.7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ht="18.7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ht="18.7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ht="18.7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ht="18.7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ht="18.7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ht="18.7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ht="18.7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ht="18.7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ht="18.7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ht="18.7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ht="18.7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ht="18.7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ht="18.7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ht="18.7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8.7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ht="18.7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ht="18.7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ht="18.7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ht="18.7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ht="18.7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ht="18.7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ht="18.7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ht="18.7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ht="18.7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ht="18.7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ht="18.7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ht="18.7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ht="18.7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ht="18.7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ht="18.7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ht="18.7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ht="18.7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ht="18.7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ht="18.7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ht="18.7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ht="18.7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ht="18.7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ht="18.7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ht="18.7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ht="18.7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ht="18.7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ht="18.7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ht="18.7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ht="18.7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ht="18.7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ht="18.7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ht="18.7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ht="18.7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ht="18.7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ht="18.7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ht="18.7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ht="18.7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ht="18.7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ht="18.7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ht="18.7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ht="18.7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ht="18.7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8.7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8.7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8.7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8.7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8.7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8.7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8.7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8.7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8.7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8.7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8.7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8.7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8.7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8.7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8.7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8.7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8.7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8.7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8.7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8.7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8.7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8.7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8.7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8.7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8.7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8.7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8.7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8.7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8.7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8.7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8.7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8.7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8.7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8.7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8.7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8.7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8.7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8.7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8.7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8.7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8.7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8.7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8.7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8.7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8.7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8.7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8.7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8.7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8.7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8.7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8.7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8.7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8.7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8.7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8.7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8.7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8.7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8.7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8.7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8.7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8.7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8.7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8.7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8.7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8.7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8.7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8.7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8.7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8.7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8.7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8.7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8.7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8.7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8.7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8.7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8.7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8.7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8.7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8.7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8.7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8.7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8.7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8.7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8.7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8.7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8.7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8.7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8.7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8.7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8.7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8.7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8.7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8.7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8.7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8.7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8.7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8.7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8.7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8.7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8.7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8.7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8.7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8.7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8.7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8.7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8.7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8.7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8.7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8.7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8.7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8.7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8.7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8.7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8.7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8.7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8.7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8.7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8.7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8.7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8.7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8.7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8.7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8.7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8.7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8.7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8.7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8.7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8.7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8.7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8.7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8.7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8.7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8.7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8.7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8.7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8.7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8.7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8.7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8.7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8.7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8.7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8.7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8.7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8.7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8.7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8.7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8.7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8.7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8.7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8.7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8.7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8.7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8.7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8.7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8.7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8.7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8.7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8.7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8.7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8.7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8.7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8.7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8.7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8.7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8.7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8.7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8.7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8.7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8.7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8.7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8.7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8.7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8.7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8.7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8.7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8.7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8.7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8.7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8.7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8.7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8.7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8.7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8.7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8.7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8.7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8.7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8.7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8.7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8.7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8.7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8.7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8.7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8.7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8.7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8.7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8.7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8.7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8.7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8.7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8.7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8.7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8.7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8.7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8.7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8.7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8.7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8.7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8.7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8.7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8.7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8.7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8.7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8.7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8.7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8.7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8.7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8.7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8.7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8.7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8.7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8.7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8.7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8.7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8.7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8.7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8.7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8.7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8.7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8.7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8.7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8.7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8.7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8.7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8.7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8.7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8.7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8.7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8.7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8.7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8.7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8.7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8.7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8.7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8.7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8.7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8.7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8.7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8.7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8.7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8.7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8.7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8.7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8.7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8.7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Разумов Василий Владимирович</dc:creator>
  <cp:lastModifiedBy>Разумов Василий Владимирович</cp:lastModifiedBy>
  <cp:lastPrinted>2025-01-23T10:36:03Z</cp:lastPrinted>
  <dcterms:created xsi:type="dcterms:W3CDTF">2025-01-14T05:52:29Z</dcterms:created>
  <dcterms:modified xsi:type="dcterms:W3CDTF">2025-01-23T11:39:32Z</dcterms:modified>
</cp:coreProperties>
</file>