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L15" i="1" l="1"/>
  <c r="L10" i="1" l="1"/>
  <c r="L9" i="1"/>
  <c r="L7" i="1"/>
  <c r="L5" i="1"/>
  <c r="L4" i="1"/>
  <c r="G31" i="1" l="1"/>
  <c r="G28" i="1"/>
  <c r="G26" i="1"/>
  <c r="G30" i="1" l="1"/>
  <c r="G27" i="1"/>
  <c r="G5" i="1" l="1"/>
  <c r="G4" i="1" l="1"/>
  <c r="G20" i="1"/>
  <c r="G21" i="1"/>
  <c r="G25" i="1"/>
  <c r="G16" i="1"/>
  <c r="G17" i="1" s="1"/>
  <c r="G15" i="1"/>
  <c r="G19" i="1" s="1"/>
  <c r="G3" i="1"/>
  <c r="G10" i="1"/>
  <c r="G24" i="1"/>
  <c r="G14" i="1"/>
  <c r="G13" i="1"/>
  <c r="G12" i="1"/>
  <c r="G11" i="1"/>
  <c r="B11" i="1"/>
  <c r="G9" i="1"/>
  <c r="B9" i="1"/>
  <c r="G8" i="1"/>
  <c r="G7" i="1"/>
  <c r="B2" i="1"/>
  <c r="B1" i="1"/>
  <c r="B3" i="1" s="1"/>
  <c r="G22" i="1" l="1"/>
  <c r="G23" i="1" s="1"/>
  <c r="B4" i="1"/>
  <c r="G33" i="1" l="1"/>
  <c r="G34" i="1" s="1"/>
  <c r="L3" i="1" s="1"/>
  <c r="L6" i="1" l="1"/>
</calcChain>
</file>

<file path=xl/sharedStrings.xml><?xml version="1.0" encoding="utf-8"?>
<sst xmlns="http://schemas.openxmlformats.org/spreadsheetml/2006/main" count="92" uniqueCount="80">
  <si>
    <t>Потребляемая мощность ламп</t>
  </si>
  <si>
    <t>кВатт</t>
  </si>
  <si>
    <t>Таблица 1. Расчет себестоимости продукции</t>
  </si>
  <si>
    <t>Таблица 2. Расчёт экономической эффективности фермы</t>
  </si>
  <si>
    <t>Потребляемая мощность насоса</t>
  </si>
  <si>
    <t>№</t>
  </si>
  <si>
    <t>Показатели</t>
  </si>
  <si>
    <t>руб</t>
  </si>
  <si>
    <t>Комментарии</t>
  </si>
  <si>
    <t>Потребляемая мощность в месяц</t>
  </si>
  <si>
    <t>Зарплата</t>
  </si>
  <si>
    <t>Выручка</t>
  </si>
  <si>
    <t>Потребляемая мощность всей фермы в месяц</t>
  </si>
  <si>
    <t>Отчисления с ФОТ</t>
  </si>
  <si>
    <t>Себестоимость продукции</t>
  </si>
  <si>
    <t>Материальные затраты</t>
  </si>
  <si>
    <t>Прибыль до налогообложения</t>
  </si>
  <si>
    <t>Количество воды в месяц</t>
  </si>
  <si>
    <t>л</t>
  </si>
  <si>
    <t>В том числе</t>
  </si>
  <si>
    <t xml:space="preserve">3285 шт базилика со всей фермы </t>
  </si>
  <si>
    <t>Прибыль от продаж</t>
  </si>
  <si>
    <t>6% по УСН</t>
  </si>
  <si>
    <t>Количество удобрений в месяц</t>
  </si>
  <si>
    <t>мл</t>
  </si>
  <si>
    <t>семена</t>
  </si>
  <si>
    <t>600 семян в 1г базилика, 1г стоит 
35рубля, 45 растений на 
установку, по 3 семечка в горшок,
45*3=135, 0,255г=135 семян</t>
  </si>
  <si>
    <t>Налог</t>
  </si>
  <si>
    <t>удобрения</t>
  </si>
  <si>
    <t>700 рублей 2 банки, по 1 л</t>
  </si>
  <si>
    <t>Чистая прибыль</t>
  </si>
  <si>
    <t>Площадь 1 установки</t>
  </si>
  <si>
    <t>м2</t>
  </si>
  <si>
    <t>водоснабжение</t>
  </si>
  <si>
    <t>42,3р за 1 м3 воды</t>
  </si>
  <si>
    <t>Рентабильность продаж</t>
  </si>
  <si>
    <t>Полная площадь установки</t>
  </si>
  <si>
    <t>электроэнергия</t>
  </si>
  <si>
    <t>5,66 руб за кВатт</t>
  </si>
  <si>
    <t>Рентабильность продукции</t>
  </si>
  <si>
    <t>Количество установок</t>
  </si>
  <si>
    <t>шт</t>
  </si>
  <si>
    <t>субстрат</t>
  </si>
  <si>
    <t>300р за 10л, 45 горшков по 250мл,
 250*45/1000=11,25</t>
  </si>
  <si>
    <t>гидропонный горшок</t>
  </si>
  <si>
    <t>4р за 1 горшок</t>
  </si>
  <si>
    <t>Персонал</t>
  </si>
  <si>
    <t>чел</t>
  </si>
  <si>
    <t>З/П, в руб</t>
  </si>
  <si>
    <t xml:space="preserve">ампулы от вредителей </t>
  </si>
  <si>
    <t>30руб за 1, 2 раза в месяц</t>
  </si>
  <si>
    <t>Агроном</t>
  </si>
  <si>
    <t>Амортизция</t>
  </si>
  <si>
    <t>210000/7лет/12месяцев</t>
  </si>
  <si>
    <t>Общее число персонала</t>
  </si>
  <si>
    <t>Аренда помещения</t>
  </si>
  <si>
    <t xml:space="preserve">Период окупаемости </t>
  </si>
  <si>
    <t>Итого производствнных затрат</t>
  </si>
  <si>
    <t>Итого производствнных затрат с 1 продукции</t>
  </si>
  <si>
    <t>Постоянные расходы</t>
  </si>
  <si>
    <t>Переменные расходы</t>
  </si>
  <si>
    <t>Затраты на реолизацию</t>
  </si>
  <si>
    <t>Затраты на реализацию с 1 установки</t>
  </si>
  <si>
    <t>Затраты на реализацию 1 продукции</t>
  </si>
  <si>
    <t>Коробки на всю ферму</t>
  </si>
  <si>
    <t xml:space="preserve">0,175м3 обьем 1 коробки, 
стоимость 1 коробки 130 руб, 
0,002м3 обьем 1 упаковки, 
0,175/0,002=87 упаковок в одной 
коробке, 3285 кустов базилика 
со всей фермы, 3285/87=38 коробок </t>
  </si>
  <si>
    <t>Плёнка на всю ферму</t>
  </si>
  <si>
    <t>200м 88руб, на 1 упаковку 0,4м, 
200/0,4/3285=6,57=7</t>
  </si>
  <si>
    <t>Лотки на всю ферму</t>
  </si>
  <si>
    <t>Грузоперевозки</t>
  </si>
  <si>
    <t>510р за час, обьем грузовика 
18,48м3, 0,175 обьём 1 коробки, 18,48/0,175=105 коробок вместится в 1 грузовик</t>
  </si>
  <si>
    <t>Полная комерческая себестоимость на 1 
продукции</t>
  </si>
  <si>
    <t>Выход продукции в натуральном выражении</t>
  </si>
  <si>
    <t>кг</t>
  </si>
  <si>
    <t>ндс</t>
  </si>
  <si>
    <t>Торговая наценка</t>
  </si>
  <si>
    <t xml:space="preserve">Цена </t>
  </si>
  <si>
    <t>Выход продукции в стоимостном выражении</t>
  </si>
  <si>
    <t>2руб за 1шт</t>
  </si>
  <si>
    <t>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</si>
</sst>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2" borderId="1" xfId="0" applyFont="1" applyFill="1" applyBorder="1"/>
    <xf numFmtId="0" fontId="0" fillId="0" borderId="1" xfId="0" applyBorder="1"/>
    <xf numFmtId="0" fontId="1" fillId="0" borderId="0" xfId="0" applyFont="1"/>
    <xf numFmtId="0" fontId="0" fillId="0" borderId="2" xfId="0" applyBorder="1"/>
    <xf numFmtId="10" fontId="0" fillId="0" borderId="1" xfId="0" applyNumberFormat="1" applyBorder="1"/>
    <xf numFmtId="0" fontId="0" fillId="0" borderId="0" xfId="0" applyBorder="1"/>
    <xf numFmtId="2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right" indent="1"/>
    </xf>
    <xf numFmtId="2" fontId="3" fillId="2" borderId="1" xfId="0" applyNumberFormat="1" applyFont="1" applyFill="1" applyBorder="1"/>
    <xf numFmtId="1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NumberFormat="1" applyBorder="1"/>
    <xf numFmtId="0" fontId="3" fillId="3" borderId="0" xfId="0" applyFont="1" applyFill="1" applyBorder="1"/>
    <xf numFmtId="0" fontId="4" fillId="3" borderId="1" xfId="0" applyFont="1" applyFill="1" applyBorder="1"/>
    <xf numFmtId="1" fontId="0" fillId="0" borderId="0" xfId="0" applyNumberFormat="1" applyBorder="1"/>
    <xf numFmtId="0" fontId="2" fillId="2" borderId="1" xfId="0" applyFont="1" applyFill="1" applyBorder="1"/>
    <xf numFmtId="0" fontId="0" fillId="3" borderId="0" xfId="0" applyFill="1"/>
    <xf numFmtId="0" fontId="0" fillId="0" borderId="1" xfId="0" applyBorder="1" applyAlignment="1">
      <alignment vertical="top" wrapText="1"/>
    </xf>
    <xf numFmtId="0" fontId="0" fillId="0" borderId="1" xfId="0" applyFill="1" applyBorder="1"/>
    <xf numFmtId="0" fontId="3" fillId="2" borderId="1" xfId="0" applyFont="1" applyFill="1" applyBorder="1" applyAlignment="1"/>
    <xf numFmtId="2" fontId="0" fillId="0" borderId="1" xfId="0" applyNumberFormat="1" applyBorder="1" applyAlignment="1"/>
    <xf numFmtId="0" fontId="0" fillId="0" borderId="1" xfId="0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zoomScaleNormal="100" workbookViewId="0">
      <selection activeCell="K11" sqref="K11"/>
    </sheetView>
  </sheetViews>
  <sheetFormatPr defaultRowHeight="14.4" x14ac:dyDescent="0.3"/>
  <cols>
    <col min="1" max="1" width="40.6640625" customWidth="1"/>
    <col min="5" max="5" width="7.109375" customWidth="1"/>
    <col min="6" max="6" width="43.33203125" customWidth="1"/>
    <col min="7" max="7" width="9.44140625" bestFit="1" customWidth="1"/>
    <col min="8" max="8" width="29.6640625" customWidth="1"/>
    <col min="9" max="9" width="9.33203125" customWidth="1"/>
    <col min="11" max="11" width="27.6640625" customWidth="1"/>
    <col min="12" max="12" width="9.44140625" bestFit="1" customWidth="1"/>
    <col min="13" max="13" width="10" customWidth="1"/>
  </cols>
  <sheetData>
    <row r="1" spans="1:13" x14ac:dyDescent="0.3">
      <c r="A1" s="1" t="s">
        <v>0</v>
      </c>
      <c r="B1" s="2">
        <f>(18*9*13)*30/1000</f>
        <v>63.18</v>
      </c>
      <c r="C1" s="2" t="s">
        <v>1</v>
      </c>
      <c r="E1" s="3" t="s">
        <v>2</v>
      </c>
      <c r="H1" s="4"/>
      <c r="J1" s="3" t="s">
        <v>3</v>
      </c>
    </row>
    <row r="2" spans="1:13" x14ac:dyDescent="0.3">
      <c r="A2" s="1" t="s">
        <v>4</v>
      </c>
      <c r="B2" s="2">
        <f>(18/60*30*220)/1000</f>
        <v>1.98</v>
      </c>
      <c r="C2" s="2" t="s">
        <v>1</v>
      </c>
      <c r="E2" s="1" t="s">
        <v>5</v>
      </c>
      <c r="F2" s="1" t="s">
        <v>6</v>
      </c>
      <c r="G2" s="1" t="s">
        <v>7</v>
      </c>
      <c r="H2" s="2" t="s">
        <v>8</v>
      </c>
      <c r="J2" s="1" t="s">
        <v>5</v>
      </c>
      <c r="K2" s="1" t="s">
        <v>6</v>
      </c>
      <c r="L2" s="1" t="s">
        <v>7</v>
      </c>
    </row>
    <row r="3" spans="1:13" x14ac:dyDescent="0.3">
      <c r="A3" s="1" t="s">
        <v>9</v>
      </c>
      <c r="B3" s="2">
        <f>B1+B2</f>
        <v>65.16</v>
      </c>
      <c r="C3" s="2" t="s">
        <v>1</v>
      </c>
      <c r="E3" s="2"/>
      <c r="F3" s="2" t="s">
        <v>10</v>
      </c>
      <c r="G3" s="2">
        <f>C14*B14/73</f>
        <v>1027.3972602739725</v>
      </c>
      <c r="H3" s="2"/>
      <c r="J3" s="2">
        <v>1</v>
      </c>
      <c r="K3" s="2" t="s">
        <v>11</v>
      </c>
      <c r="L3" s="2">
        <f>G34</f>
        <v>583545.27500999998</v>
      </c>
    </row>
    <row r="4" spans="1:13" x14ac:dyDescent="0.3">
      <c r="A4" s="1" t="s">
        <v>12</v>
      </c>
      <c r="B4" s="2">
        <f>B3*73</f>
        <v>4756.6799999999994</v>
      </c>
      <c r="C4" s="2" t="s">
        <v>1</v>
      </c>
      <c r="E4" s="2"/>
      <c r="F4" s="2" t="s">
        <v>13</v>
      </c>
      <c r="G4" s="2">
        <f>G3/100*30.2</f>
        <v>310.27397260273972</v>
      </c>
      <c r="H4" s="5">
        <v>0.30199999999999999</v>
      </c>
      <c r="J4" s="2">
        <v>2</v>
      </c>
      <c r="K4" s="2" t="s">
        <v>14</v>
      </c>
      <c r="L4" s="2">
        <f>3285*(G28-(G4/45))</f>
        <v>391759.05480000004</v>
      </c>
    </row>
    <row r="5" spans="1:13" x14ac:dyDescent="0.3">
      <c r="A5" s="6"/>
      <c r="B5" s="6"/>
      <c r="C5" s="6"/>
      <c r="E5" s="2"/>
      <c r="F5" s="1" t="s">
        <v>15</v>
      </c>
      <c r="G5" s="7">
        <f>SUM(G7:G13)</f>
        <v>1044.0875999999998</v>
      </c>
      <c r="H5" s="2"/>
      <c r="J5" s="2">
        <v>3</v>
      </c>
      <c r="K5" s="2" t="s">
        <v>16</v>
      </c>
      <c r="L5" s="2">
        <f>L3-L4</f>
        <v>191786.22020999994</v>
      </c>
    </row>
    <row r="6" spans="1:13" x14ac:dyDescent="0.3">
      <c r="A6" s="1" t="s">
        <v>17</v>
      </c>
      <c r="B6" s="2">
        <v>90</v>
      </c>
      <c r="C6" s="2" t="s">
        <v>18</v>
      </c>
      <c r="E6" s="2"/>
      <c r="F6" s="2" t="s">
        <v>19</v>
      </c>
      <c r="G6" s="2"/>
      <c r="H6" s="2" t="s">
        <v>20</v>
      </c>
      <c r="J6" s="2">
        <v>4</v>
      </c>
      <c r="K6" s="2" t="s">
        <v>21</v>
      </c>
      <c r="L6" s="2">
        <f>L5</f>
        <v>191786.22020999994</v>
      </c>
      <c r="M6" t="s">
        <v>22</v>
      </c>
    </row>
    <row r="7" spans="1:13" ht="86.4" x14ac:dyDescent="0.3">
      <c r="A7" s="1" t="s">
        <v>23</v>
      </c>
      <c r="B7" s="2">
        <v>246</v>
      </c>
      <c r="C7" s="2" t="s">
        <v>24</v>
      </c>
      <c r="E7" s="2"/>
      <c r="F7" s="2" t="s">
        <v>25</v>
      </c>
      <c r="G7" s="8">
        <f>(135*35)/600</f>
        <v>7.875</v>
      </c>
      <c r="H7" s="9" t="s">
        <v>26</v>
      </c>
      <c r="J7" s="2">
        <v>5</v>
      </c>
      <c r="K7" s="2" t="s">
        <v>27</v>
      </c>
      <c r="L7" s="7">
        <f>L6*0.06</f>
        <v>11507.173212599995</v>
      </c>
    </row>
    <row r="8" spans="1:13" x14ac:dyDescent="0.3">
      <c r="A8" s="2"/>
      <c r="B8" s="2"/>
      <c r="C8" s="2"/>
      <c r="E8" s="2"/>
      <c r="F8" s="2" t="s">
        <v>28</v>
      </c>
      <c r="G8" s="10">
        <f>700*0.246/2</f>
        <v>86.1</v>
      </c>
      <c r="H8" s="2" t="s">
        <v>29</v>
      </c>
      <c r="J8" s="2">
        <v>6</v>
      </c>
      <c r="K8" s="1" t="s">
        <v>30</v>
      </c>
      <c r="L8" s="11">
        <f>L6-L7</f>
        <v>180279.04699739994</v>
      </c>
    </row>
    <row r="9" spans="1:13" x14ac:dyDescent="0.3">
      <c r="A9" s="1" t="s">
        <v>31</v>
      </c>
      <c r="B9" s="2">
        <f>1.22*0.6</f>
        <v>0.73199999999999998</v>
      </c>
      <c r="C9" s="2" t="s">
        <v>32</v>
      </c>
      <c r="E9" s="2"/>
      <c r="F9" s="2" t="s">
        <v>33</v>
      </c>
      <c r="G9" s="7">
        <f>(90*42.3)/1000</f>
        <v>3.8069999999999995</v>
      </c>
      <c r="H9" s="2" t="s">
        <v>34</v>
      </c>
      <c r="J9" s="2">
        <v>7</v>
      </c>
      <c r="K9" s="2" t="s">
        <v>35</v>
      </c>
      <c r="L9" s="2">
        <f>L6/L4*100</f>
        <v>48.955146756699783</v>
      </c>
    </row>
    <row r="10" spans="1:13" x14ac:dyDescent="0.3">
      <c r="A10" s="1" t="s">
        <v>36</v>
      </c>
      <c r="B10" s="2">
        <v>1.5</v>
      </c>
      <c r="C10" s="2" t="s">
        <v>32</v>
      </c>
      <c r="E10" s="2"/>
      <c r="F10" s="2" t="s">
        <v>37</v>
      </c>
      <c r="G10" s="7">
        <f>B3*5.66</f>
        <v>368.80559999999997</v>
      </c>
      <c r="H10" s="2" t="s">
        <v>38</v>
      </c>
      <c r="J10" s="2">
        <v>8</v>
      </c>
      <c r="K10" s="2" t="s">
        <v>39</v>
      </c>
      <c r="L10" s="2">
        <f>L5/L4*100</f>
        <v>48.955146756699783</v>
      </c>
    </row>
    <row r="11" spans="1:13" ht="43.2" x14ac:dyDescent="0.3">
      <c r="A11" s="1" t="s">
        <v>40</v>
      </c>
      <c r="B11" s="12">
        <f>(120-10)/B10</f>
        <v>73.333333333333329</v>
      </c>
      <c r="C11" s="2" t="s">
        <v>41</v>
      </c>
      <c r="E11" s="2"/>
      <c r="F11" s="2" t="s">
        <v>42</v>
      </c>
      <c r="G11" s="7">
        <f>(300*11.25)/10</f>
        <v>337.5</v>
      </c>
      <c r="H11" s="13" t="s">
        <v>43</v>
      </c>
    </row>
    <row r="12" spans="1:13" x14ac:dyDescent="0.3">
      <c r="A12" s="6"/>
      <c r="B12" s="6"/>
      <c r="C12" s="6"/>
      <c r="E12" s="2"/>
      <c r="F12" s="2" t="s">
        <v>44</v>
      </c>
      <c r="G12" s="14">
        <f>45*4</f>
        <v>180</v>
      </c>
      <c r="H12" s="2" t="s">
        <v>45</v>
      </c>
      <c r="K12" s="6"/>
      <c r="L12" s="15"/>
      <c r="M12" s="15"/>
    </row>
    <row r="13" spans="1:13" x14ac:dyDescent="0.3">
      <c r="A13" s="1" t="s">
        <v>46</v>
      </c>
      <c r="B13" s="1" t="s">
        <v>47</v>
      </c>
      <c r="C13" s="1" t="s">
        <v>48</v>
      </c>
      <c r="E13" s="2"/>
      <c r="F13" s="16" t="s">
        <v>49</v>
      </c>
      <c r="G13" s="14">
        <f>30*2</f>
        <v>60</v>
      </c>
      <c r="H13" s="2" t="s">
        <v>50</v>
      </c>
      <c r="K13" s="15"/>
      <c r="L13" s="17"/>
      <c r="M13" s="6"/>
    </row>
    <row r="14" spans="1:13" x14ac:dyDescent="0.3">
      <c r="A14" s="1" t="s">
        <v>51</v>
      </c>
      <c r="B14" s="2">
        <v>3</v>
      </c>
      <c r="C14" s="2">
        <v>25000</v>
      </c>
      <c r="E14" s="2"/>
      <c r="F14" s="2" t="s">
        <v>52</v>
      </c>
      <c r="G14" s="14">
        <f>210000/7/12</f>
        <v>2500</v>
      </c>
      <c r="H14" s="2" t="s">
        <v>53</v>
      </c>
    </row>
    <row r="15" spans="1:13" x14ac:dyDescent="0.3">
      <c r="A15" s="18" t="s">
        <v>54</v>
      </c>
      <c r="B15" s="2">
        <v>3</v>
      </c>
      <c r="C15" s="2"/>
      <c r="E15" s="2"/>
      <c r="F15" s="2" t="s">
        <v>55</v>
      </c>
      <c r="G15" s="14">
        <f>415*B10</f>
        <v>622.5</v>
      </c>
      <c r="H15" s="2"/>
      <c r="K15" s="1" t="s">
        <v>56</v>
      </c>
      <c r="L15" s="7">
        <f>L4/L5</f>
        <v>2.0426861448702418</v>
      </c>
      <c r="M15" s="2" t="s">
        <v>79</v>
      </c>
    </row>
    <row r="16" spans="1:13" x14ac:dyDescent="0.3">
      <c r="E16" s="2"/>
      <c r="F16" s="1" t="s">
        <v>57</v>
      </c>
      <c r="G16" s="7">
        <f>G19+G20</f>
        <v>5504.2588328767124</v>
      </c>
      <c r="H16" s="2"/>
    </row>
    <row r="17" spans="1:8" x14ac:dyDescent="0.3">
      <c r="E17" s="2"/>
      <c r="F17" s="1" t="s">
        <v>58</v>
      </c>
      <c r="G17" s="7">
        <f>G16/45</f>
        <v>122.31686295281582</v>
      </c>
      <c r="H17" s="2"/>
    </row>
    <row r="18" spans="1:8" x14ac:dyDescent="0.3">
      <c r="A18" s="19"/>
      <c r="E18" s="2"/>
      <c r="F18" s="2" t="s">
        <v>19</v>
      </c>
      <c r="G18" s="7"/>
      <c r="H18" s="2"/>
    </row>
    <row r="19" spans="1:8" x14ac:dyDescent="0.3">
      <c r="E19" s="2"/>
      <c r="F19" s="2" t="s">
        <v>59</v>
      </c>
      <c r="G19" s="14">
        <f>G14+G15</f>
        <v>3122.5</v>
      </c>
      <c r="H19" s="2"/>
    </row>
    <row r="20" spans="1:8" x14ac:dyDescent="0.3">
      <c r="E20" s="2"/>
      <c r="F20" s="2" t="s">
        <v>60</v>
      </c>
      <c r="G20" s="7">
        <f>G3+G4+G5</f>
        <v>2381.7588328767119</v>
      </c>
      <c r="H20" s="2"/>
    </row>
    <row r="21" spans="1:8" x14ac:dyDescent="0.3">
      <c r="E21" s="2"/>
      <c r="F21" s="1" t="s">
        <v>61</v>
      </c>
      <c r="G21" s="7">
        <f>+SUM(G24:G27)</f>
        <v>12598.16</v>
      </c>
      <c r="H21" s="2"/>
    </row>
    <row r="22" spans="1:8" x14ac:dyDescent="0.3">
      <c r="E22" s="2"/>
      <c r="F22" s="1" t="s">
        <v>62</v>
      </c>
      <c r="G22" s="7">
        <f>G21/73</f>
        <v>172.57753424657534</v>
      </c>
      <c r="H22" s="2"/>
    </row>
    <row r="23" spans="1:8" x14ac:dyDescent="0.3">
      <c r="E23" s="2"/>
      <c r="F23" s="1" t="s">
        <v>63</v>
      </c>
      <c r="G23" s="7">
        <f>G22/45</f>
        <v>3.8350563165905629</v>
      </c>
      <c r="H23" s="2"/>
    </row>
    <row r="24" spans="1:8" ht="115.2" x14ac:dyDescent="0.3">
      <c r="E24" s="2"/>
      <c r="F24" s="2" t="s">
        <v>64</v>
      </c>
      <c r="G24" s="14">
        <f>38*130</f>
        <v>4940</v>
      </c>
      <c r="H24" s="20" t="s">
        <v>65</v>
      </c>
    </row>
    <row r="25" spans="1:8" ht="28.8" x14ac:dyDescent="0.3">
      <c r="E25" s="2"/>
      <c r="F25" s="2" t="s">
        <v>66</v>
      </c>
      <c r="G25" s="14">
        <f>(3285*0.4*88)/200</f>
        <v>578.16</v>
      </c>
      <c r="H25" s="13" t="s">
        <v>67</v>
      </c>
    </row>
    <row r="26" spans="1:8" x14ac:dyDescent="0.3">
      <c r="E26" s="2"/>
      <c r="F26" s="2" t="s">
        <v>68</v>
      </c>
      <c r="G26" s="7">
        <f>3285*2</f>
        <v>6570</v>
      </c>
      <c r="H26" s="2" t="s">
        <v>78</v>
      </c>
    </row>
    <row r="27" spans="1:8" ht="57.6" x14ac:dyDescent="0.3">
      <c r="E27" s="2"/>
      <c r="F27" s="21" t="s">
        <v>69</v>
      </c>
      <c r="G27" s="2">
        <f>510</f>
        <v>510</v>
      </c>
      <c r="H27" s="13" t="s">
        <v>70</v>
      </c>
    </row>
    <row r="28" spans="1:8" ht="28.8" x14ac:dyDescent="0.3">
      <c r="E28" s="2"/>
      <c r="F28" s="13" t="s">
        <v>71</v>
      </c>
      <c r="G28" s="7">
        <f>G23+G17</f>
        <v>126.15191926940639</v>
      </c>
      <c r="H28" s="6"/>
    </row>
    <row r="30" spans="1:8" x14ac:dyDescent="0.3">
      <c r="F30" s="1" t="s">
        <v>72</v>
      </c>
      <c r="G30" s="2">
        <f>3285*0.02</f>
        <v>65.7</v>
      </c>
      <c r="H30" s="2" t="s">
        <v>73</v>
      </c>
    </row>
    <row r="31" spans="1:8" x14ac:dyDescent="0.3">
      <c r="F31" s="22" t="s">
        <v>74</v>
      </c>
      <c r="G31" s="23">
        <f>G28*0.2</f>
        <v>25.230383853881278</v>
      </c>
      <c r="H31" s="24" t="s">
        <v>7</v>
      </c>
    </row>
    <row r="32" spans="1:8" x14ac:dyDescent="0.3">
      <c r="F32" s="1" t="s">
        <v>75</v>
      </c>
      <c r="G32" s="7">
        <v>26.25705</v>
      </c>
      <c r="H32" s="2" t="s">
        <v>7</v>
      </c>
    </row>
    <row r="33" spans="6:8" x14ac:dyDescent="0.3">
      <c r="F33" s="1" t="s">
        <v>76</v>
      </c>
      <c r="G33" s="7">
        <f>G28+G31+G32</f>
        <v>177.63935312328766</v>
      </c>
      <c r="H33" s="2" t="s">
        <v>7</v>
      </c>
    </row>
    <row r="34" spans="6:8" x14ac:dyDescent="0.3">
      <c r="F34" s="1" t="s">
        <v>77</v>
      </c>
      <c r="G34" s="2">
        <f>G33*3285</f>
        <v>583545.27500999998</v>
      </c>
      <c r="H34" s="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2021-12-01T13:27:52Z</dcterms:modified>
</cp:coreProperties>
</file>