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1.xml" ContentType="application/vnd.openxmlformats-officedocument.drawing+xml"/>
  <Override PartName="/xl/tables/table5.xml" ContentType="application/vnd.openxmlformats-officedocument.spreadsheetml.table+xml"/>
  <Override PartName="/xl/drawings/drawing2.xml" ContentType="application/vnd.openxmlformats-officedocument.drawing+xml"/>
  <Override PartName="/xl/tables/table6.xml" ContentType="application/vnd.openxmlformats-officedocument.spreadsheetml.table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9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726"/>
  <workbookPr showInkAnnotation="0" updateLinks="never"/>
  <mc:AlternateContent xmlns:mc="http://schemas.openxmlformats.org/markup-compatibility/2006">
    <mc:Choice Requires="x15">
      <x15ac:absPath xmlns:x15ac="http://schemas.microsoft.com/office/spreadsheetml/2010/11/ac" url="C:\Users\MamaGuevooooo\Desktop\Regxi\Metrocal-admin-backend\src\modules\mail\templates\excels\"/>
    </mc:Choice>
  </mc:AlternateContent>
  <xr:revisionPtr revIDLastSave="0" documentId="13_ncr:1_{FBA508B3-687A-4AD8-8F1B-91F41DA8ED9A}" xr6:coauthVersionLast="47" xr6:coauthVersionMax="47" xr10:uidLastSave="{00000000-0000-0000-0000-000000000000}"/>
  <bookViews>
    <workbookView xWindow="-108" yWindow="-108" windowWidth="23256" windowHeight="12456" tabRatio="887" firstSheet="1" activeTab="4" xr2:uid="{00000000-000D-0000-FFFF-FFFF00000000}"/>
  </bookViews>
  <sheets>
    <sheet name="General" sheetId="2" r:id="rId1"/>
    <sheet name="Calibración" sheetId="10" r:id="rId2"/>
    <sheet name="kU(E)" sheetId="9" r:id="rId3"/>
    <sheet name="Datos Etiquetas" sheetId="13" r:id="rId4"/>
    <sheet name="DA Unid-kPa (5 ptos)" sheetId="14" r:id="rId5"/>
    <sheet name="FA Unid-kPa (5 ptos)" sheetId="11" r:id="rId6"/>
    <sheet name="CMC Presión" sheetId="15" r:id="rId7"/>
    <sheet name="Trazabilidad" sheetId="12" r:id="rId8"/>
    <sheet name="BD Patron" sheetId="8" r:id="rId9"/>
    <sheet name="BD Clientes" sheetId="3" r:id="rId10"/>
  </sheets>
  <externalReferences>
    <externalReference r:id="rId11"/>
    <externalReference r:id="rId12"/>
    <externalReference r:id="rId13"/>
    <externalReference r:id="rId14"/>
    <externalReference r:id="rId15"/>
  </externalReferences>
  <definedNames>
    <definedName name="CertCode">General!$F$4</definedName>
    <definedName name="CertDate" localSheetId="6">[1]General!$F$5</definedName>
    <definedName name="CertDate">General!$F$5</definedName>
    <definedName name="CertHR" localSheetId="6">[1]General!$I$13</definedName>
    <definedName name="CertHR">General!$I$13</definedName>
    <definedName name="CertHRIncerti" localSheetId="6">[1]General!$I$14</definedName>
    <definedName name="CertHRIncerti">General!$I$14</definedName>
    <definedName name="CertNum" localSheetId="6">[1]General!$F$3</definedName>
    <definedName name="CertNum">General!$F$3</definedName>
    <definedName name="CertPres" localSheetId="6">[1]General!$I$18</definedName>
    <definedName name="CertPres">General!$I$18</definedName>
    <definedName name="CertPresIncert" localSheetId="6">[1]General!$I$19</definedName>
    <definedName name="CertPresIncert">General!$I$19</definedName>
    <definedName name="CertTempC" localSheetId="6">[1]General!$I$8</definedName>
    <definedName name="CertTempC">General!$I$8</definedName>
    <definedName name="CertTempFin" localSheetId="6">[1]General!$I$7</definedName>
    <definedName name="CertTempFin">General!$I$7</definedName>
    <definedName name="CertTempIncerti" localSheetId="6">[1]General!$I$9</definedName>
    <definedName name="CertTempIncerti">General!$I$9</definedName>
    <definedName name="CertTempIni" localSheetId="6">[1]General!$I$6</definedName>
    <definedName name="CertTempIni">General!$I$6</definedName>
    <definedName name="ClientAdr">General!$L$4</definedName>
    <definedName name="ClientName">General!$L$3</definedName>
    <definedName name="ClientPlace">General!$L$5</definedName>
    <definedName name="coef_unidad" localSheetId="6">[1]Calibración!$D$8</definedName>
    <definedName name="coef_unidad">Calibración!$D$8</definedName>
    <definedName name="decim" localSheetId="6">[1]Calibración!$E$9</definedName>
    <definedName name="decim">Calibración!$E$9</definedName>
    <definedName name="dif_alt" localSheetId="6">[1]Calibración!$M$4</definedName>
    <definedName name="dif_alt">Calibración!$M$4</definedName>
    <definedName name="DivEscala" localSheetId="6">[1]General!$F$15</definedName>
    <definedName name="DivEscala">General!$F$15</definedName>
    <definedName name="DivEscalaPatr" localSheetId="6">[1]Calibración!$I$4</definedName>
    <definedName name="DivEscalaPatr">Calibración!$I$4</definedName>
    <definedName name="EquipoCode" localSheetId="6">[1]General!$F$6</definedName>
    <definedName name="EquipoCode">General!$F$6</definedName>
    <definedName name="EquipoIncertid">General!$F$17</definedName>
    <definedName name="EquipoMarca">General!$F$10</definedName>
    <definedName name="EquipoModelo">General!$F$11</definedName>
    <definedName name="EquipoSerie">General!$F$12</definedName>
    <definedName name="EquipoTipo" localSheetId="6">[1]General!$F$7</definedName>
    <definedName name="EquipoTipo">General!$F$7</definedName>
    <definedName name="Histeresis">Calibración!$S$2</definedName>
    <definedName name="Incert_Pozo" localSheetId="6">[1]Calibración!#REF!</definedName>
    <definedName name="Incert_Pozo" localSheetId="4">Calibración!#REF!</definedName>
    <definedName name="Incert_Pozo">Calibración!#REF!</definedName>
    <definedName name="medio" localSheetId="6">[1]Calibración!$M$5</definedName>
    <definedName name="medio">Calibración!$M$5</definedName>
    <definedName name="NumPuntosCalib" localSheetId="6">[1]Calibración!$V$52</definedName>
    <definedName name="NumPuntosCalib">Calibración!$V$52</definedName>
    <definedName name="NumPuntosCalib2" localSheetId="6">[1]Calibración!$AB$52</definedName>
    <definedName name="NumPuntosCalib2">Calibración!$AB$52</definedName>
    <definedName name="RangoMed_max" localSheetId="6">[1]General!$F$14</definedName>
    <definedName name="RangoMed_max">General!$F$14</definedName>
    <definedName name="RangoMed_min" localSheetId="6">[1]General!$F$13</definedName>
    <definedName name="RangoMed_min">General!$F$13</definedName>
    <definedName name="Rcuadrado">Calibración!$U$53</definedName>
    <definedName name="ResolInst" localSheetId="6">[1]Calibración!$E$4</definedName>
    <definedName name="ResolInst">Calibración!$E$4</definedName>
    <definedName name="tblComp_U" localSheetId="6">[1]!tblCompU[#Data]</definedName>
    <definedName name="tblComp_U" localSheetId="4">'kU(E)'!$B$9:$P$18</definedName>
    <definedName name="tblComp_U">'kU(E)'!$B$9:$P$18</definedName>
    <definedName name="uni" localSheetId="4">'[2]Entrada de datos'!$L$1:$L$3</definedName>
    <definedName name="uni" localSheetId="5">'[2]Entrada de datos'!$L$1:$L$3</definedName>
    <definedName name="uni" localSheetId="7">'[2]Entrada de datos'!$L$1:$L$3</definedName>
    <definedName name="uni">'[3]Entrada de datos'!$L$1:$L$3</definedName>
    <definedName name="unidad" localSheetId="6">[1]Calibración!$E$8</definedName>
    <definedName name="unidad">Calibración!$E$8</definedName>
    <definedName name="UnidadEscala">[4]Calibración!$C$15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4" i="2" l="1"/>
  <c r="AI17" i="9" l="1"/>
  <c r="AI16" i="9"/>
  <c r="AI15" i="9"/>
  <c r="AI14" i="9"/>
  <c r="AI13" i="9"/>
  <c r="AI12" i="9"/>
  <c r="AI11" i="9"/>
  <c r="AI10" i="9"/>
  <c r="AI9" i="9"/>
  <c r="AI8" i="9"/>
  <c r="AI7" i="9"/>
  <c r="AI6" i="9"/>
  <c r="AI5" i="9"/>
  <c r="AI4" i="9"/>
  <c r="AI3" i="9"/>
  <c r="A83" i="11" l="1"/>
  <c r="A102" i="14"/>
  <c r="F43" i="9" l="1"/>
  <c r="E16" i="9"/>
  <c r="N11" i="14" l="1"/>
  <c r="A89" i="11"/>
  <c r="A108" i="14"/>
  <c r="I114" i="14"/>
  <c r="W80" i="14"/>
  <c r="J79" i="14"/>
  <c r="R64" i="14"/>
  <c r="L64" i="14"/>
  <c r="F64" i="14"/>
  <c r="D64" i="14"/>
  <c r="N21" i="14"/>
  <c r="N19" i="14"/>
  <c r="N18" i="14"/>
  <c r="P17" i="14"/>
  <c r="N17" i="14"/>
  <c r="N16" i="14"/>
  <c r="N15" i="14"/>
  <c r="N14" i="14"/>
  <c r="N13" i="14"/>
  <c r="N12" i="14"/>
  <c r="N10" i="14"/>
  <c r="N9" i="14"/>
  <c r="N8" i="14"/>
  <c r="N77" i="14" s="1"/>
  <c r="E6" i="10"/>
  <c r="I4" i="10"/>
  <c r="R11" i="2"/>
  <c r="I17" i="2" s="1"/>
  <c r="Q11" i="2"/>
  <c r="I12" i="2" s="1"/>
  <c r="P11" i="2"/>
  <c r="I7" i="2" s="1"/>
  <c r="R10" i="2"/>
  <c r="I16" i="2" s="1"/>
  <c r="Q10" i="2"/>
  <c r="I11" i="2" s="1"/>
  <c r="P10" i="2"/>
  <c r="I6" i="2" s="1"/>
  <c r="E5" i="10"/>
  <c r="E4" i="10"/>
  <c r="I15" i="2"/>
  <c r="I14" i="2"/>
  <c r="G81" i="14" s="1"/>
  <c r="I10" i="2"/>
  <c r="I9" i="2"/>
  <c r="G80" i="14" s="1"/>
  <c r="I5" i="2"/>
  <c r="J59" i="11"/>
  <c r="E3" i="13"/>
  <c r="D3" i="13"/>
  <c r="C3" i="13"/>
  <c r="B3" i="13"/>
  <c r="W60" i="11"/>
  <c r="R41" i="11"/>
  <c r="L41" i="11"/>
  <c r="F41" i="11"/>
  <c r="D41" i="11"/>
  <c r="N21" i="11"/>
  <c r="N19" i="11"/>
  <c r="N18" i="11"/>
  <c r="P17" i="11"/>
  <c r="N17" i="11"/>
  <c r="N16" i="11"/>
  <c r="N15" i="11"/>
  <c r="N14" i="11"/>
  <c r="N13" i="11"/>
  <c r="N12" i="11"/>
  <c r="N10" i="11"/>
  <c r="N9" i="11"/>
  <c r="N8" i="11"/>
  <c r="N57" i="11" s="1"/>
  <c r="I95" i="11"/>
  <c r="E18" i="9"/>
  <c r="E36" i="9"/>
  <c r="E35" i="9"/>
  <c r="E34" i="9"/>
  <c r="E33" i="9"/>
  <c r="E31" i="9"/>
  <c r="E30" i="9"/>
  <c r="E29" i="9"/>
  <c r="E27" i="9"/>
  <c r="E17" i="9"/>
  <c r="AA35" i="10"/>
  <c r="I6" i="10"/>
  <c r="W15" i="10"/>
  <c r="D38" i="10" s="1"/>
  <c r="F28" i="14" s="1"/>
  <c r="W16" i="10"/>
  <c r="D39" i="10" s="1"/>
  <c r="F30" i="11" s="1"/>
  <c r="W17" i="10"/>
  <c r="W18" i="10"/>
  <c r="D41" i="10" s="1"/>
  <c r="W19" i="10"/>
  <c r="D42" i="10" s="1"/>
  <c r="F33" i="11" s="1"/>
  <c r="W20" i="10"/>
  <c r="D43" i="10" s="1"/>
  <c r="F34" i="11" s="1"/>
  <c r="W21" i="10"/>
  <c r="D44" i="10" s="1"/>
  <c r="F35" i="11" s="1"/>
  <c r="W22" i="10"/>
  <c r="D45" i="10" s="1"/>
  <c r="F35" i="14" s="1"/>
  <c r="W23" i="10"/>
  <c r="W24" i="10"/>
  <c r="D47" i="10" s="1"/>
  <c r="F37" i="14" s="1"/>
  <c r="W25" i="10"/>
  <c r="D48" i="10" s="1"/>
  <c r="W26" i="10"/>
  <c r="D49" i="10" s="1"/>
  <c r="W27" i="10"/>
  <c r="D50" i="10" s="1"/>
  <c r="W28" i="10"/>
  <c r="D51" i="10" s="1"/>
  <c r="W29" i="10"/>
  <c r="T16" i="10"/>
  <c r="T17" i="10"/>
  <c r="T18" i="10"/>
  <c r="T19" i="10"/>
  <c r="T20" i="10"/>
  <c r="T21" i="10"/>
  <c r="T22" i="10"/>
  <c r="T23" i="10"/>
  <c r="T24" i="10"/>
  <c r="U24" i="10" s="1"/>
  <c r="V24" i="10" s="1"/>
  <c r="T25" i="10"/>
  <c r="Y25" i="10" s="1"/>
  <c r="T26" i="10"/>
  <c r="Y26" i="10" s="1"/>
  <c r="T27" i="10"/>
  <c r="U27" i="10" s="1"/>
  <c r="V27" i="10" s="1"/>
  <c r="T28" i="10"/>
  <c r="Z28" i="10" s="1"/>
  <c r="T29" i="10"/>
  <c r="U29" i="10" s="1"/>
  <c r="V29" i="10" s="1"/>
  <c r="T15" i="10"/>
  <c r="T6" i="10"/>
  <c r="X6" i="10" s="1"/>
  <c r="T7" i="10"/>
  <c r="X7" i="10" s="1"/>
  <c r="T5" i="10"/>
  <c r="Y5" i="10" s="1"/>
  <c r="E19" i="9"/>
  <c r="K26" i="8"/>
  <c r="K31" i="8"/>
  <c r="K34" i="8"/>
  <c r="K35" i="8"/>
  <c r="K37" i="8"/>
  <c r="K38" i="8"/>
  <c r="K39" i="8"/>
  <c r="K51" i="8"/>
  <c r="K55" i="8"/>
  <c r="K57" i="8"/>
  <c r="E9" i="10"/>
  <c r="E8" i="10"/>
  <c r="E3" i="10"/>
  <c r="N20" i="14"/>
  <c r="F44" i="9"/>
  <c r="E11" i="9"/>
  <c r="E13" i="9"/>
  <c r="E9" i="9"/>
  <c r="E15" i="9"/>
  <c r="E12" i="9"/>
  <c r="U35" i="10"/>
  <c r="C61" i="8"/>
  <c r="C85" i="8" s="1"/>
  <c r="C44" i="8"/>
  <c r="C49" i="8" s="1"/>
  <c r="K49" i="8" s="1"/>
  <c r="C26" i="8"/>
  <c r="C41" i="8" s="1"/>
  <c r="K41" i="8" s="1"/>
  <c r="K44" i="8"/>
  <c r="K53" i="8"/>
  <c r="K46" i="8"/>
  <c r="K48" i="8"/>
  <c r="K50" i="8"/>
  <c r="K61" i="8"/>
  <c r="K33" i="8"/>
  <c r="K27" i="8"/>
  <c r="K36" i="8"/>
  <c r="K28" i="8"/>
  <c r="K29" i="8"/>
  <c r="K30" i="8"/>
  <c r="K32" i="8"/>
  <c r="P11" i="9"/>
  <c r="W6" i="10" l="1"/>
  <c r="C38" i="8"/>
  <c r="G61" i="11"/>
  <c r="Y6" i="10"/>
  <c r="AI47" i="10"/>
  <c r="AC5" i="9"/>
  <c r="O22" i="10"/>
  <c r="P22" i="10"/>
  <c r="N16" i="9" s="1"/>
  <c r="P23" i="10"/>
  <c r="O16" i="9" s="1"/>
  <c r="P16" i="10"/>
  <c r="H16" i="9" s="1"/>
  <c r="P24" i="10"/>
  <c r="P16" i="9" s="1"/>
  <c r="P34" i="9" s="1"/>
  <c r="P25" i="10"/>
  <c r="P18" i="10"/>
  <c r="J16" i="9" s="1"/>
  <c r="P26" i="10"/>
  <c r="P19" i="10"/>
  <c r="K16" i="9" s="1"/>
  <c r="P27" i="10"/>
  <c r="P20" i="10"/>
  <c r="L16" i="9" s="1"/>
  <c r="P21" i="10"/>
  <c r="M16" i="9" s="1"/>
  <c r="P29" i="10"/>
  <c r="P17" i="10"/>
  <c r="I16" i="9" s="1"/>
  <c r="P28" i="10"/>
  <c r="C64" i="8"/>
  <c r="K64" i="8" s="1"/>
  <c r="C73" i="8"/>
  <c r="K73" i="8" s="1"/>
  <c r="C74" i="8"/>
  <c r="K74" i="8" s="1"/>
  <c r="C75" i="8"/>
  <c r="C81" i="8"/>
  <c r="E7" i="10"/>
  <c r="C71" i="8"/>
  <c r="K71" i="8" s="1"/>
  <c r="C78" i="8"/>
  <c r="C68" i="8"/>
  <c r="K68" i="8" s="1"/>
  <c r="C84" i="8"/>
  <c r="C46" i="8"/>
  <c r="L11" i="10"/>
  <c r="C66" i="8"/>
  <c r="K66" i="8" s="1"/>
  <c r="C58" i="8"/>
  <c r="K58" i="8" s="1"/>
  <c r="H46" i="10"/>
  <c r="F73" i="14" s="1"/>
  <c r="C45" i="8"/>
  <c r="K45" i="8" s="1"/>
  <c r="C60" i="8"/>
  <c r="K60" i="8" s="1"/>
  <c r="E37" i="10"/>
  <c r="F37" i="10"/>
  <c r="R27" i="14" s="1"/>
  <c r="C29" i="8"/>
  <c r="C43" i="8"/>
  <c r="K43" i="8" s="1"/>
  <c r="C40" i="8"/>
  <c r="K40" i="8" s="1"/>
  <c r="C35" i="8"/>
  <c r="C67" i="8"/>
  <c r="K67" i="8" s="1"/>
  <c r="C69" i="8"/>
  <c r="K69" i="8" s="1"/>
  <c r="AI2" i="10"/>
  <c r="O19" i="10"/>
  <c r="C57" i="8"/>
  <c r="C53" i="8"/>
  <c r="C31" i="8"/>
  <c r="C63" i="8"/>
  <c r="K63" i="8" s="1"/>
  <c r="C48" i="8"/>
  <c r="C51" i="8"/>
  <c r="N20" i="11"/>
  <c r="O20" i="10"/>
  <c r="G50" i="10"/>
  <c r="H40" i="10"/>
  <c r="F44" i="11" s="1"/>
  <c r="C34" i="8"/>
  <c r="C39" i="8"/>
  <c r="W7" i="10"/>
  <c r="H41" i="10"/>
  <c r="F68" i="14" s="1"/>
  <c r="H43" i="10"/>
  <c r="F47" i="11" s="1"/>
  <c r="H47" i="10"/>
  <c r="F74" i="14" s="1"/>
  <c r="D46" i="10"/>
  <c r="F36" i="14" s="1"/>
  <c r="H38" i="10"/>
  <c r="F42" i="11" s="1"/>
  <c r="G60" i="11"/>
  <c r="Z25" i="10"/>
  <c r="F33" i="14"/>
  <c r="F32" i="11"/>
  <c r="F31" i="14"/>
  <c r="Y24" i="10"/>
  <c r="AF39" i="10" a="1"/>
  <c r="AJ39" i="10" s="1"/>
  <c r="G47" i="10"/>
  <c r="C47" i="10"/>
  <c r="D37" i="14" s="1"/>
  <c r="X24" i="10"/>
  <c r="I47" i="10" s="1"/>
  <c r="L74" i="14" s="1"/>
  <c r="F32" i="14"/>
  <c r="C54" i="8"/>
  <c r="K54" i="8" s="1"/>
  <c r="C37" i="10"/>
  <c r="AI14" i="10"/>
  <c r="AI58" i="10"/>
  <c r="O18" i="10"/>
  <c r="H42" i="10"/>
  <c r="H48" i="10"/>
  <c r="C32" i="8"/>
  <c r="C28" i="8"/>
  <c r="C33" i="8"/>
  <c r="D37" i="10"/>
  <c r="F27" i="14" s="1"/>
  <c r="AI25" i="10"/>
  <c r="AB33" i="10"/>
  <c r="O17" i="10"/>
  <c r="H45" i="10"/>
  <c r="F72" i="14" s="1"/>
  <c r="H51" i="10"/>
  <c r="H44" i="10"/>
  <c r="D40" i="10"/>
  <c r="F31" i="11" s="1"/>
  <c r="K37" i="10"/>
  <c r="O29" i="10"/>
  <c r="H50" i="10"/>
  <c r="X5" i="10"/>
  <c r="O23" i="10"/>
  <c r="Z24" i="10"/>
  <c r="C42" i="8"/>
  <c r="K42" i="8" s="1"/>
  <c r="C30" i="8"/>
  <c r="C36" i="8"/>
  <c r="C56" i="8"/>
  <c r="K56" i="8" s="1"/>
  <c r="C55" i="8"/>
  <c r="C11" i="10"/>
  <c r="S13" i="10"/>
  <c r="D8" i="10"/>
  <c r="V5" i="10" s="1"/>
  <c r="O15" i="10"/>
  <c r="H39" i="10"/>
  <c r="W5" i="10"/>
  <c r="W33" i="10"/>
  <c r="AI36" i="10"/>
  <c r="O28" i="10"/>
  <c r="H49" i="10"/>
  <c r="F29" i="14"/>
  <c r="F34" i="14"/>
  <c r="F29" i="11"/>
  <c r="Y29" i="10"/>
  <c r="Z29" i="10"/>
  <c r="P29" i="9"/>
  <c r="I13" i="2"/>
  <c r="P5" i="10"/>
  <c r="P4" i="10"/>
  <c r="I8" i="2"/>
  <c r="P6" i="10"/>
  <c r="I18" i="2"/>
  <c r="C52" i="10"/>
  <c r="G52" i="10"/>
  <c r="X29" i="10"/>
  <c r="C27" i="8"/>
  <c r="C37" i="8"/>
  <c r="U28" i="10"/>
  <c r="V28" i="10" s="1"/>
  <c r="Y28" i="10"/>
  <c r="C50" i="10"/>
  <c r="X27" i="10"/>
  <c r="D52" i="10"/>
  <c r="H52" i="10"/>
  <c r="C86" i="8"/>
  <c r="C62" i="8"/>
  <c r="K62" i="8" s="1"/>
  <c r="C77" i="8"/>
  <c r="C65" i="8"/>
  <c r="K65" i="8" s="1"/>
  <c r="C79" i="8"/>
  <c r="C70" i="8"/>
  <c r="K70" i="8" s="1"/>
  <c r="C83" i="8"/>
  <c r="C80" i="8"/>
  <c r="C76" i="8"/>
  <c r="C82" i="8"/>
  <c r="C72" i="8"/>
  <c r="K72" i="8" s="1"/>
  <c r="AF50" i="10" a="1"/>
  <c r="AF28" i="10" a="1"/>
  <c r="AF61" i="10" a="1"/>
  <c r="AF5" i="10" a="1"/>
  <c r="AF17" i="10" a="1"/>
  <c r="U26" i="10"/>
  <c r="V26" i="10" s="1"/>
  <c r="Z26" i="10"/>
  <c r="C52" i="8"/>
  <c r="K52" i="8" s="1"/>
  <c r="C50" i="8"/>
  <c r="C47" i="8"/>
  <c r="K47" i="8" s="1"/>
  <c r="C59" i="8"/>
  <c r="K59" i="8" s="1"/>
  <c r="O26" i="10"/>
  <c r="O16" i="10"/>
  <c r="O24" i="10"/>
  <c r="O21" i="10"/>
  <c r="Y7" i="10"/>
  <c r="Y27" i="10"/>
  <c r="Z27" i="10"/>
  <c r="U25" i="10"/>
  <c r="V25" i="10" s="1"/>
  <c r="O27" i="10"/>
  <c r="O25" i="10"/>
  <c r="P15" i="10"/>
  <c r="G16" i="9" s="1"/>
  <c r="P12" i="9"/>
  <c r="P10" i="9"/>
  <c r="J25" i="15" l="1"/>
  <c r="L25" i="15" s="1"/>
  <c r="D74" i="14"/>
  <c r="R28" i="11"/>
  <c r="AD3" i="9"/>
  <c r="AD6" i="9" s="1"/>
  <c r="P14" i="9" s="1"/>
  <c r="P32" i="9" s="1"/>
  <c r="Q16" i="10"/>
  <c r="G11" i="10"/>
  <c r="Q23" i="10"/>
  <c r="Q15" i="10"/>
  <c r="Q28" i="10"/>
  <c r="Q24" i="10"/>
  <c r="Q29" i="10"/>
  <c r="Q26" i="10"/>
  <c r="Q25" i="10"/>
  <c r="Q22" i="10"/>
  <c r="Q27" i="10"/>
  <c r="Q21" i="10"/>
  <c r="K11" i="10"/>
  <c r="Q20" i="10"/>
  <c r="Q18" i="10"/>
  <c r="Q19" i="10"/>
  <c r="Q17" i="10"/>
  <c r="P18" i="9"/>
  <c r="P36" i="9" s="1"/>
  <c r="F67" i="14"/>
  <c r="F28" i="11"/>
  <c r="L27" i="14"/>
  <c r="L28" i="11"/>
  <c r="F70" i="14"/>
  <c r="F45" i="11"/>
  <c r="F65" i="14"/>
  <c r="E47" i="10"/>
  <c r="L37" i="14" s="1"/>
  <c r="AO39" i="10"/>
  <c r="AM39" i="10"/>
  <c r="F30" i="14"/>
  <c r="X25" i="15"/>
  <c r="AA25" i="15" s="1"/>
  <c r="AE25" i="15"/>
  <c r="AG25" i="15" s="1"/>
  <c r="Q25" i="15"/>
  <c r="T25" i="15" s="1"/>
  <c r="AK39" i="10"/>
  <c r="AF39" i="10"/>
  <c r="AH39" i="10"/>
  <c r="AN39" i="10"/>
  <c r="AI39" i="10"/>
  <c r="AL39" i="10"/>
  <c r="AG39" i="10"/>
  <c r="P17" i="9"/>
  <c r="P35" i="9" s="1"/>
  <c r="P13" i="9"/>
  <c r="P31" i="9" s="1"/>
  <c r="P28" i="9"/>
  <c r="P9" i="9"/>
  <c r="P27" i="9" s="1"/>
  <c r="P15" i="9"/>
  <c r="P33" i="9" s="1"/>
  <c r="P30" i="9"/>
  <c r="U6" i="10"/>
  <c r="U7" i="10"/>
  <c r="V7" i="10"/>
  <c r="V6" i="10"/>
  <c r="D27" i="14"/>
  <c r="D28" i="11"/>
  <c r="F69" i="14"/>
  <c r="F46" i="11"/>
  <c r="U5" i="10"/>
  <c r="K47" i="10"/>
  <c r="P7" i="9"/>
  <c r="P25" i="9" s="1"/>
  <c r="F47" i="10"/>
  <c r="F43" i="11"/>
  <c r="F66" i="14"/>
  <c r="F48" i="11"/>
  <c r="F71" i="14"/>
  <c r="AI17" i="10"/>
  <c r="AG17" i="10"/>
  <c r="AO17" i="10"/>
  <c r="AL17" i="10"/>
  <c r="AM17" i="10"/>
  <c r="AK17" i="10"/>
  <c r="AF17" i="10"/>
  <c r="AN17" i="10"/>
  <c r="AJ17" i="10"/>
  <c r="AH17" i="10"/>
  <c r="AG50" i="10"/>
  <c r="AH50" i="10"/>
  <c r="AL50" i="10"/>
  <c r="AK50" i="10"/>
  <c r="AN50" i="10"/>
  <c r="AJ50" i="10"/>
  <c r="AF50" i="10"/>
  <c r="AM50" i="10"/>
  <c r="AO50" i="10"/>
  <c r="AI50" i="10"/>
  <c r="C51" i="10"/>
  <c r="X28" i="10"/>
  <c r="G51" i="10"/>
  <c r="AA45" i="10"/>
  <c r="AB39" i="10"/>
  <c r="Z45" i="10"/>
  <c r="AA39" i="10"/>
  <c r="AB46" i="10"/>
  <c r="AC42" i="10"/>
  <c r="AA51" i="10"/>
  <c r="AB43" i="10"/>
  <c r="AB45" i="10"/>
  <c r="AA50" i="10"/>
  <c r="AA44" i="10"/>
  <c r="AC47" i="10"/>
  <c r="AC37" i="10"/>
  <c r="AB50" i="10"/>
  <c r="AC41" i="10"/>
  <c r="Z51" i="10"/>
  <c r="V51" i="10"/>
  <c r="V40" i="10"/>
  <c r="W38" i="10"/>
  <c r="T39" i="10"/>
  <c r="W46" i="10"/>
  <c r="T47" i="10"/>
  <c r="T40" i="10"/>
  <c r="U43" i="10"/>
  <c r="W37" i="10"/>
  <c r="V47" i="10"/>
  <c r="U44" i="10"/>
  <c r="W47" i="10"/>
  <c r="W40" i="10"/>
  <c r="W43" i="10"/>
  <c r="Z41" i="10"/>
  <c r="Z44" i="10"/>
  <c r="AB40" i="10"/>
  <c r="Z49" i="10"/>
  <c r="AB47" i="10"/>
  <c r="AA40" i="10"/>
  <c r="AA38" i="10"/>
  <c r="Z48" i="10"/>
  <c r="AC51" i="10"/>
  <c r="AC39" i="10"/>
  <c r="AC40" i="10"/>
  <c r="AA41" i="10"/>
  <c r="AB51" i="10"/>
  <c r="AC46" i="10"/>
  <c r="T51" i="10"/>
  <c r="W44" i="10"/>
  <c r="AC49" i="10"/>
  <c r="Z43" i="10"/>
  <c r="T38" i="10"/>
  <c r="Z39" i="10"/>
  <c r="AB41" i="10"/>
  <c r="AA42" i="10"/>
  <c r="AB48" i="10"/>
  <c r="AB44" i="10"/>
  <c r="AA37" i="10"/>
  <c r="AA46" i="10"/>
  <c r="AC38" i="10"/>
  <c r="AB38" i="10"/>
  <c r="AC48" i="10"/>
  <c r="AC43" i="10"/>
  <c r="U51" i="10"/>
  <c r="V44" i="10"/>
  <c r="U48" i="10"/>
  <c r="V48" i="10"/>
  <c r="W41" i="10"/>
  <c r="T43" i="10"/>
  <c r="V41" i="10"/>
  <c r="T48" i="10"/>
  <c r="T42" i="10"/>
  <c r="U50" i="10"/>
  <c r="V45" i="10"/>
  <c r="U38" i="10"/>
  <c r="U49" i="10"/>
  <c r="T45" i="10"/>
  <c r="V43" i="10"/>
  <c r="Z46" i="10"/>
  <c r="AA48" i="10"/>
  <c r="Z40" i="10"/>
  <c r="AC45" i="10"/>
  <c r="V46" i="10"/>
  <c r="W45" i="10"/>
  <c r="T46" i="10"/>
  <c r="W42" i="10"/>
  <c r="U40" i="10"/>
  <c r="W48" i="10"/>
  <c r="T49" i="10"/>
  <c r="AA43" i="10"/>
  <c r="AB37" i="10"/>
  <c r="AB42" i="10"/>
  <c r="W51" i="10"/>
  <c r="U37" i="10"/>
  <c r="V39" i="10"/>
  <c r="T44" i="10"/>
  <c r="U41" i="10"/>
  <c r="W39" i="10"/>
  <c r="U45" i="10"/>
  <c r="AA47" i="10"/>
  <c r="AB49" i="10"/>
  <c r="Z47" i="10"/>
  <c r="W50" i="10"/>
  <c r="V42" i="10"/>
  <c r="V50" i="10"/>
  <c r="Z37" i="10"/>
  <c r="V38" i="10"/>
  <c r="T37" i="10"/>
  <c r="Z38" i="10"/>
  <c r="V49" i="10"/>
  <c r="U39" i="10"/>
  <c r="U46" i="10"/>
  <c r="AC50" i="10"/>
  <c r="T50" i="10"/>
  <c r="W49" i="10"/>
  <c r="V37" i="10"/>
  <c r="AC44" i="10"/>
  <c r="U42" i="10"/>
  <c r="T41" i="10"/>
  <c r="U47" i="10"/>
  <c r="E52" i="10"/>
  <c r="I52" i="10"/>
  <c r="C49" i="10"/>
  <c r="G49" i="10"/>
  <c r="X26" i="10"/>
  <c r="AF5" i="10"/>
  <c r="AK5" i="10"/>
  <c r="AN5" i="10"/>
  <c r="AL5" i="10"/>
  <c r="AM5" i="10"/>
  <c r="AI5" i="10"/>
  <c r="AG5" i="10"/>
  <c r="AH5" i="10"/>
  <c r="AO5" i="10"/>
  <c r="AJ5" i="10"/>
  <c r="Z50" i="10"/>
  <c r="T60" i="11"/>
  <c r="T80" i="14"/>
  <c r="P3" i="10"/>
  <c r="P7" i="10" s="1"/>
  <c r="BA7" i="10"/>
  <c r="AI61" i="10"/>
  <c r="AH61" i="10"/>
  <c r="AF61" i="10"/>
  <c r="AL61" i="10"/>
  <c r="AO61" i="10"/>
  <c r="AM61" i="10"/>
  <c r="AK61" i="10"/>
  <c r="AG61" i="10"/>
  <c r="AJ61" i="10"/>
  <c r="AN61" i="10"/>
  <c r="E50" i="10"/>
  <c r="I50" i="10"/>
  <c r="Z42" i="10"/>
  <c r="K52" i="10"/>
  <c r="F52" i="10"/>
  <c r="J52" i="10" s="1"/>
  <c r="E61" i="11"/>
  <c r="E81" i="14"/>
  <c r="C48" i="10"/>
  <c r="G48" i="10"/>
  <c r="X25" i="10"/>
  <c r="AM28" i="10"/>
  <c r="AF28" i="10"/>
  <c r="AI28" i="10"/>
  <c r="AG28" i="10"/>
  <c r="AN28" i="10"/>
  <c r="AJ28" i="10"/>
  <c r="AO28" i="10"/>
  <c r="AL28" i="10"/>
  <c r="AK28" i="10"/>
  <c r="AH28" i="10"/>
  <c r="K50" i="10"/>
  <c r="F50" i="10"/>
  <c r="J50" i="10" s="1"/>
  <c r="AA49" i="10"/>
  <c r="AB20" i="10"/>
  <c r="AB28" i="10"/>
  <c r="AB15" i="10"/>
  <c r="AA16" i="10"/>
  <c r="AA18" i="10"/>
  <c r="AA19" i="10"/>
  <c r="AA27" i="10"/>
  <c r="E60" i="11"/>
  <c r="AB24" i="10"/>
  <c r="AB17" i="10"/>
  <c r="AB23" i="10"/>
  <c r="AA29" i="10"/>
  <c r="AA15" i="10"/>
  <c r="AA24" i="10"/>
  <c r="AB22" i="10"/>
  <c r="AB18" i="10"/>
  <c r="AB26" i="10"/>
  <c r="AA23" i="10"/>
  <c r="AA21" i="10"/>
  <c r="E80" i="14"/>
  <c r="AB19" i="10"/>
  <c r="AA25" i="10"/>
  <c r="AA28" i="10"/>
  <c r="AB29" i="10"/>
  <c r="AA26" i="10"/>
  <c r="AA22" i="10"/>
  <c r="AB16" i="10"/>
  <c r="AB25" i="10"/>
  <c r="AA20" i="10"/>
  <c r="AB27" i="10"/>
  <c r="AB21" i="10"/>
  <c r="AA17" i="10"/>
  <c r="M25" i="15" l="1"/>
  <c r="J47" i="10"/>
  <c r="R74" i="14" s="1"/>
  <c r="R37" i="14"/>
  <c r="Z25" i="15"/>
  <c r="AH25" i="15"/>
  <c r="P45" i="9"/>
  <c r="P47" i="9" s="1"/>
  <c r="S25" i="15"/>
  <c r="P19" i="9"/>
  <c r="F55" i="9" s="1"/>
  <c r="Y25" i="15"/>
  <c r="K25" i="15"/>
  <c r="R25" i="15"/>
  <c r="K48" i="10"/>
  <c r="F48" i="10"/>
  <c r="J48" i="10" s="1"/>
  <c r="P37" i="9"/>
  <c r="W53" i="10" a="1"/>
  <c r="W53" i="10" s="1"/>
  <c r="U53" i="10" a="1"/>
  <c r="U53" i="10" s="1"/>
  <c r="V53" i="10" a="1"/>
  <c r="V53" i="10" s="1"/>
  <c r="V52" i="10"/>
  <c r="AN20" i="10" s="1"/>
  <c r="AB52" i="10"/>
  <c r="AG54" i="10" s="1"/>
  <c r="AA53" i="10" a="1"/>
  <c r="AA53" i="10" s="1"/>
  <c r="E49" i="10"/>
  <c r="I49" i="10"/>
  <c r="E48" i="10"/>
  <c r="I48" i="10"/>
  <c r="K49" i="10"/>
  <c r="F49" i="10"/>
  <c r="J49" i="10" s="1"/>
  <c r="AC53" i="10" a="1"/>
  <c r="AC53" i="10" s="1"/>
  <c r="AB53" i="10" a="1"/>
  <c r="AB53" i="10" s="1"/>
  <c r="E51" i="10"/>
  <c r="I51" i="10"/>
  <c r="K51" i="10"/>
  <c r="F51" i="10"/>
  <c r="J51" i="10" s="1"/>
  <c r="AF25" i="15" l="1"/>
  <c r="AI19" i="10"/>
  <c r="AH19" i="10"/>
  <c r="AL30" i="10"/>
  <c r="AK7" i="10"/>
  <c r="AO18" i="10"/>
  <c r="AK9" i="10"/>
  <c r="AO65" i="10"/>
  <c r="AM9" i="10"/>
  <c r="AI20" i="10"/>
  <c r="AH20" i="10"/>
  <c r="AJ62" i="10"/>
  <c r="AK63" i="10"/>
  <c r="AJ7" i="10"/>
  <c r="AL31" i="10"/>
  <c r="AO8" i="10"/>
  <c r="AF18" i="10"/>
  <c r="AN30" i="10"/>
  <c r="AM18" i="10"/>
  <c r="AL51" i="10"/>
  <c r="AG20" i="10"/>
  <c r="AK54" i="10"/>
  <c r="AK6" i="10"/>
  <c r="AK21" i="10" s="1"/>
  <c r="AI62" i="10"/>
  <c r="AF8" i="10"/>
  <c r="AL65" i="10"/>
  <c r="AF20" i="10"/>
  <c r="AG7" i="10"/>
  <c r="AN31" i="10"/>
  <c r="AL52" i="10"/>
  <c r="AM51" i="10"/>
  <c r="AJ8" i="10"/>
  <c r="AK62" i="10"/>
  <c r="AO19" i="10"/>
  <c r="AM31" i="10"/>
  <c r="AL53" i="10"/>
  <c r="AJ9" i="10"/>
  <c r="AM30" i="10"/>
  <c r="AI6" i="10"/>
  <c r="AI21" i="10" s="1"/>
  <c r="AO63" i="10"/>
  <c r="AG31" i="10"/>
  <c r="AF6" i="10"/>
  <c r="AF21" i="10" s="1"/>
  <c r="AL64" i="10"/>
  <c r="AN54" i="10"/>
  <c r="AG6" i="10"/>
  <c r="AG21" i="10" s="1"/>
  <c r="AN32" i="10"/>
  <c r="AM53" i="10"/>
  <c r="AL32" i="10"/>
  <c r="AM8" i="10"/>
  <c r="AM19" i="10"/>
  <c r="AL54" i="10"/>
  <c r="AG18" i="10"/>
  <c r="AH18" i="10"/>
  <c r="AK8" i="10"/>
  <c r="AJ65" i="10"/>
  <c r="AK65" i="10"/>
  <c r="AN8" i="10"/>
  <c r="AL29" i="10"/>
  <c r="AK64" i="10"/>
  <c r="AO7" i="10"/>
  <c r="AF19" i="10"/>
  <c r="AN6" i="10"/>
  <c r="AN21" i="10" s="1"/>
  <c r="AN29" i="10"/>
  <c r="AM20" i="10"/>
  <c r="AF54" i="10"/>
  <c r="AG19" i="10"/>
  <c r="AK53" i="10"/>
  <c r="AI8" i="10"/>
  <c r="AO62" i="10"/>
  <c r="AG29" i="10"/>
  <c r="AF64" i="10"/>
  <c r="AM6" i="10"/>
  <c r="AM21" i="10" s="1"/>
  <c r="AG64" i="10"/>
  <c r="AN51" i="10"/>
  <c r="AG9" i="10"/>
  <c r="AK32" i="10"/>
  <c r="AI9" i="10"/>
  <c r="AI64" i="10"/>
  <c r="AJ19" i="10"/>
  <c r="AF52" i="10"/>
  <c r="AK19" i="10"/>
  <c r="AK51" i="10"/>
  <c r="AJ20" i="10"/>
  <c r="AF51" i="10"/>
  <c r="AK20" i="10"/>
  <c r="AM54" i="10"/>
  <c r="AI18" i="10"/>
  <c r="AJ18" i="10"/>
  <c r="AF53" i="10"/>
  <c r="AK18" i="10"/>
  <c r="AM52" i="10"/>
  <c r="AJ6" i="10"/>
  <c r="AJ21" i="10" s="1"/>
  <c r="AO64" i="10"/>
  <c r="AG30" i="10"/>
  <c r="AF62" i="10"/>
  <c r="AM7" i="10"/>
  <c r="AO20" i="10"/>
  <c r="AO52" i="10"/>
  <c r="AG8" i="10"/>
  <c r="AK31" i="10"/>
  <c r="F65" i="9"/>
  <c r="G65" i="9" s="1"/>
  <c r="AL62" i="10"/>
  <c r="AO54" i="10"/>
  <c r="AI63" i="10"/>
  <c r="AJ63" i="10"/>
  <c r="AF65" i="10"/>
  <c r="AF9" i="10"/>
  <c r="AO6" i="10"/>
  <c r="AO21" i="10" s="1"/>
  <c r="AG65" i="10"/>
  <c r="AG53" i="10"/>
  <c r="AN7" i="10"/>
  <c r="AM32" i="10"/>
  <c r="AK30" i="10"/>
  <c r="AL8" i="10"/>
  <c r="AK52" i="10"/>
  <c r="AI7" i="10"/>
  <c r="AI65" i="10"/>
  <c r="AJ64" i="10"/>
  <c r="AG32" i="10"/>
  <c r="AF63" i="10"/>
  <c r="AF7" i="10"/>
  <c r="AO9" i="10"/>
  <c r="AG62" i="10"/>
  <c r="AN9" i="10"/>
  <c r="AM29" i="10"/>
  <c r="AK29" i="10"/>
  <c r="AH9" i="10"/>
  <c r="AJ41" i="10"/>
  <c r="AJ40" i="10"/>
  <c r="AJ43" i="10"/>
  <c r="AH40" i="10"/>
  <c r="AN43" i="10"/>
  <c r="AF43" i="10"/>
  <c r="AI43" i="10"/>
  <c r="AO41" i="10"/>
  <c r="AK40" i="10"/>
  <c r="AN41" i="10"/>
  <c r="AF40" i="10"/>
  <c r="AI41" i="10"/>
  <c r="AL40" i="10"/>
  <c r="AM41" i="10"/>
  <c r="AM43" i="10"/>
  <c r="AK43" i="10"/>
  <c r="AM40" i="10"/>
  <c r="AO40" i="10"/>
  <c r="AH41" i="10"/>
  <c r="AG41" i="10"/>
  <c r="AO43" i="10"/>
  <c r="AH43" i="10"/>
  <c r="AK41" i="10"/>
  <c r="AN40" i="10"/>
  <c r="AF41" i="10"/>
  <c r="AI40" i="10"/>
  <c r="AL43" i="10"/>
  <c r="AG43" i="10"/>
  <c r="AL41" i="10"/>
  <c r="AG40" i="10"/>
  <c r="AH64" i="10"/>
  <c r="AM64" i="10"/>
  <c r="AN65" i="10"/>
  <c r="AL7" i="10"/>
  <c r="AH6" i="10"/>
  <c r="AH21" i="10" s="1"/>
  <c r="AF31" i="10"/>
  <c r="AJ30" i="10"/>
  <c r="AH31" i="10"/>
  <c r="AI30" i="10"/>
  <c r="AO30" i="10"/>
  <c r="AL18" i="10"/>
  <c r="AH52" i="10"/>
  <c r="AJ52" i="10"/>
  <c r="AI51" i="10"/>
  <c r="AG52" i="10"/>
  <c r="AN53" i="10"/>
  <c r="AO53" i="10"/>
  <c r="AH63" i="10"/>
  <c r="AM62" i="10"/>
  <c r="AN64" i="10"/>
  <c r="AL6" i="10"/>
  <c r="AL21" i="10" s="1"/>
  <c r="AH8" i="10"/>
  <c r="AF30" i="10"/>
  <c r="AJ29" i="10"/>
  <c r="AH29" i="10"/>
  <c r="AI29" i="10"/>
  <c r="AO31" i="10"/>
  <c r="AH54" i="10"/>
  <c r="AJ53" i="10"/>
  <c r="AI52" i="10"/>
  <c r="AL63" i="10"/>
  <c r="AG63" i="10"/>
  <c r="AG51" i="10"/>
  <c r="AN52" i="10"/>
  <c r="AO51" i="10"/>
  <c r="AH62" i="10"/>
  <c r="AM65" i="10"/>
  <c r="AN62" i="10"/>
  <c r="AJ42" i="10"/>
  <c r="AH42" i="10"/>
  <c r="AG42" i="10"/>
  <c r="AK42" i="10"/>
  <c r="AN42" i="10"/>
  <c r="AF42" i="10"/>
  <c r="AI42" i="10"/>
  <c r="AL42" i="10"/>
  <c r="AM42" i="10"/>
  <c r="AO42" i="10"/>
  <c r="AL9" i="10"/>
  <c r="AH7" i="10"/>
  <c r="AF32" i="10"/>
  <c r="AJ31" i="10"/>
  <c r="AH30" i="10"/>
  <c r="AI31" i="10"/>
  <c r="AO29" i="10"/>
  <c r="AL19" i="10"/>
  <c r="AN18" i="10"/>
  <c r="AH51" i="10"/>
  <c r="AJ51" i="10"/>
  <c r="AI53" i="10"/>
  <c r="AH65" i="10"/>
  <c r="AM63" i="10"/>
  <c r="AN63" i="10"/>
  <c r="AF29" i="10"/>
  <c r="AJ32" i="10"/>
  <c r="AH32" i="10"/>
  <c r="AI32" i="10"/>
  <c r="AO32" i="10"/>
  <c r="AL20" i="10"/>
  <c r="AN19" i="10"/>
  <c r="AH53" i="10"/>
  <c r="AJ54" i="10"/>
  <c r="AI54" i="10"/>
  <c r="AH22" i="10" l="1"/>
  <c r="AG11" i="10"/>
  <c r="AL55" i="10"/>
  <c r="AK11" i="10"/>
  <c r="AO66" i="10"/>
  <c r="AM22" i="10"/>
  <c r="AI22" i="10"/>
  <c r="AG22" i="10"/>
  <c r="AK55" i="10"/>
  <c r="AK22" i="10"/>
  <c r="AJ11" i="10"/>
  <c r="AN33" i="10"/>
  <c r="AF55" i="10"/>
  <c r="AK66" i="10"/>
  <c r="AF22" i="10"/>
  <c r="AJ22" i="10"/>
  <c r="AM55" i="10"/>
  <c r="AL33" i="10"/>
  <c r="AM11" i="10"/>
  <c r="AI11" i="10"/>
  <c r="AG33" i="10"/>
  <c r="AO22" i="10"/>
  <c r="AM33" i="10"/>
  <c r="AI66" i="10"/>
  <c r="AK33" i="10"/>
  <c r="AJ66" i="10"/>
  <c r="AN11" i="10"/>
  <c r="AL66" i="10"/>
  <c r="AG66" i="10"/>
  <c r="AF66" i="10"/>
  <c r="AF11" i="10"/>
  <c r="AN55" i="10"/>
  <c r="AO11" i="10"/>
  <c r="AN66" i="10"/>
  <c r="AN22" i="10"/>
  <c r="AM66" i="10"/>
  <c r="AO55" i="10"/>
  <c r="AH11" i="10"/>
  <c r="AL22" i="10"/>
  <c r="AJ55" i="10"/>
  <c r="Y19" i="10" s="1"/>
  <c r="AI33" i="10"/>
  <c r="AG44" i="10"/>
  <c r="AI44" i="10"/>
  <c r="AO44" i="10"/>
  <c r="AH66" i="10"/>
  <c r="AH55" i="10"/>
  <c r="AL11" i="10"/>
  <c r="AK44" i="10"/>
  <c r="AH44" i="10"/>
  <c r="AF33" i="10"/>
  <c r="AG55" i="10"/>
  <c r="AJ33" i="10"/>
  <c r="AM44" i="10"/>
  <c r="AN44" i="10"/>
  <c r="AH33" i="10"/>
  <c r="AI55" i="10"/>
  <c r="AO33" i="10"/>
  <c r="AL44" i="10"/>
  <c r="AF44" i="10"/>
  <c r="AJ44" i="10"/>
  <c r="K10" i="9"/>
  <c r="U16" i="10" l="1"/>
  <c r="V16" i="10" s="1"/>
  <c r="Y3" i="9"/>
  <c r="Y6" i="9" s="1"/>
  <c r="K14" i="9" s="1"/>
  <c r="Y18" i="10"/>
  <c r="K18" i="9"/>
  <c r="Y22" i="10"/>
  <c r="Y17" i="10"/>
  <c r="U19" i="10"/>
  <c r="V19" i="10" s="1"/>
  <c r="U20" i="10"/>
  <c r="V20" i="10" s="1"/>
  <c r="Y21" i="10"/>
  <c r="U22" i="10"/>
  <c r="V22" i="10" s="1"/>
  <c r="Z21" i="10"/>
  <c r="Y16" i="10"/>
  <c r="Z23" i="10"/>
  <c r="Y20" i="10"/>
  <c r="Z20" i="10"/>
  <c r="Y15" i="10"/>
  <c r="Z16" i="10"/>
  <c r="U18" i="10"/>
  <c r="V18" i="10" s="1"/>
  <c r="U23" i="10"/>
  <c r="V23" i="10" s="1"/>
  <c r="Z18" i="10"/>
  <c r="Z22" i="10"/>
  <c r="Z19" i="10"/>
  <c r="U15" i="10"/>
  <c r="Z17" i="10"/>
  <c r="Z15" i="10"/>
  <c r="Y23" i="10"/>
  <c r="U17" i="10"/>
  <c r="V17" i="10" s="1"/>
  <c r="U21" i="10"/>
  <c r="V21" i="10" s="1"/>
  <c r="K9" i="9"/>
  <c r="K15" i="9"/>
  <c r="K13" i="9"/>
  <c r="K17" i="9"/>
  <c r="H12" i="9"/>
  <c r="I11" i="9"/>
  <c r="M12" i="9"/>
  <c r="J12" i="9"/>
  <c r="L10" i="9"/>
  <c r="N11" i="9"/>
  <c r="G11" i="9"/>
  <c r="L11" i="9"/>
  <c r="N10" i="9"/>
  <c r="G12" i="9"/>
  <c r="M11" i="9"/>
  <c r="G10" i="9"/>
  <c r="K11" i="9"/>
  <c r="O11" i="9"/>
  <c r="H11" i="9"/>
  <c r="O12" i="9"/>
  <c r="J11" i="9"/>
  <c r="J10" i="9"/>
  <c r="H10" i="9"/>
  <c r="O10" i="9"/>
  <c r="L12" i="9"/>
  <c r="M10" i="9"/>
  <c r="I12" i="9"/>
  <c r="K12" i="9"/>
  <c r="I10" i="9"/>
  <c r="N12" i="9"/>
  <c r="V3" i="9" l="1"/>
  <c r="V6" i="9" s="1"/>
  <c r="H14" i="9" s="1"/>
  <c r="AB3" i="9"/>
  <c r="AB6" i="9" s="1"/>
  <c r="N14" i="9" s="1"/>
  <c r="AC3" i="9"/>
  <c r="AC6" i="9" s="1"/>
  <c r="O14" i="9" s="1"/>
  <c r="Z3" i="9"/>
  <c r="Z6" i="9" s="1"/>
  <c r="L14" i="9" s="1"/>
  <c r="W3" i="9"/>
  <c r="W6" i="9" s="1"/>
  <c r="I14" i="9" s="1"/>
  <c r="AA3" i="9"/>
  <c r="AA6" i="9" s="1"/>
  <c r="M14" i="9" s="1"/>
  <c r="X3" i="9"/>
  <c r="X6" i="9" s="1"/>
  <c r="J14" i="9" s="1"/>
  <c r="U3" i="9"/>
  <c r="U6" i="9" s="1"/>
  <c r="G14" i="9" s="1"/>
  <c r="J18" i="9"/>
  <c r="J17" i="9"/>
  <c r="J15" i="9"/>
  <c r="J9" i="9"/>
  <c r="J13" i="9"/>
  <c r="H18" i="9"/>
  <c r="I18" i="9"/>
  <c r="N18" i="9"/>
  <c r="O18" i="9"/>
  <c r="L18" i="9"/>
  <c r="M18" i="9"/>
  <c r="G18" i="9"/>
  <c r="N17" i="9"/>
  <c r="N45" i="9" s="1"/>
  <c r="N47" i="9" s="1"/>
  <c r="N15" i="9"/>
  <c r="N13" i="9"/>
  <c r="N9" i="9"/>
  <c r="I15" i="9"/>
  <c r="I9" i="9"/>
  <c r="I17" i="9"/>
  <c r="I45" i="9" s="1"/>
  <c r="I47" i="9" s="1"/>
  <c r="I13" i="9"/>
  <c r="M13" i="9"/>
  <c r="M9" i="9"/>
  <c r="M17" i="9"/>
  <c r="M45" i="9" s="1"/>
  <c r="M47" i="9" s="1"/>
  <c r="M15" i="9"/>
  <c r="L13" i="9"/>
  <c r="L15" i="9"/>
  <c r="L17" i="9"/>
  <c r="L45" i="9" s="1"/>
  <c r="L47" i="9" s="1"/>
  <c r="L9" i="9"/>
  <c r="H17" i="9"/>
  <c r="H45" i="9" s="1"/>
  <c r="H47" i="9" s="1"/>
  <c r="H13" i="9"/>
  <c r="H15" i="9"/>
  <c r="H9" i="9"/>
  <c r="G13" i="9"/>
  <c r="G17" i="9"/>
  <c r="G45" i="9" s="1"/>
  <c r="G47" i="9" s="1"/>
  <c r="G15" i="9"/>
  <c r="G9" i="9"/>
  <c r="V15" i="10"/>
  <c r="C38" i="10" s="1"/>
  <c r="O9" i="9"/>
  <c r="O15" i="9"/>
  <c r="O17" i="9"/>
  <c r="O45" i="9" s="1"/>
  <c r="O47" i="9" s="1"/>
  <c r="O13" i="9"/>
  <c r="K29" i="9" a="1"/>
  <c r="K29" i="9" s="1"/>
  <c r="K31" i="9" a="1"/>
  <c r="K31" i="9" s="1"/>
  <c r="K30" i="9" a="1"/>
  <c r="K30" i="9" s="1"/>
  <c r="G39" i="10"/>
  <c r="C39" i="10"/>
  <c r="X16" i="10"/>
  <c r="C46" i="10"/>
  <c r="D36" i="14" s="1"/>
  <c r="X23" i="10"/>
  <c r="G46" i="10"/>
  <c r="D73" i="14" s="1"/>
  <c r="G42" i="10"/>
  <c r="C42" i="10"/>
  <c r="X19" i="10"/>
  <c r="K45" i="9"/>
  <c r="K47" i="9" s="1"/>
  <c r="K35" i="9" a="1"/>
  <c r="K35" i="9" s="1"/>
  <c r="K36" i="9" a="1"/>
  <c r="K36" i="9" s="1"/>
  <c r="G44" i="10"/>
  <c r="X21" i="10"/>
  <c r="C44" i="10"/>
  <c r="K32" i="9" a="1"/>
  <c r="K32" i="9" s="1"/>
  <c r="X17" i="10"/>
  <c r="G40" i="10"/>
  <c r="C40" i="10"/>
  <c r="G43" i="10"/>
  <c r="X20" i="10"/>
  <c r="C43" i="10"/>
  <c r="K28" i="9" a="1"/>
  <c r="K28" i="9" s="1"/>
  <c r="K27" i="9" a="1"/>
  <c r="K27" i="9" s="1"/>
  <c r="K19" i="9"/>
  <c r="F50" i="9" s="1"/>
  <c r="K34" i="9" a="1"/>
  <c r="K34" i="9" s="1"/>
  <c r="C45" i="10"/>
  <c r="D35" i="14" s="1"/>
  <c r="X22" i="10"/>
  <c r="G45" i="10"/>
  <c r="D72" i="14" s="1"/>
  <c r="G41" i="10"/>
  <c r="C41" i="10"/>
  <c r="X18" i="10"/>
  <c r="K33" i="9" a="1"/>
  <c r="K33" i="9" s="1"/>
  <c r="J27" i="9" l="1" a="1"/>
  <c r="J27" i="9" s="1"/>
  <c r="J34" i="9" a="1"/>
  <c r="J34" i="9" s="1"/>
  <c r="J35" i="9" a="1"/>
  <c r="J35" i="9" s="1"/>
  <c r="J29" i="9" a="1"/>
  <c r="J29" i="9" s="1"/>
  <c r="J36" i="9" a="1"/>
  <c r="J36" i="9" s="1"/>
  <c r="J28" i="9" a="1"/>
  <c r="J28" i="9" s="1"/>
  <c r="J31" i="9" a="1"/>
  <c r="J31" i="9" s="1"/>
  <c r="J19" i="9"/>
  <c r="F49" i="9" s="1"/>
  <c r="J45" i="9"/>
  <c r="J47" i="9" s="1"/>
  <c r="J32" i="9" a="1"/>
  <c r="J32" i="9" s="1"/>
  <c r="J30" i="9" a="1"/>
  <c r="J30" i="9" s="1"/>
  <c r="J33" i="9" a="1"/>
  <c r="J33" i="9" s="1"/>
  <c r="N33" i="9" a="1"/>
  <c r="N33" i="9" s="1"/>
  <c r="N28" i="9" a="1"/>
  <c r="N28" i="9" s="1"/>
  <c r="N34" i="9" a="1"/>
  <c r="N34" i="9" s="1"/>
  <c r="I33" i="9" a="1"/>
  <c r="I33" i="9" s="1"/>
  <c r="N29" i="9" a="1"/>
  <c r="N29" i="9" s="1"/>
  <c r="I36" i="9" a="1"/>
  <c r="I36" i="9" s="1"/>
  <c r="I31" i="9" a="1"/>
  <c r="I31" i="9" s="1"/>
  <c r="N27" i="9" a="1"/>
  <c r="N27" i="9" s="1"/>
  <c r="N32" i="9" a="1"/>
  <c r="N32" i="9" s="1"/>
  <c r="I28" i="9" a="1"/>
  <c r="I28" i="9" s="1"/>
  <c r="N31" i="9" a="1"/>
  <c r="N31" i="9" s="1"/>
  <c r="N36" i="9" a="1"/>
  <c r="N36" i="9" s="1"/>
  <c r="N19" i="9"/>
  <c r="F53" i="9" s="1"/>
  <c r="F63" i="9" s="1"/>
  <c r="G63" i="9" s="1"/>
  <c r="N30" i="9" a="1"/>
  <c r="N30" i="9" s="1"/>
  <c r="I30" i="9" a="1"/>
  <c r="I30" i="9" s="1"/>
  <c r="I34" i="9" a="1"/>
  <c r="I34" i="9" s="1"/>
  <c r="I19" i="9"/>
  <c r="F48" i="9" s="1"/>
  <c r="F58" i="9" s="1"/>
  <c r="G58" i="9" s="1"/>
  <c r="I27" i="9" a="1"/>
  <c r="I27" i="9" s="1"/>
  <c r="I35" i="9" a="1"/>
  <c r="I35" i="9" s="1"/>
  <c r="I32" i="9" a="1"/>
  <c r="I32" i="9" s="1"/>
  <c r="I29" i="9" a="1"/>
  <c r="I29" i="9" s="1"/>
  <c r="N35" i="9" a="1"/>
  <c r="N35" i="9" s="1"/>
  <c r="M28" i="9" a="1"/>
  <c r="M28" i="9" s="1"/>
  <c r="M31" i="9" a="1"/>
  <c r="M31" i="9" s="1"/>
  <c r="M32" i="9" a="1"/>
  <c r="M32" i="9" s="1"/>
  <c r="M30" i="9" a="1"/>
  <c r="M30" i="9" s="1"/>
  <c r="M27" i="9" a="1"/>
  <c r="M27" i="9" s="1"/>
  <c r="M35" i="9" a="1"/>
  <c r="M35" i="9" s="1"/>
  <c r="M19" i="9"/>
  <c r="F52" i="9" s="1"/>
  <c r="F62" i="9" s="1"/>
  <c r="G62" i="9" s="1"/>
  <c r="M36" i="9" a="1"/>
  <c r="M36" i="9" s="1"/>
  <c r="M29" i="9" a="1"/>
  <c r="M29" i="9" s="1"/>
  <c r="M33" i="9" a="1"/>
  <c r="M33" i="9" s="1"/>
  <c r="M34" i="9" a="1"/>
  <c r="M34" i="9" s="1"/>
  <c r="G38" i="10"/>
  <c r="X16" i="15" s="1"/>
  <c r="L27" i="9" a="1"/>
  <c r="L27" i="9" s="1"/>
  <c r="L31" i="9" a="1"/>
  <c r="L31" i="9" s="1"/>
  <c r="G29" i="9" a="1"/>
  <c r="G29" i="9" s="1"/>
  <c r="H34" i="9" a="1"/>
  <c r="H34" i="9" s="1"/>
  <c r="H33" i="9" a="1"/>
  <c r="H33" i="9" s="1"/>
  <c r="H27" i="9" a="1"/>
  <c r="H27" i="9" s="1"/>
  <c r="L28" i="9" a="1"/>
  <c r="L28" i="9" s="1"/>
  <c r="G30" i="9" a="1"/>
  <c r="G30" i="9" s="1"/>
  <c r="H32" i="9" a="1"/>
  <c r="H32" i="9" s="1"/>
  <c r="H28" i="9" a="1"/>
  <c r="H28" i="9" s="1"/>
  <c r="L29" i="9" a="1"/>
  <c r="L29" i="9" s="1"/>
  <c r="L33" i="9" a="1"/>
  <c r="L33" i="9" s="1"/>
  <c r="H29" i="9" a="1"/>
  <c r="H29" i="9" s="1"/>
  <c r="G36" i="9" a="1"/>
  <c r="G36" i="9" s="1"/>
  <c r="L32" i="9" a="1"/>
  <c r="L32" i="9" s="1"/>
  <c r="H36" i="9" a="1"/>
  <c r="H36" i="9" s="1"/>
  <c r="H31" i="9" a="1"/>
  <c r="H31" i="9" s="1"/>
  <c r="G32" i="9" a="1"/>
  <c r="G32" i="9" s="1"/>
  <c r="L30" i="9" a="1"/>
  <c r="L30" i="9" s="1"/>
  <c r="H35" i="9" a="1"/>
  <c r="H35" i="9" s="1"/>
  <c r="L35" i="9" a="1"/>
  <c r="L35" i="9" s="1"/>
  <c r="L34" i="9" a="1"/>
  <c r="L34" i="9" s="1"/>
  <c r="H30" i="9" a="1"/>
  <c r="H30" i="9" s="1"/>
  <c r="G33" i="9" a="1"/>
  <c r="G33" i="9" s="1"/>
  <c r="L36" i="9" a="1"/>
  <c r="L36" i="9" s="1"/>
  <c r="L19" i="9"/>
  <c r="F51" i="9" s="1"/>
  <c r="F61" i="9" s="1"/>
  <c r="G61" i="9" s="1"/>
  <c r="H19" i="9"/>
  <c r="F47" i="9" s="1"/>
  <c r="F57" i="9" s="1"/>
  <c r="G57" i="9" s="1"/>
  <c r="G19" i="9"/>
  <c r="F46" i="9" s="1"/>
  <c r="F56" i="9" s="1"/>
  <c r="G56" i="9" s="1"/>
  <c r="G34" i="9" a="1"/>
  <c r="G34" i="9" s="1"/>
  <c r="G35" i="9" a="1"/>
  <c r="G35" i="9" s="1"/>
  <c r="G31" i="9" a="1"/>
  <c r="G31" i="9" s="1"/>
  <c r="G28" i="9" a="1"/>
  <c r="G28" i="9" s="1"/>
  <c r="G27" i="9" a="1"/>
  <c r="G27" i="9" s="1"/>
  <c r="X15" i="10"/>
  <c r="I38" i="10" s="1"/>
  <c r="O19" i="9"/>
  <c r="F54" i="9" s="1"/>
  <c r="F64" i="9" s="1"/>
  <c r="G64" i="9" s="1"/>
  <c r="F60" i="9"/>
  <c r="G60" i="9" s="1"/>
  <c r="O33" i="9" a="1"/>
  <c r="O33" i="9" s="1"/>
  <c r="O31" i="9" a="1"/>
  <c r="O31" i="9" s="1"/>
  <c r="O28" i="9" a="1"/>
  <c r="O28" i="9" s="1"/>
  <c r="O29" i="9" a="1"/>
  <c r="O29" i="9" s="1"/>
  <c r="O30" i="9" a="1"/>
  <c r="O30" i="9" s="1"/>
  <c r="O36" i="9" a="1"/>
  <c r="O36" i="9" s="1"/>
  <c r="O32" i="9" a="1"/>
  <c r="O32" i="9" s="1"/>
  <c r="O27" i="9" a="1"/>
  <c r="O27" i="9" s="1"/>
  <c r="O34" i="9" a="1"/>
  <c r="O34" i="9" s="1"/>
  <c r="O35" i="9" a="1"/>
  <c r="O35" i="9" s="1"/>
  <c r="X21" i="15"/>
  <c r="AE21" i="15"/>
  <c r="J21" i="15"/>
  <c r="D47" i="11"/>
  <c r="Q21" i="15"/>
  <c r="D70" i="14"/>
  <c r="J18" i="15"/>
  <c r="Q18" i="15"/>
  <c r="X18" i="15"/>
  <c r="D44" i="11"/>
  <c r="D67" i="14"/>
  <c r="AE18" i="15"/>
  <c r="I44" i="10"/>
  <c r="E44" i="10"/>
  <c r="E42" i="10"/>
  <c r="I42" i="10"/>
  <c r="E46" i="10"/>
  <c r="L36" i="14" s="1"/>
  <c r="I46" i="10"/>
  <c r="L73" i="14" s="1"/>
  <c r="Q17" i="15"/>
  <c r="D66" i="14"/>
  <c r="X17" i="15"/>
  <c r="AE17" i="15"/>
  <c r="J17" i="15"/>
  <c r="D43" i="11"/>
  <c r="I41" i="10"/>
  <c r="E41" i="10"/>
  <c r="Q23" i="15"/>
  <c r="X23" i="15"/>
  <c r="AE23" i="15"/>
  <c r="J23" i="15"/>
  <c r="E40" i="10"/>
  <c r="I40" i="10"/>
  <c r="AE22" i="15"/>
  <c r="J22" i="15"/>
  <c r="D48" i="11"/>
  <c r="Q22" i="15"/>
  <c r="D71" i="14"/>
  <c r="X22" i="15"/>
  <c r="D33" i="11"/>
  <c r="K7" i="9"/>
  <c r="K25" i="9" s="1"/>
  <c r="D32" i="14"/>
  <c r="K42" i="10"/>
  <c r="K46" i="10"/>
  <c r="O7" i="9"/>
  <c r="O25" i="9" s="1"/>
  <c r="D32" i="11"/>
  <c r="D31" i="14"/>
  <c r="K41" i="10"/>
  <c r="J7" i="9"/>
  <c r="J25" i="9" s="1"/>
  <c r="I45" i="10"/>
  <c r="L72" i="14" s="1"/>
  <c r="E45" i="10"/>
  <c r="L35" i="14" s="1"/>
  <c r="K37" i="9"/>
  <c r="K43" i="10"/>
  <c r="D34" i="11"/>
  <c r="L7" i="9"/>
  <c r="L25" i="9" s="1"/>
  <c r="D33" i="14"/>
  <c r="X20" i="15"/>
  <c r="D46" i="11"/>
  <c r="AE20" i="15"/>
  <c r="D69" i="14"/>
  <c r="J20" i="15"/>
  <c r="Q20" i="15"/>
  <c r="I39" i="10"/>
  <c r="E39" i="10"/>
  <c r="D28" i="14"/>
  <c r="G7" i="9"/>
  <c r="G25" i="9" s="1"/>
  <c r="K38" i="10"/>
  <c r="D29" i="11"/>
  <c r="X19" i="15"/>
  <c r="D45" i="11"/>
  <c r="AE19" i="15"/>
  <c r="D68" i="14"/>
  <c r="J19" i="15"/>
  <c r="Q19" i="15"/>
  <c r="K45" i="10"/>
  <c r="N7" i="9"/>
  <c r="N25" i="9" s="1"/>
  <c r="I43" i="10"/>
  <c r="E43" i="10"/>
  <c r="D31" i="11"/>
  <c r="D30" i="14"/>
  <c r="I7" i="9"/>
  <c r="I25" i="9" s="1"/>
  <c r="K40" i="10"/>
  <c r="D35" i="11"/>
  <c r="K44" i="10"/>
  <c r="D34" i="14"/>
  <c r="M7" i="9"/>
  <c r="M25" i="9" s="1"/>
  <c r="Q24" i="15"/>
  <c r="X24" i="15"/>
  <c r="AE24" i="15"/>
  <c r="J24" i="15"/>
  <c r="H7" i="9"/>
  <c r="H25" i="9" s="1"/>
  <c r="D30" i="11"/>
  <c r="D29" i="14"/>
  <c r="K39" i="10"/>
  <c r="F45" i="10" l="1"/>
  <c r="F59" i="9"/>
  <c r="G59" i="9" s="1"/>
  <c r="F41" i="10" s="1"/>
  <c r="J41" i="10" s="1"/>
  <c r="J37" i="9"/>
  <c r="F42" i="10"/>
  <c r="J42" i="10" s="1"/>
  <c r="F39" i="10"/>
  <c r="F44" i="10"/>
  <c r="F43" i="10"/>
  <c r="F40" i="10"/>
  <c r="Q16" i="15"/>
  <c r="S16" i="15" s="1"/>
  <c r="F38" i="10"/>
  <c r="R28" i="14" s="1"/>
  <c r="D65" i="14"/>
  <c r="N37" i="9"/>
  <c r="J16" i="15"/>
  <c r="M16" i="15" s="1"/>
  <c r="D42" i="11"/>
  <c r="AE16" i="15"/>
  <c r="AH16" i="15" s="1"/>
  <c r="I37" i="9"/>
  <c r="M37" i="9"/>
  <c r="H37" i="9"/>
  <c r="L37" i="9"/>
  <c r="G37" i="9"/>
  <c r="E38" i="10"/>
  <c r="L29" i="11" s="1"/>
  <c r="F46" i="10"/>
  <c r="O37" i="9"/>
  <c r="AG24" i="15"/>
  <c r="AH24" i="15"/>
  <c r="L47" i="11"/>
  <c r="L70" i="14"/>
  <c r="AG19" i="15"/>
  <c r="AH19" i="15"/>
  <c r="L30" i="11"/>
  <c r="L29" i="14"/>
  <c r="AG22" i="15"/>
  <c r="AH22" i="15"/>
  <c r="L23" i="15"/>
  <c r="M23" i="15"/>
  <c r="L32" i="11"/>
  <c r="L31" i="14"/>
  <c r="AG17" i="15"/>
  <c r="AH17" i="15"/>
  <c r="AG18" i="15"/>
  <c r="AH18" i="15"/>
  <c r="T18" i="15"/>
  <c r="S18" i="15"/>
  <c r="AA16" i="15"/>
  <c r="Z16" i="15"/>
  <c r="AA24" i="15"/>
  <c r="Z24" i="15"/>
  <c r="S19" i="15"/>
  <c r="T19" i="15"/>
  <c r="L66" i="14"/>
  <c r="L43" i="11"/>
  <c r="AG20" i="15"/>
  <c r="AH20" i="15"/>
  <c r="T22" i="15"/>
  <c r="S22" i="15"/>
  <c r="AG23" i="15"/>
  <c r="AH23" i="15"/>
  <c r="L45" i="11"/>
  <c r="L68" i="14"/>
  <c r="AA17" i="15"/>
  <c r="Z17" i="15"/>
  <c r="L35" i="11"/>
  <c r="L34" i="14"/>
  <c r="M18" i="15"/>
  <c r="L18" i="15"/>
  <c r="M21" i="15"/>
  <c r="L21" i="15"/>
  <c r="S24" i="15"/>
  <c r="T24" i="15"/>
  <c r="M19" i="15"/>
  <c r="L19" i="15"/>
  <c r="Z19" i="15"/>
  <c r="AA19" i="15"/>
  <c r="S20" i="15"/>
  <c r="T20" i="15"/>
  <c r="L44" i="11"/>
  <c r="L67" i="14"/>
  <c r="Z23" i="15"/>
  <c r="AA23" i="15"/>
  <c r="L46" i="11"/>
  <c r="L69" i="14"/>
  <c r="L48" i="11"/>
  <c r="L71" i="14"/>
  <c r="AG21" i="15"/>
  <c r="AH21" i="15"/>
  <c r="M24" i="15"/>
  <c r="L24" i="15"/>
  <c r="L34" i="11"/>
  <c r="L33" i="14"/>
  <c r="L20" i="15"/>
  <c r="M20" i="15"/>
  <c r="AA20" i="15"/>
  <c r="Z20" i="15"/>
  <c r="L65" i="14"/>
  <c r="L42" i="11"/>
  <c r="Z22" i="15"/>
  <c r="AA22" i="15"/>
  <c r="L22" i="15"/>
  <c r="M22" i="15"/>
  <c r="L31" i="11"/>
  <c r="L30" i="14"/>
  <c r="S23" i="15"/>
  <c r="T23" i="15"/>
  <c r="M17" i="15"/>
  <c r="L17" i="15"/>
  <c r="S17" i="15"/>
  <c r="T17" i="15"/>
  <c r="L33" i="11"/>
  <c r="L32" i="14"/>
  <c r="Z18" i="15"/>
  <c r="AA18" i="15"/>
  <c r="S21" i="15"/>
  <c r="T21" i="15"/>
  <c r="AA21" i="15"/>
  <c r="Z21" i="15"/>
  <c r="J46" i="10" l="1"/>
  <c r="R24" i="15" s="1"/>
  <c r="R36" i="14"/>
  <c r="J45" i="10"/>
  <c r="R23" i="15" s="1"/>
  <c r="R35" i="14"/>
  <c r="R35" i="11"/>
  <c r="R34" i="14"/>
  <c r="R30" i="11"/>
  <c r="J39" i="10"/>
  <c r="AF17" i="15" s="1"/>
  <c r="R29" i="14"/>
  <c r="R31" i="11"/>
  <c r="R30" i="14"/>
  <c r="J40" i="10"/>
  <c r="R44" i="11" s="1"/>
  <c r="J43" i="10"/>
  <c r="Y21" i="15" s="1"/>
  <c r="R34" i="11"/>
  <c r="R33" i="14"/>
  <c r="J44" i="10"/>
  <c r="R48" i="11" s="1"/>
  <c r="R32" i="11"/>
  <c r="R32" i="14"/>
  <c r="R31" i="14"/>
  <c r="R33" i="11"/>
  <c r="R29" i="11"/>
  <c r="T16" i="15"/>
  <c r="L16" i="15"/>
  <c r="J38" i="10"/>
  <c r="R65" i="14" s="1"/>
  <c r="AG16" i="15"/>
  <c r="L28" i="14"/>
  <c r="Y24" i="15"/>
  <c r="AF24" i="15"/>
  <c r="Y19" i="15"/>
  <c r="K19" i="15"/>
  <c r="R45" i="11"/>
  <c r="AF19" i="15"/>
  <c r="R19" i="15"/>
  <c r="R68" i="14"/>
  <c r="Y20" i="15"/>
  <c r="AF20" i="15"/>
  <c r="K20" i="15"/>
  <c r="R46" i="11"/>
  <c r="R20" i="15"/>
  <c r="R69" i="14"/>
  <c r="K23" i="15" l="1"/>
  <c r="K24" i="15"/>
  <c r="AF23" i="15"/>
  <c r="Y23" i="15"/>
  <c r="R72" i="14"/>
  <c r="R73" i="14"/>
  <c r="R47" i="11"/>
  <c r="AF21" i="15"/>
  <c r="Y17" i="15"/>
  <c r="K22" i="15"/>
  <c r="K21" i="15"/>
  <c r="K17" i="15"/>
  <c r="R66" i="14"/>
  <c r="R17" i="15"/>
  <c r="R71" i="14"/>
  <c r="R43" i="11"/>
  <c r="R18" i="15"/>
  <c r="Y18" i="15"/>
  <c r="Y22" i="15"/>
  <c r="R67" i="14"/>
  <c r="R22" i="15"/>
  <c r="AF18" i="15"/>
  <c r="R21" i="15"/>
  <c r="K18" i="15"/>
  <c r="AF22" i="15"/>
  <c r="R70" i="14"/>
  <c r="Y16" i="15"/>
  <c r="R42" i="11"/>
  <c r="R16" i="15"/>
  <c r="K16" i="15"/>
  <c r="AF16" i="15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Irina Olegovna Skvortsova</author>
  </authors>
  <commentList>
    <comment ref="G12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Fredman Méndez:</t>
        </r>
        <r>
          <rPr>
            <sz val="9"/>
            <color indexed="81"/>
            <rFont val="Tahoma"/>
            <family val="2"/>
          </rPr>
          <t xml:space="preserve">
8 en la fórmula, 
es el número de línea hoja Excel encabezados esta tabla.</t>
        </r>
      </text>
    </comment>
  </commentList>
</comments>
</file>

<file path=xl/sharedStrings.xml><?xml version="1.0" encoding="utf-8"?>
<sst xmlns="http://schemas.openxmlformats.org/spreadsheetml/2006/main" count="1945" uniqueCount="1272">
  <si>
    <t>Hoja de cálculo</t>
  </si>
  <si>
    <t>Detalles</t>
  </si>
  <si>
    <t>Condiciones ambientales</t>
  </si>
  <si>
    <t>Cliente</t>
  </si>
  <si>
    <t>Código</t>
  </si>
  <si>
    <t>Identificación del certificado</t>
  </si>
  <si>
    <t>Lugar de calibración</t>
  </si>
  <si>
    <t>in situ</t>
  </si>
  <si>
    <t>Solicitante</t>
  </si>
  <si>
    <t xml:space="preserve">Versión </t>
  </si>
  <si>
    <t>Código de servicio</t>
  </si>
  <si>
    <t>Higrotermometro código</t>
  </si>
  <si>
    <t>Dirección del solicitante</t>
  </si>
  <si>
    <t>Fecha de revisión</t>
  </si>
  <si>
    <t>Fecha de calibración</t>
  </si>
  <si>
    <t>Higrotermometro marca</t>
  </si>
  <si>
    <t>Dirección de calibración</t>
  </si>
  <si>
    <t>Fecha de validación</t>
  </si>
  <si>
    <t>Código de identificación</t>
  </si>
  <si>
    <t>Temperatura ambiental inicial, °C</t>
  </si>
  <si>
    <t>Una oficina o un laboratorio cerrados con ventanas</t>
  </si>
  <si>
    <t xml:space="preserve">Fecha de aprobación </t>
  </si>
  <si>
    <t>Objeto de calibración</t>
  </si>
  <si>
    <t>Temperatura ambiental final, °C</t>
  </si>
  <si>
    <t>Aprobada por</t>
  </si>
  <si>
    <t>Fabricante / Marca</t>
  </si>
  <si>
    <t>Promedio temperaturas, °C</t>
  </si>
  <si>
    <t>Director técnico</t>
  </si>
  <si>
    <t>Modelo</t>
  </si>
  <si>
    <t>Director calidad</t>
  </si>
  <si>
    <t>Ing. Fredman A. Méndez M.</t>
  </si>
  <si>
    <t>Serie</t>
  </si>
  <si>
    <r>
      <t xml:space="preserve">Resolución temperatura higrotm.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</si>
  <si>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>Humedad relativa inicial, %</t>
  </si>
  <si>
    <t>Humedad relativa final, %</t>
  </si>
  <si>
    <t>Promedio humedad relativa, %</t>
  </si>
  <si>
    <t>Celdas fuente listas despl.</t>
  </si>
  <si>
    <t>Resolución higrotermometro HR %</t>
  </si>
  <si>
    <t>No aplica</t>
  </si>
  <si>
    <t>lab. Metrocal</t>
  </si>
  <si>
    <t>Lugares sin ventanas en el centro de un edificio</t>
  </si>
  <si>
    <t>Talleres abiertos, salas de fábricas</t>
  </si>
  <si>
    <t>Sí</t>
  </si>
  <si>
    <t>No</t>
  </si>
  <si>
    <t>NI-CS-XXXX-XX</t>
  </si>
  <si>
    <t>Resolución</t>
  </si>
  <si>
    <t>Incertidumbre fabricante ±</t>
  </si>
  <si>
    <t>Labnicsa</t>
  </si>
  <si>
    <t>km 90,5 Carretera Managua - León</t>
  </si>
  <si>
    <t>Managua</t>
  </si>
  <si>
    <t>km 104,5 Carretera Sebaco a Estelí</t>
  </si>
  <si>
    <t>Terraexport S.A. (Planta Matagalpa)</t>
  </si>
  <si>
    <t>Tecshoes Latinoamérica</t>
  </si>
  <si>
    <t>Tabacos del Sol</t>
  </si>
  <si>
    <t>Estelí, km 147 Carretera Panamericana Norte, Frente Operaciones Policía Nacional</t>
  </si>
  <si>
    <t>Edificio Torres Zamora oficina 7</t>
  </si>
  <si>
    <t>Parque Industrial Las Mercedes, km 12,5 Carretera Norte</t>
  </si>
  <si>
    <t>Estelí costado Norte de la Universidad Farem</t>
  </si>
  <si>
    <t>km 23,5 Carretera Sur, El Crucero.</t>
  </si>
  <si>
    <t>Cuerpo de Bomberos 175 m oeste, Managua</t>
  </si>
  <si>
    <t>km 10,5 Carretera Norte, 800 m al norte</t>
  </si>
  <si>
    <t>km 14 Carretera Nueva a León</t>
  </si>
  <si>
    <t>Rotonda el CEPAD 100 m este, 25 m sur</t>
  </si>
  <si>
    <t>Nicaragua American Cigars S.A.</t>
  </si>
  <si>
    <t>Gasolinera Uno Plaza El Sol 100 m sur, 150 m oeste. Casa # 113 contiguo a SEVASA Los Robles</t>
  </si>
  <si>
    <t>Zona Franca Las Mercedes, km 12,5 Carretera Norte</t>
  </si>
  <si>
    <t xml:space="preserve">km 16.8 Carretera Ticuantepe, Pozo Enacal  </t>
  </si>
  <si>
    <t>Margumar</t>
  </si>
  <si>
    <t>km 151 Carretera Chinandega al Guasuale, 2 km oeste</t>
  </si>
  <si>
    <t>Langostinos de Centroamérica, S.A.</t>
  </si>
  <si>
    <t>Puente El Edén 100 m norte, 100 m este, 75 m norte</t>
  </si>
  <si>
    <t>km 6,5 Carretera Norte, Contiguo a Bodega Pollo Estrella</t>
  </si>
  <si>
    <t>Impelsa</t>
  </si>
  <si>
    <t>Estelí</t>
  </si>
  <si>
    <t>Selva Negra, Matagalpa</t>
  </si>
  <si>
    <t>km 109,5 Carretera Panamericana Sur 300 m oeste</t>
  </si>
  <si>
    <t>km 121 Carretera Managua - Matagalpa</t>
  </si>
  <si>
    <t>Carretera Norte, km 12,5 Módulo 2. Zona Franca Las Mercedes</t>
  </si>
  <si>
    <t>km 12 Carretera a Masaya</t>
  </si>
  <si>
    <t>km 119 Carretera a Chinandega, Gasolinera UNO</t>
  </si>
  <si>
    <t xml:space="preserve">km 46,5 Carretera Masaya-Tipitapa </t>
  </si>
  <si>
    <t>Central American Fisheries S.A.</t>
  </si>
  <si>
    <t>km 95, Laboratorios Divina, 800 m oeste. León</t>
  </si>
  <si>
    <t>km 3,5 Carretera Norte. El Nuevo Diario 150 m oeste</t>
  </si>
  <si>
    <t>km 8,5 carretera norte, 800 m al norte</t>
  </si>
  <si>
    <t xml:space="preserve">3 Cruces, 400 m oeste, San Marcos   </t>
  </si>
  <si>
    <t>km 122,5 Carretera Managua, Matagalpa Entrada a Tejerina 500 m al norte</t>
  </si>
  <si>
    <t>Sinsa Altamira, 100 m al sur, 100 m este</t>
  </si>
  <si>
    <t>Lotería Nacional, 300 m oeste. Entrada a Edificio Agricorp</t>
  </si>
  <si>
    <t>ACI-ACN</t>
  </si>
  <si>
    <t xml:space="preserve">Coyotepe, 800 m norte               </t>
  </si>
  <si>
    <t>Nombre</t>
  </si>
  <si>
    <t>Clave</t>
  </si>
  <si>
    <t>Base de datos de clientes</t>
  </si>
  <si>
    <t>METROLOGÍA CONSULTORES DE NICARAGUA, S.A.</t>
  </si>
  <si>
    <t>Tabla de resultados de la calibración</t>
  </si>
  <si>
    <t>Corrección</t>
  </si>
  <si>
    <t>°C</t>
  </si>
  <si>
    <t>Equipo</t>
  </si>
  <si>
    <t>Higrotermómetro</t>
  </si>
  <si>
    <t>Fabricante</t>
  </si>
  <si>
    <t>Certificado</t>
  </si>
  <si>
    <t>#</t>
  </si>
  <si>
    <t>Marca</t>
  </si>
  <si>
    <t>Resolución RH %</t>
  </si>
  <si>
    <t>Exactitud ± % HR</t>
  </si>
  <si>
    <t>Exactitud ±% HR</t>
  </si>
  <si>
    <t>NI-MCPPT-01</t>
  </si>
  <si>
    <t xml:space="preserve">Fluke 971 </t>
  </si>
  <si>
    <t>NI-MCPPT-02</t>
  </si>
  <si>
    <t xml:space="preserve">Testo 608-H1 </t>
  </si>
  <si>
    <t>NI-MCPPT-04</t>
  </si>
  <si>
    <t>Patrones</t>
  </si>
  <si>
    <t>Código Patrón</t>
  </si>
  <si>
    <t>Fluke</t>
  </si>
  <si>
    <t>Funcionamiento</t>
  </si>
  <si>
    <t>Laboratorio/Certificado</t>
  </si>
  <si>
    <t>Division de escala</t>
  </si>
  <si>
    <t>Unidad de medida</t>
  </si>
  <si>
    <t>Datos del equipo calibración</t>
  </si>
  <si>
    <t>Patrón utilizado</t>
  </si>
  <si>
    <t>Patrón</t>
  </si>
  <si>
    <t>Promedio Patrón</t>
  </si>
  <si>
    <t>Patrón corregido</t>
  </si>
  <si>
    <t>Promedio equipo</t>
  </si>
  <si>
    <t>Laboratorio</t>
  </si>
  <si>
    <t>Fecha calib.</t>
  </si>
  <si>
    <r>
      <t xml:space="preserve">t max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</si>
  <si>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 xml:space="preserve">Resolución t 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</si>
  <si>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 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</si>
  <si>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r>
      <t>Exactitud</t>
    </r>
    <r>
      <rPr>
        <sz val="11"/>
        <color theme="1"/>
        <rFont val="Calibri"/>
        <family val="2"/>
        <scheme val="minor"/>
      </rPr>
      <t>± &lt;45</t>
    </r>
    <r>
      <rPr>
        <vertAlign val="superscript"/>
        <sz val="11"/>
        <color theme="1"/>
        <rFont val="Calibri"/>
        <family val="2"/>
        <scheme val="minor"/>
      </rPr>
      <t>0</t>
    </r>
    <r>
      <rPr>
        <sz val="11"/>
        <color theme="1"/>
        <rFont val="Calibri"/>
        <family val="2"/>
        <scheme val="minor"/>
      </rPr>
      <t>C</t>
    </r>
  </si>
  <si>
    <t xml:space="preserve">de precisión </t>
  </si>
  <si>
    <t>Datos certificados patrones</t>
  </si>
  <si>
    <t>Certificado actual</t>
  </si>
  <si>
    <t>SCM Metrología y Laboratorios</t>
  </si>
  <si>
    <t>min.</t>
  </si>
  <si>
    <t>max.</t>
  </si>
  <si>
    <t>Intervalo de medida cert.</t>
  </si>
  <si>
    <t xml:space="preserve">Certificado anterior </t>
  </si>
  <si>
    <t>Presupuesto de incertidumbre expandida</t>
  </si>
  <si>
    <t>Parámetro</t>
  </si>
  <si>
    <t>Unidad</t>
  </si>
  <si>
    <t>Valor</t>
  </si>
  <si>
    <t>Tiempo ambientación</t>
  </si>
  <si>
    <t>min</t>
  </si>
  <si>
    <t>p1 (%)</t>
  </si>
  <si>
    <t>p2 (%)</t>
  </si>
  <si>
    <t>p3 (%)</t>
  </si>
  <si>
    <t>p4 (%)</t>
  </si>
  <si>
    <t>p5 (%)</t>
  </si>
  <si>
    <t>p6 (%)</t>
  </si>
  <si>
    <t>p7 (%)</t>
  </si>
  <si>
    <t>p8 (%)</t>
  </si>
  <si>
    <t>p9 (%)</t>
  </si>
  <si>
    <t>p10 (%)</t>
  </si>
  <si>
    <t>Componentes incertidumbre combinada todos los puntos calibración</t>
  </si>
  <si>
    <t>Fuente de incertidumbre</t>
  </si>
  <si>
    <t>Repetibilidad del instrumento</t>
  </si>
  <si>
    <t>Resolución del instrumento</t>
  </si>
  <si>
    <t>Resolución del patrón</t>
  </si>
  <si>
    <t>Deriva patrón</t>
  </si>
  <si>
    <t>Deriva</t>
  </si>
  <si>
    <t>Número puntos de calib.</t>
  </si>
  <si>
    <t>Correccion.act</t>
  </si>
  <si>
    <r>
      <t>Certif.act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</si>
  <si>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Correccion.ant</t>
  </si>
  <si>
    <r>
      <t>Certif.ant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</si>
  <si>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t>x</t>
  </si>
  <si>
    <t>x1</t>
  </si>
  <si>
    <t>x2</t>
  </si>
  <si>
    <t>y1</t>
  </si>
  <si>
    <t>y2</t>
  </si>
  <si>
    <t>y</t>
  </si>
  <si>
    <t>Punto</t>
  </si>
  <si>
    <t>Incertidumbre expandida k=2</t>
  </si>
  <si>
    <t>Incertidumbre calibración del patron</t>
  </si>
  <si>
    <t>Rectang.</t>
  </si>
  <si>
    <t>Divisor</t>
  </si>
  <si>
    <t>Distrib.</t>
  </si>
  <si>
    <t>Símbolo</t>
  </si>
  <si>
    <t>Dif. temps. entre ambiente y patrón</t>
  </si>
  <si>
    <r>
      <rPr>
        <sz val="10"/>
        <color theme="1"/>
        <rFont val="Symbol"/>
        <family val="1"/>
        <charset val="2"/>
      </rPr>
      <t>D</t>
    </r>
    <r>
      <rPr>
        <i/>
        <sz val="10"/>
        <color theme="1"/>
        <rFont val="Arial"/>
        <family val="2"/>
      </rPr>
      <t>T</t>
    </r>
  </si>
  <si>
    <r>
      <t>t</t>
    </r>
    <r>
      <rPr>
        <i/>
        <vertAlign val="subscript"/>
        <sz val="10"/>
        <color theme="1"/>
        <rFont val="Arial"/>
        <family val="2"/>
      </rPr>
      <t>amb.</t>
    </r>
  </si>
  <si>
    <r>
      <t>Coef. c</t>
    </r>
    <r>
      <rPr>
        <b/>
        <vertAlign val="subscript"/>
        <sz val="10"/>
        <rFont val="Calibri"/>
        <family val="2"/>
        <scheme val="minor"/>
      </rPr>
      <t>i</t>
    </r>
  </si>
  <si>
    <t xml:space="preserve">Interpolación corrección del patrón </t>
  </si>
  <si>
    <t>Triangular</t>
  </si>
  <si>
    <t>Datos del patrón</t>
  </si>
  <si>
    <t>Contribuciones incert. combinada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</si>
  <si>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</si>
  <si>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</si>
  <si>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</si>
  <si>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</si>
  <si>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</si>
  <si>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</si>
  <si>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</si>
  <si>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</si>
  <si>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</si>
  <si>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</si>
  <si>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Total</t>
  </si>
  <si>
    <t>Fórmulas de búsqueda</t>
  </si>
  <si>
    <t>Resultados de cálculos</t>
  </si>
  <si>
    <t>Celda condicional</t>
  </si>
  <si>
    <t>Normal</t>
  </si>
  <si>
    <t>Cálculo grados efectivos de libertad</t>
  </si>
  <si>
    <t>Descripción</t>
  </si>
  <si>
    <t>Cantidad mediciones</t>
  </si>
  <si>
    <t>Grados libertad</t>
  </si>
  <si>
    <t>Incertidumbre estandar</t>
  </si>
  <si>
    <t>Variable</t>
  </si>
  <si>
    <t>n</t>
  </si>
  <si>
    <r>
      <t>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</si>
  <si>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c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(y)</t>
    </r>
  </si>
  <si>
    <r>
      <t>v</t>
    </r>
    <r>
      <rPr>
        <i/>
        <vertAlign val="subscript"/>
        <sz val="11"/>
        <color theme="1"/>
        <rFont val="Calibri"/>
        <family val="2"/>
        <scheme val="minor"/>
      </rPr>
      <t>eff</t>
    </r>
  </si>
  <si>
    <t>Formula</t>
  </si>
  <si>
    <t>-</t>
  </si>
  <si>
    <t>n-1</t>
  </si>
  <si>
    <r>
      <t>s(x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)/</t>
    </r>
    <r>
      <rPr>
        <i/>
        <sz val="11"/>
        <color theme="1"/>
        <rFont val="Symbol"/>
        <family val="1"/>
        <charset val="2"/>
      </rPr>
      <t>Ö</t>
    </r>
    <r>
      <rPr>
        <i/>
        <sz val="9"/>
        <color theme="1"/>
        <rFont val="Calibri"/>
        <family val="2"/>
      </rPr>
      <t>n</t>
    </r>
  </si>
  <si>
    <t>Incertidumbre combinada punto 1</t>
  </si>
  <si>
    <t>Incertidumbre combinada punto 2</t>
  </si>
  <si>
    <t>Incertidumbre combinada punto 3</t>
  </si>
  <si>
    <t>Incertidumbre combinada punto 4</t>
  </si>
  <si>
    <t>Incertidumbre combinada punto 5</t>
  </si>
  <si>
    <t>Incertidumbre combinada punto 6</t>
  </si>
  <si>
    <t>Incertidumbre combinada punto 7</t>
  </si>
  <si>
    <t>Incertidumbre combinada punto 8</t>
  </si>
  <si>
    <t>Incertidumbre combinada punto 9</t>
  </si>
  <si>
    <t>Incertidumbre combinada punto 10</t>
  </si>
  <si>
    <t>Grados efectivos de libertad punto 1</t>
  </si>
  <si>
    <t>Grados efectivos de libertad punto 2</t>
  </si>
  <si>
    <t>Grados efectivos de libertad punto 3</t>
  </si>
  <si>
    <t>Grados efectivos de libertad punto 4</t>
  </si>
  <si>
    <t>Grados efectivos de libertad punto 5</t>
  </si>
  <si>
    <t>Grados efectivos de libertad punto 6</t>
  </si>
  <si>
    <t>Grados efectivos de libertad punto 7</t>
  </si>
  <si>
    <t>Grados efectivos de libertad punto 8</t>
  </si>
  <si>
    <t>Grados efectivos de libertad punto 9</t>
  </si>
  <si>
    <t>Grados efectivos de libertad punto 10</t>
  </si>
  <si>
    <t>k</t>
  </si>
  <si>
    <r>
      <t>R</t>
    </r>
    <r>
      <rPr>
        <i/>
        <vertAlign val="superscript"/>
        <sz val="11"/>
        <color theme="1"/>
        <rFont val="Calibri"/>
        <family val="2"/>
        <scheme val="minor"/>
      </rPr>
      <t>2</t>
    </r>
    <r>
      <rPr>
        <i/>
        <sz val="11"/>
        <color theme="1"/>
        <rFont val="Calibri"/>
        <family val="2"/>
        <scheme val="minor"/>
      </rPr>
      <t>=</t>
    </r>
  </si>
  <si>
    <t>Corrección de medición</t>
  </si>
  <si>
    <t>Correccion Certificado</t>
  </si>
  <si>
    <r>
      <t>Incertidumbre certificado U</t>
    </r>
    <r>
      <rPr>
        <vertAlign val="subscript"/>
        <sz val="11"/>
        <color theme="1"/>
        <rFont val="Calibri"/>
        <family val="2"/>
        <scheme val="minor"/>
      </rPr>
      <t xml:space="preserve">95 </t>
    </r>
  </si>
  <si>
    <r>
      <rPr>
        <u/>
        <sz val="11"/>
        <color theme="1"/>
        <rFont val="Calibri"/>
        <family val="2"/>
        <scheme val="minor"/>
      </rPr>
      <t>Nota de mantenimiento de la hoja:</t>
    </r>
    <r>
      <rPr>
        <sz val="11"/>
        <color theme="1"/>
        <rFont val="Calibri"/>
        <family val="2"/>
        <scheme val="minor"/>
      </rPr>
      <t xml:space="preserve"> si mueve la tabla de componentes de incertidumbre, tiene que</t>
    </r>
  </si>
  <si>
    <t>componer las fórmulas, ya que hacen referencia en la octava línea de esta hoja de Excel,</t>
  </si>
  <si>
    <t>que es la línea de los encabezados de la tabla.</t>
  </si>
  <si>
    <t>Raíz de la</t>
  </si>
  <si>
    <t>suma cuadr.</t>
  </si>
  <si>
    <t>Decim.: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</si>
  <si>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1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</si>
  <si>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2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</si>
  <si>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3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</si>
  <si>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4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</si>
  <si>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5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</si>
  <si>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6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</si>
  <si>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7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</si>
  <si>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8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</si>
  <si>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9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</si>
  <si>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10</t>
    </r>
    <r>
      <rPr>
        <i/>
        <vertAlign val="superscript"/>
        <sz val="11"/>
        <color theme="1"/>
        <rFont val="Calibri"/>
        <family val="2"/>
        <scheme val="minor"/>
      </rPr>
      <t>4</t>
    </r>
    <r>
      <rPr>
        <i/>
        <sz val="11"/>
        <color theme="1"/>
        <rFont val="Calibri"/>
        <family val="2"/>
        <scheme val="minor"/>
      </rPr>
      <t>/v</t>
    </r>
    <r>
      <rPr>
        <i/>
        <vertAlign val="subscript"/>
        <sz val="11"/>
        <color theme="1"/>
        <rFont val="Calibri"/>
        <family val="2"/>
        <scheme val="minor"/>
      </rPr>
      <t>i</t>
    </r>
  </si>
  <si>
    <t>Fecha Calibración</t>
  </si>
  <si>
    <r>
      <t xml:space="preserve">Exactitud med. temp. ambiental </t>
    </r>
    <r>
      <rPr>
        <sz val="11"/>
        <color theme="1"/>
        <rFont val="Calibri"/>
        <family val="2"/>
      </rPr>
      <t xml:space="preserve">± </t>
    </r>
    <r>
      <rPr>
        <vertAlign val="superscript"/>
        <sz val="11"/>
        <color theme="1"/>
        <rFont val="Calibri"/>
        <family val="2"/>
      </rPr>
      <t>0</t>
    </r>
    <r>
      <rPr>
        <sz val="11"/>
        <color theme="1"/>
        <rFont val="Calibri"/>
        <family val="2"/>
      </rPr>
      <t>C</t>
    </r>
  </si>
  <si>
    <t>Exactitud medición HR ± %</t>
  </si>
  <si>
    <t>Exactitud medición PB ±</t>
  </si>
  <si>
    <t>Presión barométrica inicial, hPa</t>
  </si>
  <si>
    <t>Presión barométrica final, hPa</t>
  </si>
  <si>
    <t>Promedio presión barométrica, hPa</t>
  </si>
  <si>
    <t>Exactitud cond.termicas 2do. Patron</t>
  </si>
  <si>
    <t>Exactitud cond.termicas 1er. Patron</t>
  </si>
  <si>
    <t>Interpolación</t>
  </si>
  <si>
    <t>Incertid. patrón</t>
  </si>
  <si>
    <t>Corrección patrón</t>
  </si>
  <si>
    <t>CMC</t>
  </si>
  <si>
    <t>NI-R02-MCIT-P-01</t>
  </si>
  <si>
    <t>Tipo de Indicador</t>
  </si>
  <si>
    <t>Analógico</t>
  </si>
  <si>
    <t>Digital</t>
  </si>
  <si>
    <t>psi</t>
  </si>
  <si>
    <t>bar</t>
  </si>
  <si>
    <t>Pa</t>
  </si>
  <si>
    <t>hPa</t>
  </si>
  <si>
    <t xml:space="preserve">Manómetro </t>
  </si>
  <si>
    <t>Vacuómetro</t>
  </si>
  <si>
    <t>Manovacuómetro</t>
  </si>
  <si>
    <t>Rango de medida min.</t>
  </si>
  <si>
    <t>Rango de medida max.</t>
  </si>
  <si>
    <t>Unidad de escala</t>
  </si>
  <si>
    <t>NI-MCPP-01</t>
  </si>
  <si>
    <t>Módulo de presión doble</t>
  </si>
  <si>
    <t>700PD7</t>
  </si>
  <si>
    <t>p min. [psi]</t>
  </si>
  <si>
    <t>p max. [psi]</t>
  </si>
  <si>
    <r>
      <t>Todo en [</t>
    </r>
    <r>
      <rPr>
        <vertAlign val="superscript"/>
        <sz val="11"/>
        <color theme="1"/>
        <rFont val="Calibri"/>
        <family val="2"/>
        <scheme val="minor"/>
      </rPr>
      <t>o</t>
    </r>
    <r>
      <rPr>
        <sz val="11"/>
        <color theme="1"/>
        <rFont val="Calibri"/>
        <family val="2"/>
        <scheme val="minor"/>
      </rPr>
      <t>C] y en [psi]</t>
    </r>
  </si>
  <si>
    <t>Tipo de equipo</t>
  </si>
  <si>
    <t>Intervalo de medida fabrica</t>
  </si>
  <si>
    <t>NI-MCPP-02</t>
  </si>
  <si>
    <t>NI-MCPP-04</t>
  </si>
  <si>
    <t>Módulo de presión del manómetro</t>
  </si>
  <si>
    <t>700P31</t>
  </si>
  <si>
    <t xml:space="preserve">Aire seco o gas no corrosivo </t>
  </si>
  <si>
    <t>FS = fondo de escala</t>
  </si>
  <si>
    <t>Presión positiva</t>
  </si>
  <si>
    <r>
      <t xml:space="preserve">Exactitud </t>
    </r>
    <r>
      <rPr>
        <sz val="11"/>
        <color theme="1"/>
        <rFont val="Calibri"/>
        <family val="2"/>
      </rPr>
      <t>±</t>
    </r>
    <r>
      <rPr>
        <sz val="11"/>
        <color theme="1"/>
        <rFont val="Calibri"/>
        <family val="2"/>
        <scheme val="minor"/>
      </rPr>
      <t xml:space="preserve"> FS [%]</t>
    </r>
  </si>
  <si>
    <t>Vacío</t>
  </si>
  <si>
    <t>Calibrador de procesos documentador</t>
  </si>
  <si>
    <t>Dispositivo digital multiuso.</t>
  </si>
  <si>
    <t xml:space="preserve">Módulo de presión </t>
  </si>
  <si>
    <t>del manómetro</t>
  </si>
  <si>
    <t xml:space="preserve">Calibrador de manómetro </t>
  </si>
  <si>
    <t>p calibr.act</t>
  </si>
  <si>
    <t>p calibr.ant</t>
  </si>
  <si>
    <t>Todo en [psi]</t>
  </si>
  <si>
    <t>Elvatron</t>
  </si>
  <si>
    <t>NI-MCPPT-05</t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</si>
  <si>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Con la temperatura minima de funcionamiento = -10</t>
    </r>
    <r>
      <rPr>
        <sz val="11"/>
        <color theme="1"/>
        <rFont val="Calibri"/>
        <family val="2"/>
      </rPr>
      <t>°</t>
    </r>
    <r>
      <rPr>
        <sz val="8.25"/>
        <color theme="1"/>
        <rFont val="Calibri"/>
        <family val="2"/>
      </rPr>
      <t xml:space="preserve"> C,</t>
    </r>
    <r>
      <rPr>
        <sz val="11"/>
        <color theme="1"/>
        <rFont val="Calibri"/>
        <family val="2"/>
        <scheme val="minor"/>
      </rPr>
      <t xml:space="preserve"> los patrones tienen la exactitud de 1%. No se usa en las calibraciones</t>
    </r>
  </si>
  <si>
    <r>
      <rPr>
        <u/>
        <sz val="11"/>
        <color theme="1"/>
        <rFont val="Calibri"/>
        <family val="2"/>
        <scheme val="minor"/>
      </rPr>
      <t>Nota:</t>
    </r>
    <r>
      <rPr>
        <sz val="11"/>
        <color theme="1"/>
        <rFont val="Calibri"/>
        <family val="2"/>
        <scheme val="minor"/>
      </rPr>
      <t xml:space="preserve"> cuando cambian los datos de los certificados, debe revisar todas las gráficas, para que entre todo el rango de los puntos de calibración.</t>
    </r>
  </si>
  <si>
    <t>Azul - actual, verde - anterior</t>
  </si>
  <si>
    <t>Ciclo 2</t>
  </si>
  <si>
    <t>Ciclo 1</t>
  </si>
  <si>
    <t>Ciclo 3</t>
  </si>
  <si>
    <t>Ascendente 1</t>
  </si>
  <si>
    <t>Descendente 2</t>
  </si>
  <si>
    <t>Ascendente 3</t>
  </si>
  <si>
    <t>Descendente 4</t>
  </si>
  <si>
    <t>Ascendente 5</t>
  </si>
  <si>
    <t>Descendente 6</t>
  </si>
  <si>
    <t>Clase de exactitud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</si>
  <si>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</si>
  <si>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ref.</t>
    </r>
    <r>
      <rPr>
        <i/>
        <sz val="8.8000000000000007"/>
        <rFont val="Calibri"/>
        <family val="2"/>
      </rPr>
      <t>)</t>
    </r>
  </si>
  <si>
    <t>Resolución [psi]</t>
  </si>
  <si>
    <t>Resolución [kPa]</t>
  </si>
  <si>
    <r>
      <t>Coeficiente temp. % de medición [FS/</t>
    </r>
    <r>
      <rPr>
        <sz val="11"/>
        <color theme="1"/>
        <rFont val="Calibri"/>
        <family val="2"/>
      </rPr>
      <t>°</t>
    </r>
    <r>
      <rPr>
        <sz val="11"/>
        <color theme="1"/>
        <rFont val="Calibri"/>
        <family val="2"/>
        <scheme val="minor"/>
      </rPr>
      <t>C]</t>
    </r>
  </si>
  <si>
    <t>Rango optimo</t>
  </si>
  <si>
    <t>t min. funcionamiento</t>
  </si>
  <si>
    <t>t max. funcionamiento</t>
  </si>
  <si>
    <t>t min. compensada</t>
  </si>
  <si>
    <t>t max. compensada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</si>
  <si>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int.</t>
    </r>
    <r>
      <rPr>
        <i/>
        <sz val="8.8000000000000007"/>
        <rFont val="Calibri"/>
        <family val="2"/>
      </rPr>
      <t>)</t>
    </r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</si>
  <si>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der.</t>
    </r>
    <r>
      <rPr>
        <i/>
        <sz val="8.8000000000000007"/>
        <rFont val="Calibri"/>
        <family val="2"/>
      </rPr>
      <t>)</t>
    </r>
  </si>
  <si>
    <t>Interp.</t>
  </si>
  <si>
    <t>kPa</t>
  </si>
  <si>
    <t>Rango calibrado Certificado</t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</si>
  <si>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</si>
  <si>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r>
      <rPr>
        <b/>
        <sz val="11"/>
        <color theme="1"/>
        <rFont val="Calibri"/>
        <family val="2"/>
        <scheme val="minor"/>
      </rPr>
      <t xml:space="preserve">Cert. </t>
    </r>
    <r>
      <rPr>
        <b/>
        <i/>
        <sz val="11"/>
        <color theme="1"/>
        <rFont val="Calibri"/>
        <family val="2"/>
        <scheme val="minor"/>
      </rPr>
      <t>p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</si>
  <si>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t>*Comp. - compensado</t>
  </si>
  <si>
    <r>
      <rPr>
        <b/>
        <sz val="11"/>
        <color theme="1"/>
        <rFont val="Calibri"/>
        <family val="2"/>
        <scheme val="minor"/>
      </rPr>
      <t xml:space="preserve">Comp. </t>
    </r>
    <r>
      <rPr>
        <b/>
        <i/>
        <sz val="11"/>
        <color theme="1"/>
        <rFont val="Calibri"/>
        <family val="2"/>
        <scheme val="minor"/>
      </rPr>
      <t>t</t>
    </r>
    <r>
      <rPr>
        <b/>
        <i/>
        <vertAlign val="subscript"/>
        <sz val="11"/>
        <color theme="1"/>
        <rFont val="Calibri"/>
        <family val="2"/>
        <scheme val="minor"/>
      </rPr>
      <t>max</t>
    </r>
    <r>
      <rPr>
        <b/>
        <sz val="11"/>
        <color theme="1"/>
        <rFont val="Calibri"/>
        <family val="2"/>
        <scheme val="minor"/>
      </rPr>
      <t/>
    </r>
  </si>
  <si>
    <r>
      <rPr>
        <b/>
        <sz val="11"/>
        <color theme="1"/>
        <rFont val="Calibri"/>
        <family val="2"/>
        <scheme val="minor"/>
      </rPr>
      <t>Comp.</t>
    </r>
    <r>
      <rPr>
        <b/>
        <i/>
        <sz val="11"/>
        <color theme="1"/>
        <rFont val="Calibri"/>
        <family val="2"/>
        <scheme val="minor"/>
      </rPr>
      <t xml:space="preserve"> t</t>
    </r>
    <r>
      <rPr>
        <b/>
        <i/>
        <vertAlign val="subscript"/>
        <sz val="11"/>
        <color theme="1"/>
        <rFont val="Calibri"/>
        <family val="2"/>
        <scheme val="minor"/>
      </rPr>
      <t>min</t>
    </r>
  </si>
  <si>
    <t>Rango funcionam.optimo</t>
  </si>
  <si>
    <r>
      <rPr>
        <b/>
        <i/>
        <sz val="11"/>
        <color theme="1"/>
        <rFont val="Calibri"/>
        <family val="2"/>
        <scheme val="minor"/>
      </rPr>
      <t>k</t>
    </r>
    <r>
      <rPr>
        <b/>
        <sz val="11"/>
        <color theme="1"/>
        <rFont val="Calibri"/>
        <family val="2"/>
        <scheme val="minor"/>
      </rPr>
      <t xml:space="preserve"> [FS/°C]</t>
    </r>
  </si>
  <si>
    <t>Determinación influencia de temp.ambiente a patrones y control CMC</t>
  </si>
  <si>
    <t>Histéresis</t>
  </si>
  <si>
    <t>Desviación estándar</t>
  </si>
  <si>
    <t>Tabla de transformaciones unidades</t>
  </si>
  <si>
    <t>atm</t>
  </si>
  <si>
    <t>inHg (0°C)</t>
  </si>
  <si>
    <t>mmHg (0°C)</t>
  </si>
  <si>
    <t>cmHg (0°C)</t>
  </si>
  <si>
    <t>https://www.convert-me.com/en/convert/pressure/</t>
  </si>
  <si>
    <t>1er. Patrón utilizado</t>
  </si>
  <si>
    <t>2 do. Patrón utilizado</t>
  </si>
  <si>
    <t>Resolución 1 er. patrón</t>
  </si>
  <si>
    <t>Resolución 2do. patrón</t>
  </si>
  <si>
    <t>Presión de referencia</t>
  </si>
  <si>
    <t>Indicación del instrumento</t>
  </si>
  <si>
    <r>
      <t>u(</t>
    </r>
    <r>
      <rPr>
        <sz val="10"/>
        <rFont val="Symbol"/>
        <family val="1"/>
        <charset val="2"/>
      </rPr>
      <t>d</t>
    </r>
    <r>
      <rPr>
        <i/>
        <sz val="8.8000000000000007"/>
        <rFont val="Calibri"/>
        <family val="2"/>
      </rPr>
      <t>Patr</t>
    </r>
    <r>
      <rPr>
        <i/>
        <vertAlign val="subscript"/>
        <sz val="8.8000000000000007"/>
        <rFont val="Calibri"/>
        <family val="2"/>
      </rPr>
      <t>t</t>
    </r>
    <r>
      <rPr>
        <i/>
        <sz val="8.8000000000000007"/>
        <rFont val="Calibri"/>
        <family val="2"/>
      </rPr>
      <t>)</t>
    </r>
  </si>
  <si>
    <t>Influencia ambiental patron</t>
  </si>
  <si>
    <t>Diferencia de altura entre referencia y equipo</t>
  </si>
  <si>
    <r>
      <t>u(</t>
    </r>
    <r>
      <rPr>
        <sz val="10"/>
        <rFont val="Symbol"/>
        <family val="1"/>
        <charset val="2"/>
      </rPr>
      <t>d</t>
    </r>
    <r>
      <rPr>
        <i/>
        <sz val="10"/>
        <rFont val="Calibri"/>
        <family val="2"/>
      </rPr>
      <t>h)</t>
    </r>
  </si>
  <si>
    <t>Diferencia de altura</t>
  </si>
  <si>
    <t>Diferencia de altura (m)</t>
  </si>
  <si>
    <t>Fluido utilizado</t>
  </si>
  <si>
    <t>Aire</t>
  </si>
  <si>
    <t>Agua</t>
  </si>
  <si>
    <t>Division de escala (m)</t>
  </si>
  <si>
    <t>u(t)</t>
  </si>
  <si>
    <r>
      <t>u(h</t>
    </r>
    <r>
      <rPr>
        <i/>
        <vertAlign val="subscript"/>
        <sz val="11"/>
        <color theme="1"/>
        <rFont val="Calibri"/>
        <family val="2"/>
        <scheme val="minor"/>
      </rPr>
      <t>r</t>
    </r>
    <r>
      <rPr>
        <i/>
        <sz val="11"/>
        <color theme="1"/>
        <rFont val="Calibri"/>
        <family val="2"/>
        <scheme val="minor"/>
      </rPr>
      <t>)</t>
    </r>
  </si>
  <si>
    <r>
      <t>u(p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</si>
  <si>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t>Densidad de aire [kg/m</t>
    </r>
    <r>
      <rPr>
        <vertAlign val="super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>]</t>
    </r>
  </si>
  <si>
    <r>
      <t>u(</t>
    </r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i/>
        <sz val="11"/>
        <color theme="1"/>
        <rFont val="Calibri"/>
        <family val="2"/>
        <scheme val="minor"/>
      </rPr>
      <t>)</t>
    </r>
  </si>
  <si>
    <r>
      <rPr>
        <i/>
        <sz val="11"/>
        <color theme="1"/>
        <rFont val="Symbol"/>
        <family val="1"/>
        <charset val="2"/>
      </rPr>
      <t>r</t>
    </r>
    <r>
      <rPr>
        <i/>
        <vertAlign val="subscript"/>
        <sz val="11"/>
        <color theme="1"/>
        <rFont val="Calibri"/>
        <family val="2"/>
        <scheme val="minor"/>
      </rPr>
      <t>a</t>
    </r>
  </si>
  <si>
    <t>Interpolación corrección y deriva patrón 1</t>
  </si>
  <si>
    <t>Interpolación corrección y deriva patrón 2</t>
  </si>
  <si>
    <t>Presión de calibración</t>
  </si>
  <si>
    <t>Agua:</t>
  </si>
  <si>
    <r>
      <t>u(δInst</t>
    </r>
    <r>
      <rPr>
        <i/>
        <vertAlign val="subscript"/>
        <sz val="10"/>
        <rFont val="Calibri"/>
        <family val="2"/>
      </rPr>
      <t>d</t>
    </r>
    <r>
      <rPr>
        <i/>
        <sz val="10"/>
        <rFont val="Calibri"/>
        <family val="2"/>
      </rPr>
      <t>)</t>
    </r>
  </si>
  <si>
    <r>
      <t>u(δInst</t>
    </r>
    <r>
      <rPr>
        <i/>
        <vertAlign val="subscript"/>
        <sz val="10"/>
        <rFont val="Calibri"/>
        <family val="2"/>
      </rPr>
      <t>rep</t>
    </r>
    <r>
      <rPr>
        <i/>
        <sz val="10"/>
        <rFont val="Calibri"/>
        <family val="2"/>
      </rPr>
      <t>)</t>
    </r>
  </si>
  <si>
    <t>Histéresis del instrumento</t>
  </si>
  <si>
    <r>
      <t>u(δInst</t>
    </r>
    <r>
      <rPr>
        <i/>
        <vertAlign val="subscript"/>
        <sz val="10"/>
        <rFont val="Calibri"/>
        <family val="2"/>
      </rPr>
      <t>hist</t>
    </r>
    <r>
      <rPr>
        <i/>
        <sz val="10"/>
        <rFont val="Calibri"/>
        <family val="2"/>
      </rPr>
      <t>)</t>
    </r>
  </si>
  <si>
    <t>Influencia temperatura instrumeto</t>
  </si>
  <si>
    <r>
      <t>u(δInst</t>
    </r>
    <r>
      <rPr>
        <i/>
        <vertAlign val="subscript"/>
        <sz val="10"/>
        <rFont val="Calibri"/>
        <family val="2"/>
      </rPr>
      <t>t</t>
    </r>
    <r>
      <rPr>
        <i/>
        <sz val="10"/>
        <rFont val="Calibri"/>
        <family val="2"/>
      </rPr>
      <t>)</t>
    </r>
  </si>
  <si>
    <t>% de intervalo</t>
  </si>
  <si>
    <t>®</t>
  </si>
  <si>
    <t>Interpolación corrección patrón 1</t>
  </si>
  <si>
    <t>Interpolación incertidumbre patrón 2</t>
  </si>
  <si>
    <t>Interpolación incertidumbre patrón 1</t>
  </si>
  <si>
    <t>Interpolación deriva patrón 1</t>
  </si>
  <si>
    <t>Interpolación corrección patrón 2</t>
  </si>
  <si>
    <t>Interpolación deriva patrón 2</t>
  </si>
  <si>
    <t>1 psi</t>
  </si>
  <si>
    <t>Clase equipo a calibrar</t>
  </si>
  <si>
    <t>Ciclos de calibración:</t>
  </si>
  <si>
    <t>Puntos de calibración:</t>
  </si>
  <si>
    <t>Analógico:</t>
  </si>
  <si>
    <t>Digital:</t>
  </si>
  <si>
    <t>Calculo de la densidad del aire con otra formula</t>
  </si>
  <si>
    <t>k1=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</si>
  <si>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)*ªC/hPa</t>
    </r>
  </si>
  <si>
    <t>k2=</t>
  </si>
  <si>
    <r>
      <t>(kg/m</t>
    </r>
    <r>
      <rPr>
        <vertAlign val="superscript"/>
        <sz val="10"/>
        <rFont val="Arial"/>
        <family val="2"/>
      </rPr>
      <t>3</t>
    </r>
    <r>
      <rPr>
        <sz val="11"/>
        <color theme="1"/>
        <rFont val="Calibri"/>
        <family val="2"/>
        <scheme val="minor"/>
      </rPr>
      <t>)</t>
    </r>
  </si>
  <si>
    <t>k3=</t>
  </si>
  <si>
    <r>
      <t>(kg/m</t>
    </r>
    <r>
      <rPr>
        <vertAlign val="superscript"/>
        <sz val="10"/>
        <rFont val="Arial"/>
        <family val="2"/>
      </rPr>
      <t>3</t>
    </r>
    <r>
      <rPr>
        <sz val="10"/>
        <rFont val="Arial"/>
        <family val="2"/>
      </rPr>
      <t>)*ªC</t>
    </r>
  </si>
  <si>
    <r>
      <t>u</t>
    </r>
    <r>
      <rPr>
        <i/>
        <vertAlign val="subscript"/>
        <sz val="11"/>
        <color theme="1"/>
        <rFont val="Calibri"/>
        <family val="2"/>
        <scheme val="minor"/>
      </rPr>
      <t>i</t>
    </r>
    <r>
      <rPr>
        <i/>
        <sz val="11"/>
        <color theme="1"/>
        <rFont val="Calibri"/>
        <family val="2"/>
        <scheme val="minor"/>
      </rPr>
      <t>(y)=u(δI</t>
    </r>
    <r>
      <rPr>
        <i/>
        <vertAlign val="subscript"/>
        <sz val="11"/>
        <color theme="1"/>
        <rFont val="Calibri"/>
        <family val="2"/>
        <scheme val="minor"/>
      </rPr>
      <t>rep</t>
    </r>
    <r>
      <rPr>
        <i/>
        <sz val="11"/>
        <color theme="1"/>
        <rFont val="Calibri"/>
        <family val="2"/>
        <scheme val="minor"/>
      </rPr>
      <t>)+u(δInsthist)</t>
    </r>
  </si>
  <si>
    <t>Certificado Presión</t>
  </si>
  <si>
    <t>Identificación del certificado:</t>
  </si>
  <si>
    <t>Código de servicio:</t>
  </si>
  <si>
    <t>Fecha de calibración:</t>
  </si>
  <si>
    <t>Objeto de calibración:</t>
  </si>
  <si>
    <t>Fabricante/Marca:</t>
  </si>
  <si>
    <t>Serie:</t>
  </si>
  <si>
    <t>Modelo:</t>
  </si>
  <si>
    <t>Rango de medida:</t>
  </si>
  <si>
    <t>Resolución:</t>
  </si>
  <si>
    <t>Código de identificación:</t>
  </si>
  <si>
    <t>Solicitante:</t>
  </si>
  <si>
    <t>Dirección del solicitante:</t>
  </si>
  <si>
    <t>Lugar de calibración:</t>
  </si>
  <si>
    <t>Resultados de la calibración</t>
  </si>
  <si>
    <t>Indicación del equipo</t>
  </si>
  <si>
    <t>Incertidumbre expandida K = 2</t>
  </si>
  <si>
    <t>Resultados en Unidad del Sistema Internacional de Unidades</t>
  </si>
  <si>
    <t xml:space="preserve">Condiciones ambientales  </t>
  </si>
  <si>
    <t>Presión atmosférica</t>
  </si>
  <si>
    <t>Temperatura:</t>
  </si>
  <si>
    <t>°C ±</t>
  </si>
  <si>
    <t>±</t>
  </si>
  <si>
    <t>Humedad relativa:</t>
  </si>
  <si>
    <t>% ±</t>
  </si>
  <si>
    <t>%</t>
  </si>
  <si>
    <t>Método de calibración</t>
  </si>
  <si>
    <t>Incertidumbre de los datos</t>
  </si>
  <si>
    <t>La incertidumbre de las medición se obtuvo multiplicando la incertidumbre estándar combinada por un factor de cobertura k = 2, con el que se alcanza un nivel de confianza de al menos 95 %. La incertidumbre estándar de la medición se determinó conforme a la Guía para la Expresión de la Incertidumbre de la Medida, BIPM-IEC-IFCC-ISO-IUPAC-IUPAP-OIML, en la cual se toma en cuenta la incertidumbre de los patrones, del método de calibración, de las condiciones durante la calibración y del equipo sujeto a calibración.</t>
  </si>
  <si>
    <t>Descripción de patrones utilizados</t>
  </si>
  <si>
    <t>Trazabilidad</t>
  </si>
  <si>
    <t>Próxima Calibración</t>
  </si>
  <si>
    <t>Observaciones</t>
  </si>
  <si>
    <t>Es responsabilidad del encargado del instrumento establecer la frecuencia del servicio de calibración.</t>
  </si>
  <si>
    <t>Los resultados emitidos en este certificado corresponden únicamente al objeto calibrado y a las magnitudes</t>
  </si>
  <si>
    <t>especificadas al momento de realizar el servicio.</t>
  </si>
  <si>
    <t>Nulo sin sello y firma</t>
  </si>
  <si>
    <t xml:space="preserve"> .................Fin del certificado................</t>
  </si>
  <si>
    <t>Rango de medida total</t>
  </si>
  <si>
    <t>Módulo de presión</t>
  </si>
  <si>
    <t>20170925-97-1</t>
  </si>
  <si>
    <t>SCM</t>
  </si>
  <si>
    <t>201710-18-97-6</t>
  </si>
  <si>
    <t xml:space="preserve">SCM </t>
  </si>
  <si>
    <t>Trazabilidad de los patrones utilizados</t>
  </si>
  <si>
    <t>Fecha de Calibración</t>
  </si>
  <si>
    <t>Identificación del Equipo</t>
  </si>
  <si>
    <t>Código del Certificado</t>
  </si>
  <si>
    <t>706340</t>
  </si>
  <si>
    <t>0.1 %</t>
  </si>
  <si>
    <t>HEISE</t>
  </si>
  <si>
    <t>CC</t>
  </si>
  <si>
    <t>Laboratorio Metrocal (Metrología Consultores S.A)</t>
  </si>
  <si>
    <t>NI-MCPD-05</t>
  </si>
  <si>
    <t>Diferencia de Altura (m)</t>
  </si>
  <si>
    <t xml:space="preserve">Cinta métrica </t>
  </si>
  <si>
    <t>201710-18-97-7</t>
  </si>
  <si>
    <t>NI-MCPPT-06</t>
  </si>
  <si>
    <t>Extech</t>
  </si>
  <si>
    <t>Presión (hPa):</t>
  </si>
  <si>
    <t>Barómetro-Termohigrometro</t>
  </si>
  <si>
    <t>201710-18-97-8</t>
  </si>
  <si>
    <t>Temp (º C)</t>
  </si>
  <si>
    <t>%HR</t>
  </si>
  <si>
    <t>Presión</t>
  </si>
  <si>
    <t>Iniciales</t>
  </si>
  <si>
    <t>Finales</t>
  </si>
  <si>
    <t>NI-MCPP-05</t>
  </si>
  <si>
    <t>DT681-02-CP300PSI-N</t>
  </si>
  <si>
    <t>0 psi a 200 psi</t>
  </si>
  <si>
    <t>200</t>
  </si>
  <si>
    <t>0</t>
  </si>
  <si>
    <t>Factores de conversión</t>
  </si>
  <si>
    <t>El factor de conversión al SI corresponde a 1 kg/m² = 0,009 806 65 kPa</t>
  </si>
  <si>
    <t>El factor de conversión al SI corresponde a 1 kg/cm² = 98,0665 kPa</t>
  </si>
  <si>
    <t>El factor de conversión al SI corresponde a 1 lbf/ft² = 0,047 880 3 kPa</t>
  </si>
  <si>
    <t>El factor de conversión al SI corresponde a 1 lbf/in² = 0,047 880 3 kPa</t>
  </si>
  <si>
    <t>El factor de conversión al SI corresponde a 1 tonf/ft² = 107,252 kPa</t>
  </si>
  <si>
    <t>El factor de conversión al SI corresponde a 1 tonf/in² = 15 444,3 kPa</t>
  </si>
  <si>
    <t>El factor de conversión al SI corresponde a 1 mbar = 0,1 kPa</t>
  </si>
  <si>
    <t>El factor de conversión al SI corresponde a 1 bar = 100 kPa</t>
  </si>
  <si>
    <t>El factor de conversión al SI corresponde a 1 hbar = 10 000 kPa</t>
  </si>
  <si>
    <t>El factor de conversión al SI corresponde a 1 psi = 6,894 757 kPa</t>
  </si>
  <si>
    <t>El factor de conversión al SI corresponde a 1 inH2O = 0,249 089 kPa</t>
  </si>
  <si>
    <t>El factor de conversión al SI corresponde a 1 ftH2O = 2,989 07 kPa</t>
  </si>
  <si>
    <t>El factor de conversión al SI corresponde a 1 inHg = 3,386 39 kPa</t>
  </si>
  <si>
    <t>El factor de conversión al SI corresponde a 1 mmHg = 0,133322 kPa</t>
  </si>
  <si>
    <t>El factor de conversión al SI corresponde a 1 cmHg = 3,3864 kPa</t>
  </si>
  <si>
    <t>El factor de conversión al SI corresponde a 1 MPa = 1000 kPa</t>
  </si>
  <si>
    <t>El factor de conversión al SI corresponde a 1 Pa = 0,001 kPa</t>
  </si>
  <si>
    <t>El factor de conversión al SI corresponde a 1 hPa = 0,01 kPa</t>
  </si>
  <si>
    <t>El factor de conversión al SI corresponde a 1 mPa = 0,000005 kPa</t>
  </si>
  <si>
    <t>El factor de conversión al SI corresponde a 1 pdl/ft² = 0,001 488 16 kPa</t>
  </si>
  <si>
    <t>El factor de conversión al SI corresponde a 1 N/mm² = 1000 kPa</t>
  </si>
  <si>
    <t>El factor de conversión al SI corresponde a 1 atm = 101,325 kPa</t>
  </si>
  <si>
    <t>El factor de conversión al SI corresponde a 1 torr = 0,133 322 kPa</t>
  </si>
  <si>
    <t>MPa</t>
  </si>
  <si>
    <r>
      <t>kgf/cm</t>
    </r>
    <r>
      <rPr>
        <sz val="11"/>
        <color theme="1"/>
        <rFont val="Calibri"/>
        <family val="2"/>
      </rPr>
      <t>²</t>
    </r>
  </si>
  <si>
    <r>
      <t>mmH₂O (4</t>
    </r>
    <r>
      <rPr>
        <sz val="11"/>
        <color theme="1"/>
        <rFont val="Calibri"/>
        <family val="2"/>
      </rPr>
      <t>°C)</t>
    </r>
  </si>
  <si>
    <r>
      <t>cmH₂O (4</t>
    </r>
    <r>
      <rPr>
        <sz val="11"/>
        <color theme="1"/>
        <rFont val="Calibri"/>
        <family val="2"/>
      </rPr>
      <t>°C)</t>
    </r>
  </si>
  <si>
    <r>
      <t>inH₂O (4</t>
    </r>
    <r>
      <rPr>
        <sz val="11"/>
        <color theme="1"/>
        <rFont val="Calibri"/>
        <family val="2"/>
      </rPr>
      <t>°C)</t>
    </r>
  </si>
  <si>
    <r>
      <t>El factor de conversión al SI corresponde a 1 inH</t>
    </r>
    <r>
      <rPr>
        <sz val="11"/>
        <color theme="1"/>
        <rFont val="Calibri"/>
        <family val="2"/>
      </rPr>
      <t>₂</t>
    </r>
    <r>
      <rPr>
        <sz val="11"/>
        <color theme="1"/>
        <rFont val="Calibri"/>
        <family val="2"/>
        <scheme val="minor"/>
      </rPr>
      <t>O = 0,249 089 kPa</t>
    </r>
  </si>
  <si>
    <t>El factor de conversión al SI corresponde a 1 ftH₂O = 2,989 07 kPa</t>
  </si>
  <si>
    <t>El factor de conversión al SI corresponde a 1 mPa = 0,000001 kPa</t>
  </si>
  <si>
    <t>El factor de conversión al SI corresponde a 1 mmH₂O = 0,0098 kPa</t>
  </si>
  <si>
    <t>El factor de conversión al SI corresponde a 1 cmH₂O = 0,098 kPa</t>
  </si>
  <si>
    <t>El factor de conversión al SI corresponde a 1 kgf/cm² = 98,0665 kPa</t>
  </si>
  <si>
    <r>
      <t>mH₂O (4</t>
    </r>
    <r>
      <rPr>
        <sz val="11"/>
        <color theme="1"/>
        <rFont val="Calibri"/>
        <family val="2"/>
      </rPr>
      <t>°C)</t>
    </r>
  </si>
  <si>
    <t>El factor de conversión al SI corresponde a 1 cmHg = 1,33322 kPa</t>
  </si>
  <si>
    <t>El factor de conversión al SI corresponde a 1 mH₂O = 9,8 kPa</t>
  </si>
  <si>
    <t>mmH₂O (4°C)</t>
  </si>
  <si>
    <t>kgf/cm²</t>
  </si>
  <si>
    <t>cmH₂O (4°C)</t>
  </si>
  <si>
    <t>inH₂O (4°C)</t>
  </si>
  <si>
    <t>mH₂O (4°C)</t>
  </si>
  <si>
    <t>La corrección corresponde al valor del patrón menos la indicación del equipo.</t>
  </si>
  <si>
    <t>La indicación de la presión de referencia y del equipo corresponden al promedio de 4 mediciones en 2 ciclos ascendentes y descendentes.</t>
  </si>
  <si>
    <t>De acuerdo a lo establecido en NTON 07-004-01 Norma Metrológica del Sistema Internacional de Unidades (SI).</t>
  </si>
  <si>
    <t>CMC's Instrumentos de Presión</t>
  </si>
  <si>
    <t>CMC's Presión</t>
  </si>
  <si>
    <t>Rango</t>
  </si>
  <si>
    <t>Incertidumbre</t>
  </si>
  <si>
    <t>Todo en [kPa]</t>
  </si>
  <si>
    <t>min (kPa)</t>
  </si>
  <si>
    <t>max (kPa)</t>
  </si>
  <si>
    <t>CMC (kPa)</t>
  </si>
  <si>
    <r>
      <t>a</t>
    </r>
    <r>
      <rPr>
        <vertAlign val="subscript"/>
        <sz val="11"/>
        <color theme="1"/>
        <rFont val="Calibri"/>
        <family val="2"/>
        <scheme val="minor"/>
      </rPr>
      <t>0</t>
    </r>
  </si>
  <si>
    <r>
      <t>a</t>
    </r>
    <r>
      <rPr>
        <vertAlign val="subscript"/>
        <sz val="11"/>
        <color theme="1"/>
        <rFont val="Calibri"/>
        <family val="2"/>
        <scheme val="minor"/>
      </rPr>
      <t>1</t>
    </r>
  </si>
  <si>
    <r>
      <t>a</t>
    </r>
    <r>
      <rPr>
        <vertAlign val="subscript"/>
        <sz val="11"/>
        <color theme="1"/>
        <rFont val="Calibri"/>
        <family val="2"/>
        <scheme val="minor"/>
      </rPr>
      <t>2</t>
    </r>
  </si>
  <si>
    <r>
      <t>a</t>
    </r>
    <r>
      <rPr>
        <vertAlign val="subscript"/>
        <sz val="11"/>
        <color theme="1"/>
        <rFont val="Calibri"/>
        <family val="2"/>
        <scheme val="minor"/>
      </rPr>
      <t>3</t>
    </r>
  </si>
  <si>
    <r>
      <t>a</t>
    </r>
    <r>
      <rPr>
        <vertAlign val="subscript"/>
        <sz val="11"/>
        <color theme="1"/>
        <rFont val="Calibri"/>
        <family val="2"/>
        <scheme val="minor"/>
      </rPr>
      <t>4</t>
    </r>
  </si>
  <si>
    <t>Valor Nominal</t>
  </si>
  <si>
    <t>Expresada como función</t>
  </si>
  <si>
    <t>Punto #</t>
  </si>
  <si>
    <t>Pref</t>
  </si>
  <si>
    <r>
      <t>U</t>
    </r>
    <r>
      <rPr>
        <i/>
        <vertAlign val="subscript"/>
        <sz val="11"/>
        <color theme="1"/>
        <rFont val="Calibri"/>
        <family val="2"/>
        <scheme val="minor"/>
      </rPr>
      <t>95</t>
    </r>
    <r>
      <rPr>
        <i/>
        <sz val="11"/>
        <color theme="1"/>
        <rFont val="Calibri"/>
        <family val="2"/>
        <scheme val="minor"/>
      </rPr>
      <t>=ku</t>
    </r>
    <r>
      <rPr>
        <i/>
        <vertAlign val="subscript"/>
        <sz val="11"/>
        <color theme="1"/>
        <rFont val="Calibri"/>
        <family val="2"/>
        <scheme val="minor"/>
      </rPr>
      <t>n</t>
    </r>
    <r>
      <rPr>
        <i/>
        <sz val="11"/>
        <color theme="1"/>
        <rFont val="Calibri"/>
        <family val="2"/>
        <scheme val="minor"/>
      </rPr>
      <t>(E)</t>
    </r>
  </si>
  <si>
    <t>CMC min</t>
  </si>
  <si>
    <t>27 a 33</t>
  </si>
  <si>
    <t>Punto 1</t>
  </si>
  <si>
    <t>Punto 2</t>
  </si>
  <si>
    <t>Punto 3</t>
  </si>
  <si>
    <t>Punto 4</t>
  </si>
  <si>
    <t>Punto 5</t>
  </si>
  <si>
    <t>7 a 17</t>
  </si>
  <si>
    <t>Punto 6</t>
  </si>
  <si>
    <t>Punto 7</t>
  </si>
  <si>
    <t>Punto 8</t>
  </si>
  <si>
    <t>Punto 9</t>
  </si>
  <si>
    <t>Punto 10</t>
  </si>
  <si>
    <t>Agricola el Cardon S.A.</t>
  </si>
  <si>
    <t>Chinandega el Realejo - Carrtera a Corinto, trocha cañera el Ensayo 5 km</t>
  </si>
  <si>
    <t>Centro Sor María Romero 200 m Oeste, Estelí</t>
  </si>
  <si>
    <t>Agroexport S,A.</t>
  </si>
  <si>
    <t>Gasolinera Puma Las Marias 700 m Carretera al Tuma.</t>
  </si>
  <si>
    <t xml:space="preserve">Agricola Nicavista </t>
  </si>
  <si>
    <t>Ciudad Rama, Atlántico Sur, Nicaragua</t>
  </si>
  <si>
    <t>Apen</t>
  </si>
  <si>
    <t xml:space="preserve">ABASA Coca-Cola </t>
  </si>
  <si>
    <t>km 126,5 ruta al Atlántico, Rio Hondo, Zacapa - Guatemala</t>
  </si>
  <si>
    <t>Agencia Aduanera GRH S,A.</t>
  </si>
  <si>
    <t>De Los Semáforos de Sabana Grande 1 500 m Este.</t>
  </si>
  <si>
    <t>Plaza España, Edificio Malaga Módulo E8</t>
  </si>
  <si>
    <t>Frente a la Tropigas Cuesta El Plomo, Managua</t>
  </si>
  <si>
    <t xml:space="preserve">ATB TRADING </t>
  </si>
  <si>
    <t>km 11,5 Carretera Masaya, contiguo Bayer</t>
  </si>
  <si>
    <t>Banco de Sangre</t>
  </si>
  <si>
    <t>Reparto Belmonte 7 Sur, Contiguo a La Cruz Roja</t>
  </si>
  <si>
    <t>km 114,5 Carretera Sébaco - Matagalpa</t>
  </si>
  <si>
    <t>km 115 Carretera Sébaco - Matagalpa</t>
  </si>
  <si>
    <t>km 120 Carretera Sebaco-Matagalpa</t>
  </si>
  <si>
    <t>Beneficio Las Nubes Inrocasa</t>
  </si>
  <si>
    <t>km 122,5 Carretera Matagalpa-Managua, del puente Waswali 100 m Norte, 200 m Oeste</t>
  </si>
  <si>
    <t>km 10 Carretera Tola-Las Salinas, Rivas</t>
  </si>
  <si>
    <t>km 8,5 Carretera Masaya, 100 m Oeste, Managua</t>
  </si>
  <si>
    <t>De Los Semáforos del Hotel Fronteras 800 m Oeste, Ocotal-Nueva Segovia</t>
  </si>
  <si>
    <t>Inspectorate America corp</t>
  </si>
  <si>
    <t>Km 17 Carretera a Masaya</t>
  </si>
  <si>
    <t>Jinotega, Banpro 100 m Este</t>
  </si>
  <si>
    <t>CIRA/UNAN-Managua</t>
  </si>
  <si>
    <t>km 82,5 Carretera León - Managua</t>
  </si>
  <si>
    <t>Cocesna</t>
  </si>
  <si>
    <t>Hospital España 5 km al Oeste</t>
  </si>
  <si>
    <t>Consorcio Europeo Hospital de Chinandega</t>
  </si>
  <si>
    <t>Chinandega</t>
  </si>
  <si>
    <t>Puerto Sandino</t>
  </si>
  <si>
    <t>Distribuidora de Carbón El Milagrito</t>
  </si>
  <si>
    <t>km 44,5 Carretera Vieja a León, Empalme El Transito, 5 km Sur.</t>
  </si>
  <si>
    <t>km 15,2 Carretera a Masaya</t>
  </si>
  <si>
    <t>Calle 27 de Mayo CST 100 m Sur 200 m Este, Managua</t>
  </si>
  <si>
    <t>Eddy Job Pallais Vallecillo</t>
  </si>
  <si>
    <t>La Paz Centro, cancha 100 m Oeste, 50 m Norte</t>
  </si>
  <si>
    <t>ENEL</t>
  </si>
  <si>
    <t>km 48,5 Carretera Tipitapa Masaya frente a Astro Cartón</t>
  </si>
  <si>
    <t>Rotonda El Güegüense, Managua</t>
  </si>
  <si>
    <t>km 123 Carretera Panamericana Sur, del empalme de La Virgen, 400 m Sur, Rivas</t>
  </si>
  <si>
    <t>Carretera Panamericana km 215,5 Somoto-Madriz</t>
  </si>
  <si>
    <t>Portón Principal Hospital Bautista 100 m Sur, 8 m Oeste</t>
  </si>
  <si>
    <t>De donde fue La Pepsi 200 m Lago</t>
  </si>
  <si>
    <t>Gunnar James</t>
  </si>
  <si>
    <t>Pista Sabana Grande 150 m Sur</t>
  </si>
  <si>
    <t>km 185 Carretera Jinotega San Rafael del Norte</t>
  </si>
  <si>
    <t>Km 14,5 Carrtera Nueva a León</t>
  </si>
  <si>
    <t>km 12,5 Carretera Norte, Parque Industrial Las Mercedes, modulo # 35</t>
  </si>
  <si>
    <t>km 121 Carretera Sebaco-Matagalpa, frente a portones de SOLCAFE</t>
  </si>
  <si>
    <t>Hacienda la Hammonia y Cia. Ltda</t>
  </si>
  <si>
    <t>Frente al Restaurante El Pullazo, Las Tejas km 125, Carretera Matagalpa Sebaco</t>
  </si>
  <si>
    <t>Instituto Nicaragüense del Cemento y del Concreto (INCYC)</t>
  </si>
  <si>
    <t>Los semáforos de claro Villa Fontana, 100 m al este 150 m al norte</t>
  </si>
  <si>
    <t>Paso a Desnivel Portezuelo 300 m Norte</t>
  </si>
  <si>
    <t>Incasa</t>
  </si>
  <si>
    <t>km 30 Carretera Managua-Granada</t>
  </si>
  <si>
    <t>km 26,5 Carretera Tipitapa - Masaya</t>
  </si>
  <si>
    <t>Industrias Toro S.A.</t>
  </si>
  <si>
    <t>De La Parmalat 500 m lago, 200 m arriba</t>
  </si>
  <si>
    <t>km 148,5 Carretera El Viejo-Potosí Chinandega</t>
  </si>
  <si>
    <t>Semaforos del Club Terraza, 75 vrs Sur, Edificio Discover II-3er piso</t>
  </si>
  <si>
    <t>Residencial Mayales, casa N° 62, Esquipulas</t>
  </si>
  <si>
    <t>km 12,5 Carretera Norte, Zona Franca Industrial Las Mercedes, módulos 32-33 y 45</t>
  </si>
  <si>
    <t>Banpro 100 m al Este, 10 vrs al Sur, Matagalpa-Nicaragua</t>
  </si>
  <si>
    <t>km 4 Carretera Norte, Managua.</t>
  </si>
  <si>
    <t>Laboratorios Ceguel</t>
  </si>
  <si>
    <t>Carretera Masaya km 45,5 Granada</t>
  </si>
  <si>
    <t>Mina La India, km 174 Carretera León-San Isidro</t>
  </si>
  <si>
    <t>Laboratorio Nacional de Diagnostico Veterinario y Microbiología de los Alimentos</t>
  </si>
  <si>
    <t>Laboratorio Nacional de Residuos Químicos y Biológicos</t>
  </si>
  <si>
    <t>Bo. Casimiro Sotelo Enel Central 300 vrs Sur, Managua</t>
  </si>
  <si>
    <t>km 138 Carretera a Corinto, Chinandega</t>
  </si>
  <si>
    <t>km 83 Carretera León</t>
  </si>
  <si>
    <t>Carretera Panamericana, km 153 Estelí, Nicaragua</t>
  </si>
  <si>
    <t>Laboratorio Clinico San Angel</t>
  </si>
  <si>
    <t>Esquina de Los Bancos 50 m Sur, Chinandega</t>
  </si>
  <si>
    <t>Luis Alberto Chavez</t>
  </si>
  <si>
    <t>Lomas de Tiscapa, antiguo Hospital Militar</t>
  </si>
  <si>
    <t>Luis Alberto Balladarez</t>
  </si>
  <si>
    <t>Beneficio Las Segovias, Semáforos Hotel Frontera 800 m Oeste, 125 vrs Sur, 25 vrs Oeste, Ocotal, Nueva Segovia</t>
  </si>
  <si>
    <t>Matadero Central, S.A.</t>
  </si>
  <si>
    <t>km 130 Carretera Managua a Juigalpa</t>
  </si>
  <si>
    <t>Matadero Cacique</t>
  </si>
  <si>
    <t>Mangosa</t>
  </si>
  <si>
    <t>Comunidad de El Jicaral, León</t>
  </si>
  <si>
    <t>Ministerio de Transporte e Infraestructura</t>
  </si>
  <si>
    <t>Frente Al Estadio de Béisbol Denis Martinez</t>
  </si>
  <si>
    <t>Mudanzas Mundiales S.A.</t>
  </si>
  <si>
    <t>Bo. Altagracia, Frente al costado Norte Restaurante El Eskimo, edificio de una planta color blanco, portones negros, Managua</t>
  </si>
  <si>
    <t>Multiagro &amp; Cia Ltda Beneficio de Café El taburete</t>
  </si>
  <si>
    <t>km 116 Carretera Sebaco-Matagalpa</t>
  </si>
  <si>
    <t>Multiagro &amp; Cia Ltda Beneficio de Café El Galpón</t>
  </si>
  <si>
    <t>km 122 Carretera Sebaco-Matagalpa</t>
  </si>
  <si>
    <t>km 12,5 Carretera Norte, Parque Industrial Las Mercedes, modulo # 3738</t>
  </si>
  <si>
    <t>Orgoma-Nicaragua</t>
  </si>
  <si>
    <t>ORTYCAST</t>
  </si>
  <si>
    <t>Semaforos Delicias del Volga, 200 m Norte, 200 m Oeste</t>
  </si>
  <si>
    <t>Productos Frescos del Mar San Carlos</t>
  </si>
  <si>
    <t>De La Aldea Santa Elena Choluteca, Honduras, km 2 Carretera hacia Balneario Cedeño</t>
  </si>
  <si>
    <t>Puerto Cabezas, Nicaragua</t>
  </si>
  <si>
    <t>Del puesto de buses (terminal) Masatepe 800 m Sur</t>
  </si>
  <si>
    <t>Base cuesta del plomo, Refinería, Managua</t>
  </si>
  <si>
    <t>PLEICSA</t>
  </si>
  <si>
    <t>km 13,5 Carretera Sur, de la Iglesia Monte Tabor 500 m Sur, Entrada a la muela</t>
  </si>
  <si>
    <t>De donde fue La Kativo, 500 m Sur</t>
  </si>
  <si>
    <t>RETECSA</t>
  </si>
  <si>
    <t>km 12,5 Carretera Norte, Parque Industrial Las Mercedes, modulo # 15</t>
  </si>
  <si>
    <t>Valle de Esquipulas, de las cuatro esquinas de las Enrramadas 150 m Oeste</t>
  </si>
  <si>
    <t>Pista La Sabana Frente a Supermercados La Colonia a un costado del bar La Barra</t>
  </si>
  <si>
    <t>De Alke Carretera a Masaya 100 m abajo, 100 Sur, 50 m abajo, contiguo a La Embajada de Chile, Los Robles</t>
  </si>
  <si>
    <t>Servilab Nicaragua</t>
  </si>
  <si>
    <t>Casa Pellas Acahualinca 2 c arriba 1c Sur</t>
  </si>
  <si>
    <t>Ofiplaza El Retiro, Edificio 8, Suite 812, Rotonda del Periodista 150 m Sur</t>
  </si>
  <si>
    <t xml:space="preserve">Sovereign Logistics </t>
  </si>
  <si>
    <t>Lomas del Valle N°13 B</t>
  </si>
  <si>
    <t>Simplemente Madera Millworks S.A.</t>
  </si>
  <si>
    <t>km 12,5 Carretera Nueva León, Entrada a Xiloa 300 m Hacia La Laguna</t>
  </si>
  <si>
    <t>Tabacalera Tavicusa S,A.</t>
  </si>
  <si>
    <t>Surtidora El Oriental 50 m Este, Estelí</t>
  </si>
  <si>
    <t>Tabacalera Perdomo S.A</t>
  </si>
  <si>
    <t>De La Rotonda El Cepad 200 m Norte, 50 m Este, Barrio Dios Proveera de Estelí</t>
  </si>
  <si>
    <t>De La Rotonda El Cepad 100 m Este, Estelí</t>
  </si>
  <si>
    <t>Texnica Internacional S.A.</t>
  </si>
  <si>
    <t>De estación de servicio UNO salida Norte, 800 m Norte, Carretera Miraflor-Estelí</t>
  </si>
  <si>
    <t>Nagarote</t>
  </si>
  <si>
    <t>Estelí, De Comercial Erwin 200 m Sur, 50 m Oeste</t>
  </si>
  <si>
    <t>De Enel Central 2,5 km al Sur. Villa Fontana</t>
  </si>
  <si>
    <t>UCCEI R.L</t>
  </si>
  <si>
    <t>km 119,7 Carretera a Sébaco-Matagalpa</t>
  </si>
  <si>
    <t>km 8 Carretera Norte, 500 m Sur,Parque Industrial El Transito, Bodega 16B</t>
  </si>
  <si>
    <t>Este certificado de calibración no debe ser reproducido sin la aprobación del laboratorio, excepto cuando se</t>
  </si>
  <si>
    <t>reproduce en su totalidad.</t>
  </si>
  <si>
    <t>Fecha de emisión del certificado:</t>
  </si>
  <si>
    <t>20181106-28-1</t>
  </si>
  <si>
    <t>20190513-102-6</t>
  </si>
  <si>
    <t>20190513-102-8</t>
  </si>
  <si>
    <t>Número de ciclos</t>
  </si>
  <si>
    <t>Factor de covertura, k, para diferentes grados efectivos de libertad, neff</t>
  </si>
  <si>
    <t>neff</t>
  </si>
  <si>
    <t>¥</t>
  </si>
  <si>
    <t>La indicación de la presión de referencia y del equipo corresponden al promedio de 6 mediciones en 3 ciclos ascendentes y descendentes.</t>
  </si>
  <si>
    <t>20190819-28-40</t>
  </si>
  <si>
    <t>20190819-28-41</t>
  </si>
  <si>
    <t>20170925-97-2</t>
  </si>
  <si>
    <t>Manómetro digital</t>
  </si>
  <si>
    <t xml:space="preserve">Higrotermometro </t>
  </si>
  <si>
    <t>20181106-28-2</t>
  </si>
  <si>
    <t>20190513-102-7</t>
  </si>
  <si>
    <t>20190513-102-3</t>
  </si>
  <si>
    <t>20190513-102-2</t>
  </si>
  <si>
    <t>Las pruebas se realizaron según NI-MCIT-P-01 Instrucción para calibración de instrumentos de presión.</t>
  </si>
  <si>
    <t>km 6 Carretera Norte, Managua.</t>
  </si>
  <si>
    <t xml:space="preserve">Laboratorio #2 Metrocal </t>
  </si>
  <si>
    <t>20191129-110-43</t>
  </si>
  <si>
    <t>Instituto Mechnikov S.A.</t>
  </si>
  <si>
    <t>NI-MC-P-XXX-ZZZZ</t>
  </si>
  <si>
    <t>0,16 a 0,44</t>
  </si>
  <si>
    <t>f(kPa)= 6,9350E-03*(kPa) + 7,2933E-01</t>
  </si>
  <si>
    <t>0,17 a 0,39</t>
  </si>
  <si>
    <t>f(kPa)= 3,4982E-04*(kPa) + 1,9987E-01</t>
  </si>
  <si>
    <t>f(kPa)=5,128E-04 * (kPa) + 3,112E+01</t>
  </si>
  <si>
    <t>f(kPa)= 2,3412E-04*(kPa) + 9,0003E+00</t>
  </si>
  <si>
    <t>CMC's de presión en el alcance acreditado según anexo técnico</t>
  </si>
  <si>
    <t>-82,74 kPa a 0 kPa</t>
  </si>
  <si>
    <t>0 kPa a 699,75 kPa</t>
  </si>
  <si>
    <t>700 kPa a 7 000 kPa</t>
  </si>
  <si>
    <t>7001 kPa a 34 500 kPa</t>
  </si>
  <si>
    <t>f(kPa) = 6,9350E-03*(kPa) + 7,2933E-01</t>
  </si>
  <si>
    <t>f(kPa) = 3,4982E-04*(kPa) + 1,9987E-01</t>
  </si>
  <si>
    <t>f(kPa) = 5,128E-04 * (kPa) + 3,112E+01</t>
  </si>
  <si>
    <t>Dirección de la empresa</t>
  </si>
  <si>
    <t xml:space="preserve">A&amp;T Nicaragua S.A. </t>
  </si>
  <si>
    <t>Aalfs Uno S.A.</t>
  </si>
  <si>
    <t>km 105 Carretera Panamericana Sebaco, Matagalpa, Nicaragua</t>
  </si>
  <si>
    <t xml:space="preserve">Aceitera EL Real S.A.   </t>
  </si>
  <si>
    <t xml:space="preserve">Rotonda Los Encuentros, 300 m sur    </t>
  </si>
  <si>
    <t>Acopio y Procesadora de Leche San Antonio/Sarawas </t>
  </si>
  <si>
    <t>Carretera a Siuna KM 265 a 200 varas del puente del río wapi Mulukukú RACCN</t>
  </si>
  <si>
    <t>ACQUASU S.A. de CV</t>
  </si>
  <si>
    <t>km 4,5 Carretera Norte</t>
  </si>
  <si>
    <t>Agricola El Rosario, S.A.</t>
  </si>
  <si>
    <t>El Realejo, km. 145 carretera Chinandega - Corinto, luego 10 km. hacia adentro, hasta llegar a la finca.</t>
  </si>
  <si>
    <t>AgroBioTek Nicaragua S.A</t>
  </si>
  <si>
    <t>Reparto El Carmen, Hyundai Montoya 200 m Este, Managua</t>
  </si>
  <si>
    <t>Beneficio de Café Talia</t>
  </si>
  <si>
    <t>Agroindustrial Nicaraguense de Tabacos S.A.</t>
  </si>
  <si>
    <t>Condega - Estelí</t>
  </si>
  <si>
    <t>Agropecuaria Raminsa S.A.</t>
  </si>
  <si>
    <t>Aivepet Inspecciones Nicaragua S.A.</t>
  </si>
  <si>
    <t xml:space="preserve">Reparto las Palmas, del BAMPRO 2 cuadras al lago, 1 cuadra arriba, ½ cuadra al sur casa 123, (Frente a la Iglesia de los Mormones). </t>
  </si>
  <si>
    <t>Aje Nicaragua S.A.</t>
  </si>
  <si>
    <t>km 3,5 Carretera Norte</t>
  </si>
  <si>
    <t>Albanisa</t>
  </si>
  <si>
    <t>Terminal Benjamín Zeledon Corinto.</t>
  </si>
  <si>
    <t>Alejandro Alonso</t>
  </si>
  <si>
    <t>Managua, Nicaragua</t>
  </si>
  <si>
    <t>Alinsa</t>
  </si>
  <si>
    <t>Km 24.5 Carretera a Tipitapa-Masaya. Nave 24C</t>
  </si>
  <si>
    <t>Almidones de Centroamerica, S.A</t>
  </si>
  <si>
    <t>km 78,6 Carretera Managua-León</t>
  </si>
  <si>
    <t xml:space="preserve">Alpla  Nicaragua S.A.  </t>
  </si>
  <si>
    <t>Carretera 4,5 Carretera Norte</t>
  </si>
  <si>
    <t xml:space="preserve">Alta Research        </t>
  </si>
  <si>
    <t>Alternative Manufacturing S.A.</t>
  </si>
  <si>
    <t xml:space="preserve">Annic II, S.A. </t>
  </si>
  <si>
    <t>km 45,5 Carretera San Marcos-Masatepe, Parque Industrial Las Palmeras</t>
  </si>
  <si>
    <t>Altamar Seafood, S.A</t>
  </si>
  <si>
    <t>Km 9.5 Carretera Nueva a León, frente a Camas Karen</t>
  </si>
  <si>
    <t>Instalaciones del Aereopuerto Internacional Augusto C. Sandino. / km 10,5 Carretera Norte, portón 5 de aduana aérea.</t>
  </si>
  <si>
    <t>Asfaltos Industriales S.A.</t>
  </si>
  <si>
    <t xml:space="preserve">Astaldi S.P.A. </t>
  </si>
  <si>
    <t>Semáforos Club Terraza 150 m oeste, casa #38</t>
  </si>
  <si>
    <t>ASTALDI SPA - PROYECTO Pantasma Wiwili TI</t>
  </si>
  <si>
    <t xml:space="preserve">km 265 Pantasma Wiwili </t>
  </si>
  <si>
    <t>Avicasa</t>
  </si>
  <si>
    <t>Kilómetro 27.5 carretera vieja Tipitapa-San Benito</t>
  </si>
  <si>
    <t>B2GOLD CORP, Desarrollo Minero de Nicaragua S.A.</t>
  </si>
  <si>
    <t>Mina La Libertad Chontales</t>
  </si>
  <si>
    <t>BAIT &amp; SEAFOOD</t>
  </si>
  <si>
    <t>Tiscapa. Barrio Largaespada. Busto José Martí 3 C al Este y 1 C al Norte.</t>
  </si>
  <si>
    <t>Básculas Ramón Nicoya</t>
  </si>
  <si>
    <t>Km 18 carretera nueva a León. Ciudad El Doral casa D-55</t>
  </si>
  <si>
    <t>Básculas Rodriguez</t>
  </si>
  <si>
    <t>Km 130 Chinandega</t>
  </si>
  <si>
    <t xml:space="preserve">Bayer S.A.     </t>
  </si>
  <si>
    <t>km 11,5 Carretera a Masaya</t>
  </si>
  <si>
    <t xml:space="preserve">BENCAFE </t>
  </si>
  <si>
    <t xml:space="preserve">km 107 Carretera a Matagalpa-Sebaco, Frente al Campo de Baseball–Villa Chaguitillo                                                                                         </t>
  </si>
  <si>
    <t>Benediciadora de café La Providencia S.A.</t>
  </si>
  <si>
    <t>Beneficiadora OLAM</t>
  </si>
  <si>
    <t>Beneficio Don Will S.A.</t>
  </si>
  <si>
    <t>Farmacos Bioequivalentes, S.A</t>
  </si>
  <si>
    <t>km 11.4 carretera Masaya, entrada de Esquipulas 150 m al este.</t>
  </si>
  <si>
    <t>Biwater International, LTD.</t>
  </si>
  <si>
    <t xml:space="preserve">Subasta, 1 200 m noroeste         </t>
  </si>
  <si>
    <t>Bluefields Technologies, S.A</t>
  </si>
  <si>
    <t>Portón principal Claro Villa Fontana 1 1/2 C al norte, Casa #259</t>
  </si>
  <si>
    <t>Bolsa Agropecuaria de Nicaragua S.A.</t>
  </si>
  <si>
    <t>Borinquen, S.A (Empacadora de Raices y Tuberculos)</t>
  </si>
  <si>
    <t>km 179 Carretera a Muy Muy, Comunidad el Plomo</t>
  </si>
  <si>
    <t>Brands of The World in America S.A.</t>
  </si>
  <si>
    <t>Km 45 carretera al Pacifico La Boquita, Diriamba, Carazo</t>
  </si>
  <si>
    <t>Brito Real Estate S.A.</t>
  </si>
  <si>
    <t>Burke Agro de Nicaragua S.A.</t>
  </si>
  <si>
    <t>Café Soluble S.A. (Laboratorio Cereales)</t>
  </si>
  <si>
    <t>Café Soluble S.A. (Laboratorio Soluble)</t>
  </si>
  <si>
    <t>Café Soluble S.A. (Planta)</t>
  </si>
  <si>
    <t>Cafetalera Castellon S.A.</t>
  </si>
  <si>
    <t>Km 107 carretera a Matagalpa. Entrada a Chagüitillo 1,5 Km al norte. Matagalpa, Nicaragua.</t>
  </si>
  <si>
    <t>Cafetalera La Bastilla S.A.</t>
  </si>
  <si>
    <t xml:space="preserve">Camanica Zona Franca, S.A.     </t>
  </si>
  <si>
    <t xml:space="preserve">km 130 Carretera a Chinandega     </t>
  </si>
  <si>
    <t>Cambridge Internacional,S.A.</t>
  </si>
  <si>
    <t>Campresa Mariscos Procesadores S.A.</t>
  </si>
  <si>
    <t>km 106 1/2 Carretera panaméricana- Rivas</t>
  </si>
  <si>
    <t>Carbox de Nicaragua, S.A</t>
  </si>
  <si>
    <t>Km 7 1/2 Carretera Norte Edificio Fabrigas Copa Managua, Nicaragua</t>
  </si>
  <si>
    <t>Cargill de Nicaragua S.A.</t>
  </si>
  <si>
    <t xml:space="preserve">Casa del Café S.A. </t>
  </si>
  <si>
    <t>Planteles Claro, 25 m oeste No. 206</t>
  </si>
  <si>
    <t>CEFSA</t>
  </si>
  <si>
    <t>CEGA Nicaragua S.A.</t>
  </si>
  <si>
    <t>Cemex Nicaragua S.A.</t>
  </si>
  <si>
    <t>km 3,5 Carretera Sur, desvío a batahola</t>
  </si>
  <si>
    <t>Centro Nacional de Diagnostico Y Referencia</t>
  </si>
  <si>
    <t>Costado Oeste Colonia Primero de Mayo, Complejo Nacional de Salud Dra. Concepción Palacios.</t>
  </si>
  <si>
    <t>Centrolac, S.A</t>
  </si>
  <si>
    <t>Cereales de Centroamérica S.A.</t>
  </si>
  <si>
    <t>Paso a desnivel Portezuelo, 150 m norte</t>
  </si>
  <si>
    <t>Cervecería Panamá Barú S.A</t>
  </si>
  <si>
    <t>Parque Industrial San Cristobal, Calle Santa Rosa, Bethania, Ciudad de Panamá</t>
  </si>
  <si>
    <t>César Machado</t>
  </si>
  <si>
    <t>Puerto Sandino, el Empalme</t>
  </si>
  <si>
    <t>Cheolmin Park</t>
  </si>
  <si>
    <t xml:space="preserve">CIA. Centroamericana de Productos Lacteos S.A.   </t>
  </si>
  <si>
    <t>Planta Aguadora 200 m norte</t>
  </si>
  <si>
    <t>CIDEA UCA</t>
  </si>
  <si>
    <t>Universidad Centroamericana (UCA), Managua</t>
  </si>
  <si>
    <t>Hospital Monte España 300 m Norte</t>
  </si>
  <si>
    <t>km 10,5 Carretera Norte, Frente a La Aduana Aérea, Managua</t>
  </si>
  <si>
    <t>Cojicafe-Beneficio Las Trincheras</t>
  </si>
  <si>
    <t>Beneficio Las Trincheras, puesto Norte, Jinotega</t>
  </si>
  <si>
    <t>Comercial MW S.A</t>
  </si>
  <si>
    <t>De La Iglesia Las Palmas 30 m abajo, Managua</t>
  </si>
  <si>
    <t>Comercializadora de Maní S.A. (COMASA)</t>
  </si>
  <si>
    <t>km 139 carretera a Corinto</t>
  </si>
  <si>
    <t>Compañia Azucarera del Sur, S.A. (CASUR)</t>
  </si>
  <si>
    <t>Ingenio CASUR, km. 103 carretera Panamericana, Potosi (Rivas).</t>
  </si>
  <si>
    <t xml:space="preserve">Compañía Cervecera de Nicaragua S.A. </t>
  </si>
  <si>
    <t xml:space="preserve">km 6,5 Carretera Norte, Cruz Lorena 800 m norte </t>
  </si>
  <si>
    <t xml:space="preserve">Compañía Licorera de Nicaragua S.A.    </t>
  </si>
  <si>
    <t>Complejo Agroindustrial</t>
  </si>
  <si>
    <t>Empalme de Boaco, km 74.5 carretera Managua el Rama</t>
  </si>
  <si>
    <t>Command Medical</t>
  </si>
  <si>
    <t>Zona Franca Industrial las Mercedes, Módulo 16.</t>
  </si>
  <si>
    <t>Concretera Total S.A.</t>
  </si>
  <si>
    <t>Constructora MECO, S.A</t>
  </si>
  <si>
    <t>Rotonda Ticuantepe 8.5 km al Noreste, carretera hacia Veracruz</t>
  </si>
  <si>
    <t>Consultoría y Construcción S.A.</t>
  </si>
  <si>
    <t>Coopagro R.L.</t>
  </si>
  <si>
    <t>Km 108,5 carretera Managua - Matagalpa</t>
  </si>
  <si>
    <t>Cooperativa Chontalac</t>
  </si>
  <si>
    <t>Km 184,5 Carretera Managua-San Pedro De Lovago</t>
  </si>
  <si>
    <t>Cooperativa Integral de Productores Agroecológicos R.L.</t>
  </si>
  <si>
    <t>kilometro 115 carretera a sebaco matagalpa.</t>
  </si>
  <si>
    <t>Cooperativa Agropecuaria de Servicios Santo Tomás R.L</t>
  </si>
  <si>
    <t>Km 185.5 Carretera Managua- El Rama</t>
  </si>
  <si>
    <t>Coopreleche El Triunfo</t>
  </si>
  <si>
    <t>Nueva Guinea</t>
  </si>
  <si>
    <t>Cooserva R.L</t>
  </si>
  <si>
    <t>Km 212 carretera hacia el Ayote, Chontales</t>
  </si>
  <si>
    <t>COQUIMBA S.A.</t>
  </si>
  <si>
    <t>Corporación Agroindustrial del Pacifico S.A</t>
  </si>
  <si>
    <t>km 132 Carretera a Corinto, De La Rotonda 300 m Sur, Frente a Aceitera El Real S.A</t>
  </si>
  <si>
    <t xml:space="preserve">Corporación Montelimar S.A. </t>
  </si>
  <si>
    <t xml:space="preserve">km 62,5 Carretera a Montelimar         </t>
  </si>
  <si>
    <t>Cruz y Medal</t>
  </si>
  <si>
    <t>Km 252 carretera Managua a San miguelito, Rio San Juan</t>
  </si>
  <si>
    <t>Cruz Reyes y Cia Ltda.</t>
  </si>
  <si>
    <t>km 243 Mulukukú, de la gasolinera puma 200 metros al norte</t>
  </si>
  <si>
    <t>Dasoltex S.A.</t>
  </si>
  <si>
    <t>DHL Global Forwarding Nicaragua S.A.</t>
  </si>
  <si>
    <t>Camino de oriente, edificio U frente al gimnasio Try Fitness</t>
  </si>
  <si>
    <t>Delicarnes, S.A</t>
  </si>
  <si>
    <t>Dicegsa</t>
  </si>
  <si>
    <t>Carretera Sur, km 7, 800 m al este</t>
  </si>
  <si>
    <t>Dimex Nicaragua S.A.</t>
  </si>
  <si>
    <t>Estación Uno plaza el sol 1 cuadra al sur y 1 1/2 media cuadra abajo</t>
  </si>
  <si>
    <t>Diseño y Supervisión, Control de Calidad, S.A (DYSCONCSA)</t>
  </si>
  <si>
    <t>Semáforos del seminario 1C al Norte, 1C Oeste. Casa esquinera – Managua, Nicaragua.</t>
  </si>
  <si>
    <t>Distribuidora Internacional Medwell Nicaragua, S.A</t>
  </si>
  <si>
    <t>Entrada Principal Oncológico 4c al Este, 4c al sur, Lomas de San Judas, Managua</t>
  </si>
  <si>
    <t>Disnorte-Dissur</t>
  </si>
  <si>
    <t>Km 16  carretera nueva a Leon, detrás del cementerio los Brasiles</t>
  </si>
  <si>
    <t>Draexlmaier Partes Automotrices Nicaragua S.A</t>
  </si>
  <si>
    <t>km 25,5 Carretera a Masaya</t>
  </si>
  <si>
    <t>Drew Estate Tobacco Company S.A.</t>
  </si>
  <si>
    <t>Donde fueron Las Aldeas SOS, Barrio Oscar Gamez N°2, Estelí</t>
  </si>
  <si>
    <t>Drogueria Rocha</t>
  </si>
  <si>
    <t xml:space="preserve">km 15,2 Carretera Managua-Masaya </t>
  </si>
  <si>
    <t>E Chamorro Industrial S.A.</t>
  </si>
  <si>
    <t>Edisa</t>
  </si>
  <si>
    <t>EDT Nicaragua, S.A</t>
  </si>
  <si>
    <t>Km 7.5 carretera norte, de la Kativo 50 metros al este. Managua, Nicaragua</t>
  </si>
  <si>
    <t>Eins S.A.</t>
  </si>
  <si>
    <t>El Socorro Enterprises S.A.</t>
  </si>
  <si>
    <t>Escuela Palo Solo 1 km Oeste, la Concepción - Masaya</t>
  </si>
  <si>
    <t>Electrónica Técnica, S.A</t>
  </si>
  <si>
    <t>De la Óptica Nicaraguense, 3C al Este 1/2 C al Sur Residencial Bolonia. Managua, Nicaragua</t>
  </si>
  <si>
    <t>Ecoquimica S.A.</t>
  </si>
  <si>
    <t>Ticuantepe, km 16.5</t>
  </si>
  <si>
    <t>Embotelladora Nacional S.A.</t>
  </si>
  <si>
    <t>Gasolinera UNO Waspan 700 mts al sur</t>
  </si>
  <si>
    <t>Empacadora de Camarones Santa Inés, S. de R.L de C.V</t>
  </si>
  <si>
    <t>Aldea Santa Elena, Desvío Carretera a Cedeño, Honduras, C.A.</t>
  </si>
  <si>
    <t>Empresa Energética Corinto, LTD</t>
  </si>
  <si>
    <t xml:space="preserve">Planta Electríca Margarita II  </t>
  </si>
  <si>
    <t>Empresa Servicios Electrónicos Azocar S.A.</t>
  </si>
  <si>
    <t>Segunda Entrada a Las Colinas, Iglesia Católica 100 m Norte 250 m Este</t>
  </si>
  <si>
    <t xml:space="preserve">Pista de La Resistencia, Managua </t>
  </si>
  <si>
    <t>ENERGY LINDMAN ENTERPRISES CORP</t>
  </si>
  <si>
    <t>Km 15.5 Carretera a Ticuantepe</t>
  </si>
  <si>
    <t>Eolo de Nicaragua S.A.</t>
  </si>
  <si>
    <t>Ernesto Blake</t>
  </si>
  <si>
    <t>Barrio La Fuente del Portón de La Escuela Normal  300 m Este  300 m Sur</t>
  </si>
  <si>
    <t>Ernesto Francisco Castellón</t>
  </si>
  <si>
    <t>Del tanque Enacal 75 m al Oeste.</t>
  </si>
  <si>
    <t>Esteli Horticultural S.A.</t>
  </si>
  <si>
    <t>Exportadora Panamericana Norte S.A.</t>
  </si>
  <si>
    <t>FACEMA S.A.</t>
  </si>
  <si>
    <t>km 19,4 Carretera Masaya-Managua</t>
  </si>
  <si>
    <t>Fara Coffee S.A.</t>
  </si>
  <si>
    <t>Farmaquim</t>
  </si>
  <si>
    <t>Km 2 carretera norte, semáforos de la Dirección General de Contrataciones del Estado 1 c. al sur 1/2 c. al oeste, Managua</t>
  </si>
  <si>
    <t>FINISA</t>
  </si>
  <si>
    <t>Reparto Serrano, De la Catedral Metropolitana 2c al lago,1/2c. abajo. Casa No.39</t>
  </si>
  <si>
    <t>Finotex Nicaragua</t>
  </si>
  <si>
    <t xml:space="preserve">Zona Franca Astro Nicaragua S.A. Nave 21E km 47,5 Carretera Tipitapa a Masaya Tipitapa Managua </t>
  </si>
  <si>
    <t>Fracocsa</t>
  </si>
  <si>
    <t>km 2,2 Carretera Norte</t>
  </si>
  <si>
    <t>Frío Industrial S.A.</t>
  </si>
  <si>
    <t>Semáforos del Ministerio de Gobernacion 75 Varas al este frente a la Iglesia el Redentor</t>
  </si>
  <si>
    <t>Ganadería Integral Nicaragua S.A.</t>
  </si>
  <si>
    <t>km 34,5 Carretera Vieja a León, 1 200 m Sur, Municipio Villa El Carmen. Managua</t>
  </si>
  <si>
    <t>Gatornica-AB S.A.</t>
  </si>
  <si>
    <t>GChamorro Agroindustrial S.A.</t>
  </si>
  <si>
    <t>Generación Green Power S.A</t>
  </si>
  <si>
    <t>San Rafael del Sur, Nicaragua</t>
  </si>
  <si>
    <t>Gerardo Ferrufino</t>
  </si>
  <si>
    <t>Gildan Activewear Rivas II, S.A.</t>
  </si>
  <si>
    <t>Gildan Activewear San Marcos II, S.A.</t>
  </si>
  <si>
    <t xml:space="preserve">km 45 Carretera a San Marcos    </t>
  </si>
  <si>
    <t>Gildan Activewear y Cía Ltda.</t>
  </si>
  <si>
    <t>Gran Costa Nicaragua S.A.</t>
  </si>
  <si>
    <t>Grupo ACISA</t>
  </si>
  <si>
    <t>Del portón del antiguo Hospital Militar 200 m al lago</t>
  </si>
  <si>
    <t>Grupo CYMCA S.A.</t>
  </si>
  <si>
    <t>Grupo Fhelca S.A.</t>
  </si>
  <si>
    <t>km 122 1/2 Carretera Managua - Matagalpa, entrada a Tejerina 500 m norte.</t>
  </si>
  <si>
    <t>Grupo FLOTEC S.A.</t>
  </si>
  <si>
    <t>Altamira del BDF 100 m al Lago 50 m Oeste, Managua - Nicaragua</t>
  </si>
  <si>
    <t>Grupo Industrial el Granjero</t>
  </si>
  <si>
    <t>Masatepe - Estación de Buses 800mts al sur.</t>
  </si>
  <si>
    <t>Handsome Nica S.A.</t>
  </si>
  <si>
    <t xml:space="preserve">Hannes Schwarzberger </t>
  </si>
  <si>
    <t>Hanon Tercero Metals LTD</t>
  </si>
  <si>
    <t>De donde fueron las delicias del volga 2c ½ al lago a mano derecha</t>
  </si>
  <si>
    <t>Hialpesa Nicaragua S.A.</t>
  </si>
  <si>
    <t>Hospital Metropolitano S.A</t>
  </si>
  <si>
    <t>km 9,8 Carretera a Masaya 250 m Oeste</t>
  </si>
  <si>
    <t>ICABALCETA CONSULTORES</t>
  </si>
  <si>
    <t>Pista a la Refinería #22, Frente al BAC Las Brisas</t>
  </si>
  <si>
    <t>Impexca S.A.</t>
  </si>
  <si>
    <t>INBRA-Instituto Nicaragüense de Biotecnología y Reproducción Animal</t>
  </si>
  <si>
    <t>km 9,5 Carretera a Masaya, contiguo al Hospital Vivian Pellas</t>
  </si>
  <si>
    <t xml:space="preserve">Industria Cerámica Centroamericana, S.A </t>
  </si>
  <si>
    <t xml:space="preserve">km 5,5 Carretera Norte </t>
  </si>
  <si>
    <t>Industria de Envases Tecnificados S.A.</t>
  </si>
  <si>
    <t>km 11 Carretera Nueva a León 300 m Oeste, 100 m Sur</t>
  </si>
  <si>
    <t>Industria Nacional de Refrescos, S.A. (FEMSA)</t>
  </si>
  <si>
    <t>Industrias Nicaraguenses Diversificadas, S.A (Pixca)</t>
  </si>
  <si>
    <t>Km 29 Carretera Masaya Tipitapa. Finca Ave Azul</t>
  </si>
  <si>
    <t>Industria Robelo Camacho S.A.</t>
  </si>
  <si>
    <t>Industria Textilera Sil, S.A</t>
  </si>
  <si>
    <t>Km 12.5 Carretera Norte Parque Industrial las Mercedes Módulo 10</t>
  </si>
  <si>
    <t>Industrial Comercial San Martin, S.A.</t>
  </si>
  <si>
    <t>km 67,5 Carretera Panamericana Sur</t>
  </si>
  <si>
    <t>Industrias Cárnicas Integradas, S.A.</t>
  </si>
  <si>
    <t>km 7,5 Carretera Norte</t>
  </si>
  <si>
    <t>Industrias Delmor S.A.</t>
  </si>
  <si>
    <t xml:space="preserve">km 7 Carretera Sur, contiguo a UNO 7 Sur  </t>
  </si>
  <si>
    <t>Industrias Edison S.A.</t>
  </si>
  <si>
    <t>Banpro Ciudad Jardin 100 m Norte, 100 Este</t>
  </si>
  <si>
    <t>Industrias Mantica S.A.</t>
  </si>
  <si>
    <t>Costado Sur Iglesia San Sebastian, León-Nicaragua.</t>
  </si>
  <si>
    <t>Ingemann Fine Cocoa, S.A</t>
  </si>
  <si>
    <t>Km 43.5 Carretera Panamericana Norte</t>
  </si>
  <si>
    <t>Ingemann Food Nicaragua, S.A</t>
  </si>
  <si>
    <t>Ingenieria de Materiales, S.A</t>
  </si>
  <si>
    <t>Rotonda la Virgen, 100 metros al Norte, 30 metros al oeste, Managua</t>
  </si>
  <si>
    <t>Ingeniería de Pesaje S.A.</t>
  </si>
  <si>
    <t>Ingeniería y Controles Automatizados S.A</t>
  </si>
  <si>
    <t>Hotel Bermúdez 40 vrs al Oeste, 2do piso, Modulo 1, Matagalpa</t>
  </si>
  <si>
    <t>Ingenieros Consultores Centroamericanos  S.A.</t>
  </si>
  <si>
    <t>Innova Industrias, S.A</t>
  </si>
  <si>
    <t>Km 19 1/2 Carretera Vieja a Tipitapa</t>
  </si>
  <si>
    <t>Carretera Norte de Laboratorios Ramos, 100 m Norte, 100 m Oeste</t>
  </si>
  <si>
    <t>Instituto de Ciencias Sostenible</t>
  </si>
  <si>
    <t>Del restaurante Summer 1,5 C. Norte, Casa M/I No. 128. Los Robles III Etapa</t>
  </si>
  <si>
    <t>Canal 2; 200 m al oeste; 150 m al sur; Residencial Bolonia; 48 15 Av. Suroeste.</t>
  </si>
  <si>
    <t>Instituto Nicaraguense de Energía, INE</t>
  </si>
  <si>
    <t>Frente al portón Lugo Renta Car, Bolonia</t>
  </si>
  <si>
    <t>INSUMA-Institutos De Suelos Y Materiales</t>
  </si>
  <si>
    <t>Rotonda Centroamérica 350 metros al oeste. Managua, Nicaragua</t>
  </si>
  <si>
    <t>Insumos Disagro S.A.</t>
  </si>
  <si>
    <t>Internacional de Textiles S.A.</t>
  </si>
  <si>
    <t>Intertek Caleb Brett Panama, Inc.</t>
  </si>
  <si>
    <t>Calle Nueva, de donde fue el Resturante Bohemio 50 m Oeste, Corinto, Nicaragua</t>
  </si>
  <si>
    <t>Intesal S.A.</t>
  </si>
  <si>
    <t>De la UdeM 200 m Este 50 m Sur</t>
  </si>
  <si>
    <t xml:space="preserve">Inversiones en Concreto S.A. </t>
  </si>
  <si>
    <t>Inversiones Nicafish</t>
  </si>
  <si>
    <t>Km 15 1/2 Carretera Nueva a Tipitapa, Managua.</t>
  </si>
  <si>
    <t>Inversiones Secoya S.A.</t>
  </si>
  <si>
    <t>Empalme cuesta el plomo 300 m al este 400 m al norte</t>
  </si>
  <si>
    <t>Inversiones Vargas S.A.</t>
  </si>
  <si>
    <t>Inversiones y productos de Centroamerica S.A.</t>
  </si>
  <si>
    <t>Boulevar de Las Brisas, entrada Inst. Ramirez Goyena 1 C al Oeste, 1 C al Sur, Managua, Nicaragua.</t>
  </si>
  <si>
    <t>Investigación y Control de Calidad S.A. - Nicaragua</t>
  </si>
  <si>
    <t>De la rotonda de Villa Fontana Norte 200 m Sur 200 m Oeste Condominio Los Soveche, Apartamento 1 Managua</t>
  </si>
  <si>
    <t>Iprocen S.A.</t>
  </si>
  <si>
    <t>Jaime Herrera</t>
  </si>
  <si>
    <t>Ciudad el Doral, km 19,5 carretera nueva a León</t>
  </si>
  <si>
    <t>José Alfredo Vargas</t>
  </si>
  <si>
    <t>Portón del Cementerio 50 m Sur, Telica León</t>
  </si>
  <si>
    <t>José Francisco Blanco Cordero</t>
  </si>
  <si>
    <t>De dónde fue la clínica Santa María 20 vrs arriba.</t>
  </si>
  <si>
    <t>José Wilfredo Solís Díaz</t>
  </si>
  <si>
    <t>Iglesia Don Bosco 500 m al oeste, Villa Don Bosco, casa No. D-56</t>
  </si>
  <si>
    <t>Kentex, S.A</t>
  </si>
  <si>
    <t>Km 14 1/2 Carretera Nueva a León, Zona Franca Saratoga</t>
  </si>
  <si>
    <t>Kola Shaler Industrial S.A.</t>
  </si>
  <si>
    <t xml:space="preserve">km 2 Carretera a Sabana Grande    </t>
  </si>
  <si>
    <t>Korea Nicaragua, S.A</t>
  </si>
  <si>
    <t>Edificio el Centro 1. Segundo piso, Contiguo a Casa Pellas Plaza España.</t>
  </si>
  <si>
    <t>Kufferath Nicaragua S.A.</t>
  </si>
  <si>
    <t>Carretera Norte ,km 7,5 Parque Industrial El Transito, Managua</t>
  </si>
  <si>
    <t>La India Gold S.A.</t>
  </si>
  <si>
    <t>La Montaña, S.A</t>
  </si>
  <si>
    <t>Km 217 Crretera al Rama La Gateada Chontales</t>
  </si>
  <si>
    <t>Rotonda Rubén Darío 100 m al Sur 50 m al Oeste</t>
  </si>
  <si>
    <t>Laboratorio Ambiental Pronic</t>
  </si>
  <si>
    <t>AV. 20 SE Ciudad Jardin, K-15, Managua</t>
  </si>
  <si>
    <t>Laboratorio de Análisis S.A.</t>
  </si>
  <si>
    <t>km 95,5 Carretera León-Chinandega Nicaragua</t>
  </si>
  <si>
    <t>Laboratorio de Física de Radiaciones y Metrología UNAN-Managua</t>
  </si>
  <si>
    <t>Reciento Universitario "Ruben Darío", de La Biblioteca Central Salomón de la Selva 100 m Oeste</t>
  </si>
  <si>
    <t>Laboratorio Nacional de Diagnostico Fitosanitario de Calidad y Semilla</t>
  </si>
  <si>
    <t>km 12,7 Carretera Sur, Comarca San José de Las Cañadas, Managua</t>
  </si>
  <si>
    <t>Laboratorios Bengoechea S.A.</t>
  </si>
  <si>
    <t>km 5,5 Carretera a Masaya</t>
  </si>
  <si>
    <t>Laboratorios Químicos S.A.</t>
  </si>
  <si>
    <t>Laboratorios Ramos S.A.</t>
  </si>
  <si>
    <t>Laboratorios Servicios Agroindustriales S. A. (SERAGRO)</t>
  </si>
  <si>
    <t>Labs de Costa Rica S.A.</t>
  </si>
  <si>
    <t>35 m Oeste, de la Iglesia Católica, Casa #035, Río Segundo, Alajuela, Costa Rica</t>
  </si>
  <si>
    <t>Lácteos las Mesas</t>
  </si>
  <si>
    <t>Santo Tomas-Chontales, de la Pepsi 3 c. al sur</t>
  </si>
  <si>
    <t>Lácteos Froilan</t>
  </si>
  <si>
    <t>km 222 Carretera Panamericana hacia la frontera del Espino, 100 mts al Oeste, Somoto, Madriz</t>
  </si>
  <si>
    <t>Lala Nicaragua, S.A (Planta Altagracia)</t>
  </si>
  <si>
    <t>18 y 19 Avenida Sur Oeste, Altagracia, Managua</t>
  </si>
  <si>
    <t>Lala Nicaragua, S.A (Planta San Benito)</t>
  </si>
  <si>
    <t>Carretera Panamericana Norte km 35 1/2 Banda Este, San Benito Tipitapa</t>
  </si>
  <si>
    <t>LANAMET-MIFIC</t>
  </si>
  <si>
    <t>km 3.5 Carretera Panamericana Norte, Managua, Nicaragua</t>
  </si>
  <si>
    <t>Lanco Nicaragua S.A.</t>
  </si>
  <si>
    <t>Km 36,5 Carretera Masaya-Tipitapa, Nicaragua</t>
  </si>
  <si>
    <t>Las Limas, S,A</t>
  </si>
  <si>
    <t>LOGICOM Logistica Comercial S.A.</t>
  </si>
  <si>
    <t>Edificio Delta km 5,5 Carretera a Masaya</t>
  </si>
  <si>
    <t>Logistica Ecológica, S.A</t>
  </si>
  <si>
    <t>Barrio Acahualinca, Bodega No.8</t>
  </si>
  <si>
    <t>Luis Emilio Valladarez</t>
  </si>
  <si>
    <t>LUNIC S.A</t>
  </si>
  <si>
    <t>Del Granjero de Masatepe 3 km al norte</t>
  </si>
  <si>
    <t>MAKIBER S.A.</t>
  </si>
  <si>
    <t>Reemplazo de Hospital Regional Nuevo Amanecer de la Región Autónoma de la Costa Caribe Norte, Puerto Cabezas</t>
  </si>
  <si>
    <t>Marvin José Sánchez Espinoza</t>
  </si>
  <si>
    <t>Armando Guido 2C al Sur, 90 varas al este.</t>
  </si>
  <si>
    <t>km 16,5 Carretera Nueva a León 800 m Norte Ciudad Sandino, Nicaragua</t>
  </si>
  <si>
    <t>Matagalpa Coffee Group S.A.</t>
  </si>
  <si>
    <t>Mayacero de Nicaragua</t>
  </si>
  <si>
    <t>km  36,5 Carretera Masaya – Tipitapa Comunidad de Guanacastillo</t>
  </si>
  <si>
    <t xml:space="preserve">Medisut S.A.  </t>
  </si>
  <si>
    <t>Metalinspec S.A. de CV - Monterrey Mexico</t>
  </si>
  <si>
    <t>Miguel Marcenaro</t>
  </si>
  <si>
    <t>Molinos de Nicaragua S.A.</t>
  </si>
  <si>
    <t xml:space="preserve">km 15,2 Carretera a Masaya </t>
  </si>
  <si>
    <t>Molinos de Nicaragua S.A. (MONISA)</t>
  </si>
  <si>
    <t>Final Calle Inmaculada, Granada</t>
  </si>
  <si>
    <t>Morris Sallick Industrial Supplies S.A.</t>
  </si>
  <si>
    <t>Centro Richardson, Contiguo al Banco Central, Carretera Sur</t>
  </si>
  <si>
    <t>Muliservicios Hernández</t>
  </si>
  <si>
    <t>Ingenio Monte Rosa, de la terminal de buses 2 C. Este, el viejo Chinandega</t>
  </si>
  <si>
    <t>Narcy´s / Papa John´s</t>
  </si>
  <si>
    <t>Contiguo a entrada a Masaya</t>
  </si>
  <si>
    <t>Next Nivel S.A.</t>
  </si>
  <si>
    <t>Nica Beef Packers S.A.</t>
  </si>
  <si>
    <t>km 182 Carretera Panamericana  Norte, Condega, Estelí</t>
  </si>
  <si>
    <t>Nicamex S.A.</t>
  </si>
  <si>
    <t>Nicamex Seafood S.A</t>
  </si>
  <si>
    <t>De donde fue la Rolter 2C al Norte 2C al Oeste, 1C al Norte.</t>
  </si>
  <si>
    <t>Nicaragua Banana Corp, S.A</t>
  </si>
  <si>
    <t>Chinandega, Nicaragua</t>
  </si>
  <si>
    <t>Nicaragua Operación y Mantenimiento S.A.</t>
  </si>
  <si>
    <t>km 123, Carretera Panamericana Sur, del empalme de La Virgen, 400 mts al sur Rivas, Nicaragua</t>
  </si>
  <si>
    <t>Nicaragua Sugar States Limited</t>
  </si>
  <si>
    <t>Del portón de Chichigalpa 5 km. al Sur.</t>
  </si>
  <si>
    <t>Nicoz Resources S.A</t>
  </si>
  <si>
    <t>Jícaro-Nueva Segovia. De la Alcaldía Municipal 1C al Norte, 1C al Este Esquina Opuesta Ministerio de la Familia.</t>
  </si>
  <si>
    <t>Nilac S.A</t>
  </si>
  <si>
    <t>km 20,3 Carretera Nueva a León, Mateare</t>
  </si>
  <si>
    <t>Novaterra S.A.</t>
  </si>
  <si>
    <t>km 42 Carretera Panamericana Norte</t>
  </si>
  <si>
    <t xml:space="preserve">Nuevo Carnic S.A. </t>
  </si>
  <si>
    <t>Oil Test Internacional de Nicaragua S.A</t>
  </si>
  <si>
    <t>Reparto San Juan casa #190, Gimnasio Hércules 200 m Sur, 200 m arriba, 50 m Sur</t>
  </si>
  <si>
    <t>OIRSA-LNDVMA</t>
  </si>
  <si>
    <t>Residencial Las Colinas 2da entrada, Avenida Paseo del club, frente a La Estación de Bomberos</t>
  </si>
  <si>
    <t>Opportunity International Nicaragua, INC</t>
  </si>
  <si>
    <t>km 48,2 Carretera a Nandaime, Granada Nicaragua</t>
  </si>
  <si>
    <t>Optima Industrial S.A.</t>
  </si>
  <si>
    <t>km 123 Carretera Panamericana contiguo al campo de futbol, La Trinidad Estelí</t>
  </si>
  <si>
    <t>Pacific Seafoods de Nicaragua S.A.</t>
  </si>
  <si>
    <t>Corn Island, Nicaragua, Bolonia, Esquina Norte de Canal 2, 50 m Este, Managua</t>
  </si>
  <si>
    <t>PALCASA</t>
  </si>
  <si>
    <t>Rio San Juan, Nicaragua</t>
  </si>
  <si>
    <t>Pantaleón Ingenio Monte Rosa</t>
  </si>
  <si>
    <t xml:space="preserve">Panzyma Laboratories S.A. </t>
  </si>
  <si>
    <t>Peninsula Maritime Corp. S.A.</t>
  </si>
  <si>
    <t>Miramar Punta La Flor</t>
  </si>
  <si>
    <t>Plantel Los Angeles</t>
  </si>
  <si>
    <t>Las Colinas 2da entrada del Kinder Montesori 100 m Este, 100 m Norte, 500 m Este</t>
  </si>
  <si>
    <t>Plomeria Sirias</t>
  </si>
  <si>
    <t>Estación de bombeo ENACA, León</t>
  </si>
  <si>
    <t>Polaris Energy Nicaragua S.A.</t>
  </si>
  <si>
    <t xml:space="preserve">km 114 Carretera León-Malpaisillo     </t>
  </si>
  <si>
    <t xml:space="preserve">Precon Nicaragua S.A. </t>
  </si>
  <si>
    <t>km 17,5 Carretera Nueva a León</t>
  </si>
  <si>
    <t>Prevasa</t>
  </si>
  <si>
    <t>Km. 11 Carretera Nueva a Leon 700 mtros abajo 150 mtrs al sur</t>
  </si>
  <si>
    <t>Procesadora de Huevo S.A</t>
  </si>
  <si>
    <t>Procesadora de Nicaragua, S.A</t>
  </si>
  <si>
    <t>De gasolinera UNO Norte 400 m al Noreste, Esteli</t>
  </si>
  <si>
    <t>Productores de Mariscos de Nicaragua S.A.</t>
  </si>
  <si>
    <t>Productos del Aire Nicaragua S.A.</t>
  </si>
  <si>
    <t>Productos El Sol S.A.</t>
  </si>
  <si>
    <t>De los semaforos del Hospital La Mascota 250 vrs arriba</t>
  </si>
  <si>
    <t>Programa Mundial de Alimentos</t>
  </si>
  <si>
    <t>Km 18 1/2 Carretera Nueva a León. Enabas los Brasiles</t>
  </si>
  <si>
    <t>Promotora Agropecuaria San Pedro, S.A</t>
  </si>
  <si>
    <t>Km 15 1/2 carretera vieja a Tipitapa, frente a la entrada de Cofradia</t>
  </si>
  <si>
    <t>Protena S.A.</t>
  </si>
  <si>
    <t>km 26,5 Carretera Panamericana Norte</t>
  </si>
  <si>
    <t>Puma Energy Bahamas S.A.</t>
  </si>
  <si>
    <t>Puros de Estelí Nicaragua S.A.</t>
  </si>
  <si>
    <t>Químicas Veterinarias, S.A</t>
  </si>
  <si>
    <t>Pista Suburbana, 293 Camino a San Isidro 3.4 al Sur, Managua.</t>
  </si>
  <si>
    <t>Rainbow Apparel Trading S.A.</t>
  </si>
  <si>
    <t>Recycling</t>
  </si>
  <si>
    <t>Distrito VI, Barrio Villa Reconciliación, de los semáforos del Mayoreo 4 cuadras al Oeste (sobre la pista), mano derecha, en la propia esquina, portón verde grande.</t>
  </si>
  <si>
    <t>Reencauchadora Santa Ana</t>
  </si>
  <si>
    <t>Del arbolito 200 m al oeste, Managua.</t>
  </si>
  <si>
    <t>Km. 11.5 Carretera a Masaya, Complejo OFINOVA, Ofibodegas 7 y 8, Costado Sur de Pricesmart</t>
  </si>
  <si>
    <t>Rexcielo S.A.</t>
  </si>
  <si>
    <t>Rey de los Camarones, S.A</t>
  </si>
  <si>
    <t>Rocedes S.A.</t>
  </si>
  <si>
    <t>Rodríguez y asociados</t>
  </si>
  <si>
    <t>km 16 Carretera Masaya-Ticuantepe</t>
  </si>
  <si>
    <t>ROGER CASTELLON ORUE</t>
  </si>
  <si>
    <t>Beneficio de café picasa, Km.117 carretera- Sebaco matagalpa frente al beneficio la providencia</t>
  </si>
  <si>
    <t>Roo Hsing Co. Nicaragua S.A.</t>
  </si>
  <si>
    <t>De la Subasta 1200 metros al lago</t>
  </si>
  <si>
    <t>Royal Shrimp S.A.</t>
  </si>
  <si>
    <t>km 189,5 Carretera El Viejo-Potosí 12 km Este</t>
  </si>
  <si>
    <t>R-PAC Nicaragua S.A.</t>
  </si>
  <si>
    <t>Km 8 Carretera Norte, de donde fue la Kativo, 500 mts al Sur, Parque Industrial el Tránsito. Nave No. 9</t>
  </si>
  <si>
    <t>Sabina de Ingenieria S.A</t>
  </si>
  <si>
    <t>Km 13 Carretera a Masaya</t>
  </si>
  <si>
    <t>Sacos de Nicaragua S.A.</t>
  </si>
  <si>
    <t>Sae A Technotex S.A.</t>
  </si>
  <si>
    <t>Sahlman Seafoods of Nicaragua S.A.</t>
  </si>
  <si>
    <t>Sajonia Estate Coffee</t>
  </si>
  <si>
    <t>km 116 Carretera Managua-Matagalpa, Comarca quebrada onda</t>
  </si>
  <si>
    <t>Salinera de Nicaragua S.A.</t>
  </si>
  <si>
    <t>Salsas Especiales S.A. (SAESA)</t>
  </si>
  <si>
    <t>km 10 Carretera Sur, 1c oeste, 1c norte, 3c oeste</t>
  </si>
  <si>
    <t>Salud Digna para Todos S.A.</t>
  </si>
  <si>
    <t>SAMSA Nicaragua S. A.</t>
  </si>
  <si>
    <t>Corinto, Chinandega, Nicaragua</t>
  </si>
  <si>
    <t>San Lotano Cigars S.A.</t>
  </si>
  <si>
    <t>Estación de servicio UNO, salida norte 800 m norte, Carretera Miraflor -Estelí</t>
  </si>
  <si>
    <t>Seijiro Yazawa Iwai Nicaragua S.A.</t>
  </si>
  <si>
    <t>Servibasculas Nicaragua S.A.</t>
  </si>
  <si>
    <t>km. 4,4 Carretera Norte, frente donde fue el grupo Q, sobre la calle marginal</t>
  </si>
  <si>
    <t>Servicios técnicos de basculas</t>
  </si>
  <si>
    <t xml:space="preserve">Villa Reconciliación de la Bloquera Howard 2c Al Sur. </t>
  </si>
  <si>
    <t>Scientific Instruments</t>
  </si>
  <si>
    <t>Km 11.5 Carretera a Masaya, Contiguo a Pricemart</t>
  </si>
  <si>
    <t>SIHSO, S.A.</t>
  </si>
  <si>
    <t>Villa 9 de Junio, del Monumento 300 m Este, Mano Derecha</t>
  </si>
  <si>
    <t>Sol Orgánica S.A.</t>
  </si>
  <si>
    <t>Soluciones Ingenieriles, Diseño y Ventas S.A. (SIDVSA)</t>
  </si>
  <si>
    <t>Residencial Rubenia, Hotel Estrella 2c. al este, 2c. al sur, casa H-28</t>
  </si>
  <si>
    <t>SPRL S.A.</t>
  </si>
  <si>
    <t>SCMI Construction INC</t>
  </si>
  <si>
    <t>Del Empalme Piedras Blanca, 5km al oeste carretera a Puerto Sandino, junto a subestación Enatrel, Nagarote-Nicaragua</t>
  </si>
  <si>
    <t>Tabacalera A.J Fernandez Cigars de Nicaragua S.A.</t>
  </si>
  <si>
    <t>Tabacalera Cubana Nicaragüense S.A.</t>
  </si>
  <si>
    <t>Comercial Erwin 100 m Sur 50 m Oeste, Estelí</t>
  </si>
  <si>
    <t>Tabacalera Oliva de Estelí S.A.</t>
  </si>
  <si>
    <t>Tabacos Asociados de Nicaragua S.A.</t>
  </si>
  <si>
    <t>Tabacos Cubanica S.A.</t>
  </si>
  <si>
    <t>Salida Norte a Condega, Contiguo a Petronic</t>
  </si>
  <si>
    <t>Tabacos Valle de Jalapa S.A.</t>
  </si>
  <si>
    <t>Tecniprocesos de Nicaragua S.A.</t>
  </si>
  <si>
    <t>Tecno Diagnostica Nicaragua S.A.</t>
  </si>
  <si>
    <t>Mansión Teodolinda 300 metros sur -Bolonia</t>
  </si>
  <si>
    <t>km 47,5 Carretera Tipitapa-Masaya</t>
  </si>
  <si>
    <t>Ternium Internacional Nicaragua, S.A</t>
  </si>
  <si>
    <t>Km 7.5 Carretera Norte, Shell Waspan, 1 C al Sur, 2 C al Este</t>
  </si>
  <si>
    <t>km 5,5  Carretera Norte, Puente desnivel 400 m al Lago Frente a pinturas Sur</t>
  </si>
  <si>
    <t>Tipitapa Power Company</t>
  </si>
  <si>
    <t xml:space="preserve">km 19 Carretera vieja a Tipitapa  </t>
  </si>
  <si>
    <t>Transportes Tical S.A.</t>
  </si>
  <si>
    <t xml:space="preserve">km 8 Carretera Norte   </t>
  </si>
  <si>
    <t>Tubal S.A.</t>
  </si>
  <si>
    <t>UNAN-Managua</t>
  </si>
  <si>
    <t>Universal Design Nicaragua S.A.</t>
  </si>
  <si>
    <t>Tipitapa, complejo Astro Nicaragua módulo 8</t>
  </si>
  <si>
    <t>Universal Leaf Nicaragua S.A.</t>
  </si>
  <si>
    <t>Universidad Nacional Agraria</t>
  </si>
  <si>
    <t>km 12,5 Carretera Norte</t>
  </si>
  <si>
    <t>Unión de Cooperativa de Servicios Agropecuarios Tierra Nueva RL</t>
  </si>
  <si>
    <t>Unión de Cooperativas Agropecuarias de El Sauce, R.L.</t>
  </si>
  <si>
    <t>De la plaza Agusto Cesar Sandino 400 mts al sur El Sauce, León. </t>
  </si>
  <si>
    <t>Vestas Nicaragua, S.A</t>
  </si>
  <si>
    <t>Km 114.5 Carretera Sur 2 km al Oeste camino Viejo a San Juan</t>
  </si>
  <si>
    <t>WeAreInk S.A.</t>
  </si>
  <si>
    <t>Yazaki de Nicaragua S.A.</t>
  </si>
  <si>
    <t xml:space="preserve">Yudis Francisco Trujillo </t>
  </si>
  <si>
    <t>YS Textiles, S.A.</t>
  </si>
  <si>
    <t>Zona Franca Las Mercedes, Km 12 ½ Carretera Norte, Módulo # 30-31</t>
  </si>
  <si>
    <t>Zecalconsa</t>
  </si>
  <si>
    <t>SCM Metrología y Laboratorios SCM-00055163</t>
  </si>
  <si>
    <t>SCM Metrología y Laboratorios SCM-00039468</t>
  </si>
  <si>
    <t>SCM Metrología y Laboratorios SCM-00055162</t>
  </si>
  <si>
    <t>SCM Metrología y Laboratorios SCM-00039467</t>
  </si>
  <si>
    <t>SCM Metrología y Laboratorios SCM-00039471</t>
  </si>
  <si>
    <t>SCM-00039462</t>
  </si>
  <si>
    <t>SCM-00039463</t>
  </si>
  <si>
    <t>Calibrador de manómetro de Precisión</t>
  </si>
  <si>
    <t>Additel</t>
  </si>
  <si>
    <t>SCM-00039464</t>
  </si>
  <si>
    <t>NI-MCPVE-17</t>
  </si>
  <si>
    <t>SCM-00056901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</si>
</sst>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8">
    <numFmt numFmtId="164" formatCode="yyyy\-mm\-dd;@"/>
    <numFmt numFmtId="165" formatCode="0.0"/>
    <numFmt numFmtId="166" formatCode="0.000"/>
    <numFmt numFmtId="167" formatCode="0.0000"/>
    <numFmt numFmtId="168" formatCode="0.0%"/>
    <numFmt numFmtId="169" formatCode="#,##0.00000"/>
    <numFmt numFmtId="170" formatCode="0.0000000"/>
    <numFmt numFmtId="171" formatCode="0.000000000"/>
  </numFmts>
  <fonts count="5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perscript"/>
      <sz val="11"/>
      <color theme="1"/>
      <name val="Calibri"/>
      <family val="2"/>
    </font>
    <font>
      <vertAlign val="superscript"/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rgb="FFFFFF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sz val="10"/>
      <name val="Calibri"/>
      <family val="2"/>
      <scheme val="minor"/>
    </font>
    <font>
      <i/>
      <sz val="10"/>
      <name val="Calibri"/>
      <family val="2"/>
    </font>
    <font>
      <b/>
      <vertAlign val="subscript"/>
      <sz val="10"/>
      <name val="Calibri"/>
      <family val="2"/>
      <scheme val="minor"/>
    </font>
    <font>
      <sz val="10"/>
      <name val="Symbol"/>
      <family val="1"/>
      <charset val="2"/>
    </font>
    <font>
      <i/>
      <sz val="8.8000000000000007"/>
      <name val="Calibri"/>
      <family val="2"/>
    </font>
    <font>
      <i/>
      <vertAlign val="subscript"/>
      <sz val="8.8000000000000007"/>
      <name val="Calibri"/>
      <family val="2"/>
    </font>
    <font>
      <sz val="10"/>
      <name val="Calibri"/>
      <family val="2"/>
    </font>
    <font>
      <i/>
      <sz val="10"/>
      <color theme="1"/>
      <name val="Arial"/>
      <family val="2"/>
    </font>
    <font>
      <sz val="10"/>
      <color theme="1"/>
      <name val="Symbol"/>
      <family val="1"/>
      <charset val="2"/>
    </font>
    <font>
      <i/>
      <vertAlign val="subscript"/>
      <sz val="10"/>
      <color theme="1"/>
      <name val="Arial"/>
      <family val="2"/>
    </font>
    <font>
      <i/>
      <vertAlign val="subscript"/>
      <sz val="10"/>
      <name val="Calibri"/>
      <family val="2"/>
    </font>
    <font>
      <b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vertAlign val="subscript"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i/>
      <vertAlign val="superscript"/>
      <sz val="11"/>
      <color theme="1"/>
      <name val="Calibri"/>
      <family val="2"/>
      <scheme val="minor"/>
    </font>
    <font>
      <i/>
      <sz val="11"/>
      <color theme="1"/>
      <name val="Symbol"/>
      <family val="1"/>
      <charset val="2"/>
    </font>
    <font>
      <i/>
      <sz val="9"/>
      <color theme="1"/>
      <name val="Calibri"/>
      <family val="2"/>
    </font>
    <font>
      <u/>
      <sz val="11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.25"/>
      <color theme="1"/>
      <name val="Calibri"/>
      <family val="2"/>
    </font>
    <font>
      <sz val="12"/>
      <color theme="1"/>
      <name val="Arial"/>
      <family val="2"/>
    </font>
    <font>
      <sz val="10"/>
      <name val="Calibri"/>
      <family val="2"/>
      <scheme val="minor"/>
    </font>
    <font>
      <b/>
      <sz val="11"/>
      <color rgb="FFFF0000"/>
      <name val="Symbol"/>
      <family val="1"/>
      <charset val="2"/>
    </font>
    <font>
      <sz val="10"/>
      <name val="Arial"/>
      <family val="2"/>
    </font>
    <font>
      <vertAlign val="superscript"/>
      <sz val="10"/>
      <name val="Arial"/>
      <family val="2"/>
    </font>
    <font>
      <b/>
      <sz val="10"/>
      <color theme="1"/>
      <name val="Arial"/>
      <family val="2"/>
    </font>
    <font>
      <sz val="11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8"/>
      <color rgb="FFFFFF00"/>
      <name val="Arial"/>
      <family val="2"/>
    </font>
    <font>
      <sz val="8"/>
      <color rgb="FF000000"/>
      <name val="Arial"/>
      <family val="2"/>
    </font>
    <font>
      <sz val="8"/>
      <color rgb="FF222222"/>
      <name val="Arial"/>
      <family val="2"/>
    </font>
    <font>
      <sz val="8"/>
      <name val="Calibri"/>
      <family val="2"/>
      <scheme val="minor"/>
    </font>
    <font>
      <b/>
      <sz val="9"/>
      <color theme="1"/>
      <name val="Calibri"/>
      <family val="2"/>
      <scheme val="minor"/>
    </font>
  </fonts>
  <fills count="2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/>
        <bgColor theme="8"/>
      </patternFill>
    </fill>
    <fill>
      <patternFill patternType="solid">
        <fgColor theme="7"/>
        <bgColor indexed="64"/>
      </patternFill>
    </fill>
    <fill>
      <patternFill patternType="solid">
        <fgColor rgb="FF20376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 tint="0.59999389629810485"/>
        <bgColor indexed="64"/>
      </patternFill>
    </fill>
  </fills>
  <borders count="3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rgb="FFC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C00000"/>
      </bottom>
      <diagonal/>
    </border>
    <border>
      <left/>
      <right style="thin">
        <color indexed="64"/>
      </right>
      <top style="thin">
        <color indexed="64"/>
      </top>
      <bottom style="medium">
        <color rgb="FFC00000"/>
      </bottom>
      <diagonal/>
    </border>
    <border>
      <left style="thin">
        <color indexed="64"/>
      </left>
      <right/>
      <top style="thin">
        <color indexed="64"/>
      </top>
      <bottom style="medium">
        <color rgb="FFC00000"/>
      </bottom>
      <diagonal/>
    </border>
    <border>
      <left style="slant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slantDashDot">
        <color rgb="FFC0000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C00000"/>
      </top>
      <bottom style="thin">
        <color indexed="64"/>
      </bottom>
      <diagonal/>
    </border>
    <border>
      <left style="mediumDashDot">
        <color rgb="FFC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theme="8"/>
      </right>
      <top style="thin">
        <color theme="8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10" fillId="0" borderId="0" applyFont="0" applyFill="0" applyBorder="0" applyAlignment="0" applyProtection="0"/>
  </cellStyleXfs>
  <cellXfs count="407">
    <xf numFmtId="0" fontId="0" fillId="0" borderId="0" xfId="0"/>
    <xf numFmtId="0" fontId="0" fillId="0" borderId="0" xfId="0" applyAlignment="1">
      <alignment horizontal="left" vertical="top"/>
    </xf>
    <xf numFmtId="0" fontId="0" fillId="0" borderId="0" xfId="0" applyAlignment="1">
      <alignment horizontal="left" vertical="center"/>
    </xf>
    <xf numFmtId="0" fontId="0" fillId="0" borderId="0" xfId="0" applyAlignment="1">
      <alignment vertical="center"/>
    </xf>
    <xf numFmtId="0" fontId="0" fillId="0" borderId="0" xfId="0" applyAlignment="1" applyProtection="1">
      <alignment horizontal="left" vertical="center"/>
      <protection locked="0"/>
    </xf>
    <xf numFmtId="164" fontId="0" fillId="0" borderId="0" xfId="0" applyNumberFormat="1" applyAlignment="1" applyProtection="1">
      <alignment horizontal="left" vertical="top"/>
      <protection locked="0"/>
    </xf>
    <xf numFmtId="0" fontId="0" fillId="2" borderId="0" xfId="0" applyFill="1" applyAlignment="1">
      <alignment horizontal="left" vertical="center"/>
    </xf>
    <xf numFmtId="0" fontId="0" fillId="2" borderId="0" xfId="0" applyFill="1"/>
    <xf numFmtId="0" fontId="0" fillId="4" borderId="0" xfId="0" applyFill="1"/>
    <xf numFmtId="0" fontId="4" fillId="0" borderId="0" xfId="0" applyFont="1"/>
    <xf numFmtId="0" fontId="4" fillId="0" borderId="0" xfId="0" applyFont="1" applyAlignment="1">
      <alignment wrapText="1"/>
    </xf>
    <xf numFmtId="0" fontId="5" fillId="5" borderId="0" xfId="0" applyFont="1" applyFill="1" applyAlignment="1" applyProtection="1">
      <alignment horizontal="center"/>
      <protection locked="0"/>
    </xf>
    <xf numFmtId="0" fontId="6" fillId="0" borderId="0" xfId="0" applyFont="1" applyProtection="1">
      <protection locked="0"/>
    </xf>
    <xf numFmtId="0" fontId="4" fillId="4" borderId="0" xfId="0" applyFont="1" applyFill="1"/>
    <xf numFmtId="0" fontId="4" fillId="0" borderId="0" xfId="0" applyFont="1" applyAlignment="1">
      <alignment vertical="top" wrapText="1"/>
    </xf>
    <xf numFmtId="0" fontId="0" fillId="7" borderId="0" xfId="0" applyFill="1"/>
    <xf numFmtId="0" fontId="0" fillId="0" borderId="1" xfId="0" applyBorder="1" applyAlignment="1">
      <alignment vertical="top"/>
    </xf>
    <xf numFmtId="49" fontId="9" fillId="6" borderId="1" xfId="0" applyNumberFormat="1" applyFont="1" applyFill="1" applyBorder="1" applyAlignment="1">
      <alignment horizontal="left" vertical="center" wrapText="1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8" borderId="7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7" borderId="0" xfId="0" applyFill="1" applyAlignment="1">
      <alignment vertical="center"/>
    </xf>
    <xf numFmtId="0" fontId="0" fillId="7" borderId="0" xfId="0" applyFill="1" applyAlignment="1">
      <alignment vertical="top"/>
    </xf>
    <xf numFmtId="0" fontId="0" fillId="10" borderId="0" xfId="0" applyFill="1"/>
    <xf numFmtId="0" fontId="0" fillId="3" borderId="1" xfId="0" applyFill="1" applyBorder="1"/>
    <xf numFmtId="0" fontId="0" fillId="0" borderId="1" xfId="0" applyBorder="1"/>
    <xf numFmtId="0" fontId="0" fillId="0" borderId="0" xfId="0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0" fillId="9" borderId="10" xfId="0" applyFill="1" applyBorder="1" applyAlignment="1">
      <alignment vertical="center" wrapText="1"/>
    </xf>
    <xf numFmtId="2" fontId="0" fillId="0" borderId="1" xfId="0" applyNumberFormat="1" applyBorder="1" applyAlignment="1">
      <alignment vertical="center"/>
    </xf>
    <xf numFmtId="0" fontId="0" fillId="0" borderId="12" xfId="0" applyBorder="1" applyAlignment="1">
      <alignment vertical="center"/>
    </xf>
    <xf numFmtId="166" fontId="0" fillId="0" borderId="1" xfId="0" applyNumberFormat="1" applyBorder="1" applyAlignment="1">
      <alignment vertical="center"/>
    </xf>
    <xf numFmtId="0" fontId="0" fillId="9" borderId="0" xfId="0" applyFill="1"/>
    <xf numFmtId="0" fontId="0" fillId="11" borderId="0" xfId="0" applyFill="1"/>
    <xf numFmtId="0" fontId="0" fillId="3" borderId="0" xfId="0" applyFill="1" applyAlignment="1">
      <alignment horizontal="center" vertical="center"/>
    </xf>
    <xf numFmtId="49" fontId="0" fillId="0" borderId="11" xfId="0" applyNumberFormat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14" xfId="0" applyBorder="1" applyAlignment="1">
      <alignment vertical="center"/>
    </xf>
    <xf numFmtId="0" fontId="0" fillId="0" borderId="15" xfId="0" applyBorder="1" applyAlignment="1">
      <alignment vertical="center"/>
    </xf>
    <xf numFmtId="2" fontId="0" fillId="0" borderId="12" xfId="0" applyNumberFormat="1" applyBorder="1" applyAlignment="1">
      <alignment vertical="center"/>
    </xf>
    <xf numFmtId="2" fontId="0" fillId="0" borderId="15" xfId="0" applyNumberFormat="1" applyBorder="1" applyAlignment="1">
      <alignment vertical="center"/>
    </xf>
    <xf numFmtId="0" fontId="0" fillId="2" borderId="1" xfId="0" applyFill="1" applyBorder="1" applyAlignment="1">
      <alignment vertical="center"/>
    </xf>
    <xf numFmtId="165" fontId="0" fillId="0" borderId="1" xfId="0" applyNumberFormat="1" applyBorder="1" applyAlignment="1">
      <alignment vertical="center"/>
    </xf>
    <xf numFmtId="2" fontId="0" fillId="2" borderId="1" xfId="0" applyNumberFormat="1" applyFill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15" fillId="12" borderId="1" xfId="0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/>
    </xf>
    <xf numFmtId="0" fontId="8" fillId="7" borderId="0" xfId="0" applyFont="1" applyFill="1" applyAlignment="1">
      <alignment horizontal="left" vertical="center"/>
    </xf>
    <xf numFmtId="0" fontId="8" fillId="12" borderId="12" xfId="0" applyFont="1" applyFill="1" applyBorder="1" applyAlignment="1">
      <alignment horizontal="center" vertical="center"/>
    </xf>
    <xf numFmtId="0" fontId="8" fillId="12" borderId="4" xfId="0" applyFont="1" applyFill="1" applyBorder="1" applyAlignment="1">
      <alignment horizontal="center" vertical="center"/>
    </xf>
    <xf numFmtId="0" fontId="16" fillId="14" borderId="10" xfId="0" applyFont="1" applyFill="1" applyBorder="1" applyAlignment="1">
      <alignment vertical="center" wrapText="1"/>
    </xf>
    <xf numFmtId="167" fontId="17" fillId="6" borderId="1" xfId="0" applyNumberFormat="1" applyFont="1" applyFill="1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16" xfId="0" applyBorder="1" applyAlignment="1">
      <alignment vertical="center" wrapText="1"/>
    </xf>
    <xf numFmtId="0" fontId="0" fillId="9" borderId="7" xfId="0" applyFill="1" applyBorder="1" applyAlignment="1">
      <alignment vertical="center" wrapText="1"/>
    </xf>
    <xf numFmtId="0" fontId="0" fillId="0" borderId="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8" borderId="4" xfId="0" applyFill="1" applyBorder="1" applyAlignment="1">
      <alignment horizontal="center" vertical="center" wrapText="1"/>
    </xf>
    <xf numFmtId="49" fontId="0" fillId="15" borderId="11" xfId="0" applyNumberFormat="1" applyFill="1" applyBorder="1" applyAlignment="1">
      <alignment vertical="center"/>
    </xf>
    <xf numFmtId="0" fontId="0" fillId="15" borderId="13" xfId="0" applyFill="1" applyBorder="1" applyAlignment="1">
      <alignment vertical="center"/>
    </xf>
    <xf numFmtId="0" fontId="0" fillId="15" borderId="1" xfId="0" applyFill="1" applyBorder="1"/>
    <xf numFmtId="0" fontId="0" fillId="2" borderId="1" xfId="0" applyFill="1" applyBorder="1"/>
    <xf numFmtId="0" fontId="0" fillId="0" borderId="10" xfId="0" applyBorder="1" applyAlignment="1">
      <alignment vertical="center"/>
    </xf>
    <xf numFmtId="0" fontId="0" fillId="10" borderId="0" xfId="0" applyFill="1" applyAlignment="1">
      <alignment horizontal="left" vertical="center"/>
    </xf>
    <xf numFmtId="0" fontId="0" fillId="9" borderId="1" xfId="0" applyFill="1" applyBorder="1" applyAlignment="1">
      <alignment horizontal="center"/>
    </xf>
    <xf numFmtId="2" fontId="0" fillId="15" borderId="1" xfId="0" applyNumberFormat="1" applyFill="1" applyBorder="1"/>
    <xf numFmtId="0" fontId="6" fillId="8" borderId="1" xfId="0" applyFont="1" applyFill="1" applyBorder="1" applyAlignment="1">
      <alignment horizontal="center" vertical="center" wrapText="1"/>
    </xf>
    <xf numFmtId="167" fontId="22" fillId="6" borderId="1" xfId="0" applyNumberFormat="1" applyFont="1" applyFill="1" applyBorder="1" applyAlignment="1">
      <alignment horizontal="center" vertical="center"/>
    </xf>
    <xf numFmtId="2" fontId="22" fillId="6" borderId="1" xfId="0" applyNumberFormat="1" applyFont="1" applyFill="1" applyBorder="1" applyAlignment="1">
      <alignment horizontal="center" vertical="center"/>
    </xf>
    <xf numFmtId="0" fontId="0" fillId="13" borderId="1" xfId="0" applyFill="1" applyBorder="1" applyAlignment="1">
      <alignment horizontal="left" vertical="center"/>
    </xf>
    <xf numFmtId="1" fontId="0" fillId="0" borderId="1" xfId="0" applyNumberFormat="1" applyBorder="1" applyAlignment="1">
      <alignment horizontal="center" vertical="center"/>
    </xf>
    <xf numFmtId="1" fontId="0" fillId="0" borderId="1" xfId="0" applyNumberFormat="1" applyBorder="1" applyAlignment="1" applyProtection="1">
      <alignment horizontal="center" vertical="center"/>
      <protection locked="0"/>
    </xf>
    <xf numFmtId="0" fontId="23" fillId="0" borderId="1" xfId="0" applyFont="1" applyBorder="1" applyAlignment="1">
      <alignment horizontal="center" vertical="center"/>
    </xf>
    <xf numFmtId="1" fontId="22" fillId="6" borderId="1" xfId="0" applyNumberFormat="1" applyFont="1" applyFill="1" applyBorder="1" applyAlignment="1">
      <alignment horizontal="center" vertical="center"/>
    </xf>
    <xf numFmtId="0" fontId="0" fillId="9" borderId="7" xfId="0" applyFill="1" applyBorder="1" applyAlignment="1">
      <alignment horizontal="center" vertical="center"/>
    </xf>
    <xf numFmtId="0" fontId="9" fillId="9" borderId="12" xfId="0" applyFont="1" applyFill="1" applyBorder="1" applyAlignment="1">
      <alignment horizontal="center" vertical="center" wrapText="1"/>
    </xf>
    <xf numFmtId="0" fontId="0" fillId="9" borderId="12" xfId="0" applyFill="1" applyBorder="1" applyAlignment="1">
      <alignment horizontal="center" vertical="center" wrapText="1"/>
    </xf>
    <xf numFmtId="2" fontId="22" fillId="0" borderId="1" xfId="0" applyNumberFormat="1" applyFont="1" applyBorder="1" applyAlignment="1">
      <alignment horizontal="center" vertical="center"/>
    </xf>
    <xf numFmtId="0" fontId="27" fillId="7" borderId="0" xfId="0" applyFont="1" applyFill="1"/>
    <xf numFmtId="0" fontId="8" fillId="9" borderId="8" xfId="0" applyFont="1" applyFill="1" applyBorder="1" applyAlignment="1">
      <alignment horizontal="left" vertical="center"/>
    </xf>
    <xf numFmtId="1" fontId="22" fillId="0" borderId="1" xfId="0" applyNumberFormat="1" applyFont="1" applyBorder="1" applyAlignment="1">
      <alignment horizontal="center" vertical="center"/>
    </xf>
    <xf numFmtId="0" fontId="15" fillId="14" borderId="6" xfId="0" applyFont="1" applyFill="1" applyBorder="1" applyAlignment="1">
      <alignment horizontal="right" vertical="center" wrapText="1"/>
    </xf>
    <xf numFmtId="0" fontId="28" fillId="12" borderId="1" xfId="0" applyFont="1" applyFill="1" applyBorder="1" applyAlignment="1">
      <alignment horizontal="center" vertical="center" wrapText="1"/>
    </xf>
    <xf numFmtId="0" fontId="0" fillId="0" borderId="8" xfId="0" applyBorder="1"/>
    <xf numFmtId="0" fontId="8" fillId="12" borderId="8" xfId="0" applyFont="1" applyFill="1" applyBorder="1" applyAlignment="1">
      <alignment horizontal="center" vertical="center" wrapText="1"/>
    </xf>
    <xf numFmtId="165" fontId="30" fillId="0" borderId="0" xfId="0" applyNumberFormat="1" applyFont="1" applyAlignment="1" applyProtection="1">
      <alignment horizontal="left" vertical="center"/>
      <protection locked="0"/>
    </xf>
    <xf numFmtId="165" fontId="0" fillId="15" borderId="0" xfId="0" applyNumberFormat="1" applyFill="1" applyAlignment="1">
      <alignment horizontal="left" vertical="center"/>
    </xf>
    <xf numFmtId="0" fontId="30" fillId="15" borderId="0" xfId="0" applyFont="1" applyFill="1" applyAlignment="1" applyProtection="1">
      <alignment horizontal="left" vertical="center"/>
      <protection locked="0"/>
    </xf>
    <xf numFmtId="0" fontId="0" fillId="3" borderId="0" xfId="0" applyFill="1"/>
    <xf numFmtId="0" fontId="0" fillId="16" borderId="0" xfId="0" applyFill="1"/>
    <xf numFmtId="0" fontId="0" fillId="15" borderId="1" xfId="0" applyFill="1" applyBorder="1" applyAlignment="1">
      <alignment horizontal="center" vertical="center"/>
    </xf>
    <xf numFmtId="2" fontId="0" fillId="2" borderId="1" xfId="0" applyNumberFormat="1" applyFill="1" applyBorder="1"/>
    <xf numFmtId="0" fontId="6" fillId="8" borderId="18" xfId="0" applyFont="1" applyFill="1" applyBorder="1" applyAlignment="1">
      <alignment horizontal="center" vertical="center" wrapText="1"/>
    </xf>
    <xf numFmtId="0" fontId="0" fillId="3" borderId="18" xfId="0" applyFill="1" applyBorder="1" applyAlignment="1">
      <alignment horizontal="center" vertical="center"/>
    </xf>
    <xf numFmtId="2" fontId="0" fillId="2" borderId="19" xfId="0" applyNumberFormat="1" applyFill="1" applyBorder="1"/>
    <xf numFmtId="0" fontId="6" fillId="8" borderId="19" xfId="0" applyFont="1" applyFill="1" applyBorder="1" applyAlignment="1">
      <alignment horizontal="center" vertical="center" wrapText="1"/>
    </xf>
    <xf numFmtId="0" fontId="0" fillId="3" borderId="19" xfId="0" applyFill="1" applyBorder="1" applyAlignment="1">
      <alignment horizontal="center" vertical="center"/>
    </xf>
    <xf numFmtId="167" fontId="16" fillId="2" borderId="1" xfId="1" applyNumberFormat="1" applyFont="1" applyFill="1" applyBorder="1" applyAlignment="1" applyProtection="1">
      <alignment horizontal="right" vertical="center"/>
    </xf>
    <xf numFmtId="167" fontId="0" fillId="3" borderId="1" xfId="0" applyNumberFormat="1" applyFill="1" applyBorder="1" applyAlignment="1">
      <alignment vertical="center"/>
    </xf>
    <xf numFmtId="168" fontId="16" fillId="2" borderId="1" xfId="1" applyNumberFormat="1" applyFont="1" applyFill="1" applyBorder="1" applyAlignment="1" applyProtection="1">
      <alignment horizontal="right" vertical="center"/>
    </xf>
    <xf numFmtId="167" fontId="17" fillId="6" borderId="11" xfId="0" applyNumberFormat="1" applyFont="1" applyFill="1" applyBorder="1" applyAlignment="1">
      <alignment horizontal="right" vertical="center"/>
    </xf>
    <xf numFmtId="167" fontId="22" fillId="6" borderId="11" xfId="0" applyNumberFormat="1" applyFont="1" applyFill="1" applyBorder="1" applyAlignment="1">
      <alignment horizontal="right" vertical="center"/>
    </xf>
    <xf numFmtId="2" fontId="22" fillId="6" borderId="11" xfId="0" applyNumberFormat="1" applyFont="1" applyFill="1" applyBorder="1" applyAlignment="1">
      <alignment horizontal="right" vertical="center"/>
    </xf>
    <xf numFmtId="168" fontId="16" fillId="3" borderId="11" xfId="0" applyNumberFormat="1" applyFont="1" applyFill="1" applyBorder="1" applyAlignment="1">
      <alignment horizontal="right" vertical="center"/>
    </xf>
    <xf numFmtId="0" fontId="14" fillId="0" borderId="8" xfId="0" applyFont="1" applyBorder="1"/>
    <xf numFmtId="0" fontId="0" fillId="0" borderId="4" xfId="0" applyBorder="1"/>
    <xf numFmtId="0" fontId="14" fillId="0" borderId="9" xfId="0" applyFont="1" applyBorder="1"/>
    <xf numFmtId="0" fontId="14" fillId="0" borderId="5" xfId="0" applyFont="1" applyBorder="1"/>
    <xf numFmtId="0" fontId="8" fillId="9" borderId="9" xfId="0" applyFont="1" applyFill="1" applyBorder="1" applyAlignment="1">
      <alignment horizontal="left" vertical="center"/>
    </xf>
    <xf numFmtId="0" fontId="8" fillId="9" borderId="1" xfId="0" applyFont="1" applyFill="1" applyBorder="1" applyAlignment="1">
      <alignment horizontal="left" vertical="center"/>
    </xf>
    <xf numFmtId="0" fontId="14" fillId="0" borderId="1" xfId="0" applyFont="1" applyBorder="1"/>
    <xf numFmtId="0" fontId="14" fillId="0" borderId="12" xfId="0" applyFont="1" applyBorder="1"/>
    <xf numFmtId="167" fontId="0" fillId="2" borderId="1" xfId="0" applyNumberFormat="1" applyFill="1" applyBorder="1" applyAlignment="1">
      <alignment horizontal="center" vertical="center"/>
    </xf>
    <xf numFmtId="0" fontId="14" fillId="3" borderId="0" xfId="0" applyFont="1" applyFill="1" applyAlignment="1">
      <alignment horizontal="right"/>
    </xf>
    <xf numFmtId="0" fontId="30" fillId="15" borderId="1" xfId="0" applyFont="1" applyFill="1" applyBorder="1" applyAlignment="1" applyProtection="1">
      <alignment horizontal="center" vertical="center"/>
      <protection locked="0"/>
    </xf>
    <xf numFmtId="0" fontId="0" fillId="9" borderId="1" xfId="0" applyFill="1" applyBorder="1" applyAlignment="1">
      <alignment horizontal="center" vertical="center" wrapText="1"/>
    </xf>
    <xf numFmtId="166" fontId="0" fillId="15" borderId="1" xfId="0" applyNumberFormat="1" applyFill="1" applyBorder="1"/>
    <xf numFmtId="0" fontId="14" fillId="9" borderId="1" xfId="0" applyFont="1" applyFill="1" applyBorder="1" applyAlignment="1">
      <alignment horizontal="center" vertical="center"/>
    </xf>
    <xf numFmtId="11" fontId="0" fillId="2" borderId="1" xfId="0" applyNumberFormat="1" applyFill="1" applyBorder="1"/>
    <xf numFmtId="49" fontId="0" fillId="0" borderId="0" xfId="0" applyNumberFormat="1" applyAlignment="1" applyProtection="1">
      <alignment horizontal="left" vertical="top"/>
      <protection locked="0"/>
    </xf>
    <xf numFmtId="2" fontId="0" fillId="15" borderId="0" xfId="0" applyNumberFormat="1" applyFill="1" applyAlignment="1">
      <alignment horizontal="center" vertical="center"/>
    </xf>
    <xf numFmtId="48" fontId="0" fillId="15" borderId="12" xfId="0" applyNumberFormat="1" applyFill="1" applyBorder="1"/>
    <xf numFmtId="0" fontId="0" fillId="2" borderId="0" xfId="0" applyFill="1" applyAlignment="1">
      <alignment horizontal="left" vertical="top"/>
    </xf>
    <xf numFmtId="0" fontId="0" fillId="0" borderId="0" xfId="0" applyAlignment="1" applyProtection="1">
      <alignment horizontal="left" vertical="top"/>
      <protection locked="0"/>
    </xf>
    <xf numFmtId="0" fontId="36" fillId="0" borderId="1" xfId="0" applyFont="1" applyBorder="1" applyAlignment="1">
      <alignment vertical="top"/>
    </xf>
    <xf numFmtId="165" fontId="36" fillId="0" borderId="1" xfId="0" applyNumberFormat="1" applyFont="1" applyBorder="1" applyAlignment="1">
      <alignment vertical="top"/>
    </xf>
    <xf numFmtId="164" fontId="36" fillId="0" borderId="8" xfId="0" applyNumberFormat="1" applyFont="1" applyBorder="1" applyAlignment="1">
      <alignment vertical="top"/>
    </xf>
    <xf numFmtId="0" fontId="36" fillId="0" borderId="8" xfId="0" applyFont="1" applyBorder="1" applyAlignment="1">
      <alignment vertical="top"/>
    </xf>
    <xf numFmtId="0" fontId="36" fillId="0" borderId="9" xfId="0" applyFont="1" applyBorder="1" applyAlignment="1">
      <alignment vertical="top"/>
    </xf>
    <xf numFmtId="0" fontId="36" fillId="0" borderId="10" xfId="0" applyFont="1" applyBorder="1"/>
    <xf numFmtId="0" fontId="36" fillId="0" borderId="9" xfId="0" applyFont="1" applyBorder="1" applyAlignment="1">
      <alignment horizontal="center" vertical="top"/>
    </xf>
    <xf numFmtId="0" fontId="36" fillId="0" borderId="10" xfId="0" applyFont="1" applyBorder="1" applyAlignment="1">
      <alignment horizontal="center" vertical="top"/>
    </xf>
    <xf numFmtId="0" fontId="0" fillId="0" borderId="10" xfId="0" applyBorder="1"/>
    <xf numFmtId="0" fontId="16" fillId="14" borderId="6" xfId="0" applyFont="1" applyFill="1" applyBorder="1" applyAlignment="1">
      <alignment vertical="center" wrapText="1"/>
    </xf>
    <xf numFmtId="0" fontId="8" fillId="15" borderId="1" xfId="0" applyFont="1" applyFill="1" applyBorder="1" applyAlignment="1">
      <alignment horizontal="center" vertical="center"/>
    </xf>
    <xf numFmtId="164" fontId="36" fillId="0" borderId="12" xfId="0" applyNumberFormat="1" applyFont="1" applyBorder="1" applyAlignment="1">
      <alignment vertical="center"/>
    </xf>
    <xf numFmtId="0" fontId="36" fillId="0" borderId="1" xfId="0" applyFont="1" applyBorder="1" applyAlignment="1">
      <alignment vertical="center"/>
    </xf>
    <xf numFmtId="164" fontId="36" fillId="0" borderId="1" xfId="0" applyNumberFormat="1" applyFont="1" applyBorder="1" applyAlignment="1">
      <alignment vertical="center"/>
    </xf>
    <xf numFmtId="0" fontId="36" fillId="0" borderId="12" xfId="0" applyFont="1" applyBorder="1" applyAlignment="1">
      <alignment vertical="center"/>
    </xf>
    <xf numFmtId="166" fontId="37" fillId="2" borderId="1" xfId="0" applyNumberFormat="1" applyFont="1" applyFill="1" applyBorder="1" applyAlignment="1">
      <alignment horizontal="center"/>
    </xf>
    <xf numFmtId="166" fontId="37" fillId="2" borderId="12" xfId="0" applyNumberFormat="1" applyFont="1" applyFill="1" applyBorder="1" applyAlignment="1">
      <alignment horizontal="center"/>
    </xf>
    <xf numFmtId="166" fontId="37" fillId="2" borderId="11" xfId="0" applyNumberFormat="1" applyFont="1" applyFill="1" applyBorder="1" applyAlignment="1">
      <alignment horizontal="center"/>
    </xf>
    <xf numFmtId="0" fontId="37" fillId="9" borderId="12" xfId="0" applyFont="1" applyFill="1" applyBorder="1" applyAlignment="1">
      <alignment horizontal="center" vertical="center" wrapText="1"/>
    </xf>
    <xf numFmtId="11" fontId="37" fillId="2" borderId="12" xfId="0" applyNumberFormat="1" applyFont="1" applyFill="1" applyBorder="1" applyAlignment="1">
      <alignment horizontal="center"/>
    </xf>
    <xf numFmtId="2" fontId="37" fillId="2" borderId="12" xfId="0" applyNumberFormat="1" applyFont="1" applyFill="1" applyBorder="1" applyAlignment="1">
      <alignment horizontal="center"/>
    </xf>
    <xf numFmtId="2" fontId="37" fillId="2" borderId="1" xfId="0" applyNumberFormat="1" applyFont="1" applyFill="1" applyBorder="1" applyAlignment="1">
      <alignment horizontal="center"/>
    </xf>
    <xf numFmtId="2" fontId="37" fillId="2" borderId="11" xfId="0" applyNumberFormat="1" applyFont="1" applyFill="1" applyBorder="1" applyAlignment="1">
      <alignment horizontal="center"/>
    </xf>
    <xf numFmtId="0" fontId="0" fillId="9" borderId="8" xfId="0" applyFill="1" applyBorder="1" applyAlignment="1">
      <alignment horizontal="left" vertical="center"/>
    </xf>
    <xf numFmtId="0" fontId="0" fillId="9" borderId="10" xfId="0" applyFill="1" applyBorder="1" applyAlignment="1">
      <alignment horizontal="left" vertical="center"/>
    </xf>
    <xf numFmtId="0" fontId="4" fillId="0" borderId="0" xfId="0" applyFont="1" applyAlignment="1">
      <alignment horizontal="justify" vertical="center"/>
    </xf>
    <xf numFmtId="49" fontId="30" fillId="0" borderId="0" xfId="0" applyNumberFormat="1" applyFont="1" applyAlignment="1" applyProtection="1">
      <alignment horizontal="left" vertical="top"/>
      <protection locked="0"/>
    </xf>
    <xf numFmtId="164" fontId="30" fillId="0" borderId="0" xfId="0" applyNumberFormat="1" applyFont="1" applyAlignment="1" applyProtection="1">
      <alignment horizontal="left" vertical="top"/>
      <protection locked="0"/>
    </xf>
    <xf numFmtId="49" fontId="30" fillId="3" borderId="1" xfId="0" applyNumberFormat="1" applyFont="1" applyFill="1" applyBorder="1" applyAlignment="1">
      <alignment horizontal="center" vertical="center"/>
    </xf>
    <xf numFmtId="0" fontId="36" fillId="0" borderId="4" xfId="0" applyFont="1" applyBorder="1" applyAlignment="1">
      <alignment vertical="center"/>
    </xf>
    <xf numFmtId="0" fontId="36" fillId="0" borderId="8" xfId="0" applyFont="1" applyBorder="1" applyAlignment="1">
      <alignment vertical="center"/>
    </xf>
    <xf numFmtId="166" fontId="0" fillId="0" borderId="15" xfId="0" applyNumberFormat="1" applyBorder="1" applyAlignment="1">
      <alignment vertical="center"/>
    </xf>
    <xf numFmtId="166" fontId="0" fillId="0" borderId="11" xfId="0" applyNumberFormat="1" applyBorder="1" applyAlignment="1">
      <alignment vertical="center"/>
    </xf>
    <xf numFmtId="166" fontId="0" fillId="2" borderId="17" xfId="0" applyNumberFormat="1" applyFill="1" applyBorder="1" applyAlignment="1">
      <alignment vertical="center"/>
    </xf>
    <xf numFmtId="165" fontId="0" fillId="0" borderId="20" xfId="0" applyNumberFormat="1" applyBorder="1" applyAlignment="1">
      <alignment vertical="center"/>
    </xf>
    <xf numFmtId="165" fontId="0" fillId="0" borderId="15" xfId="0" applyNumberFormat="1" applyBorder="1" applyAlignment="1">
      <alignment vertical="center"/>
    </xf>
    <xf numFmtId="11" fontId="0" fillId="0" borderId="8" xfId="0" applyNumberFormat="1" applyBorder="1" applyAlignment="1">
      <alignment vertical="center"/>
    </xf>
    <xf numFmtId="0" fontId="37" fillId="0" borderId="10" xfId="0" applyFont="1" applyBorder="1" applyAlignment="1">
      <alignment vertical="center" wrapText="1"/>
    </xf>
    <xf numFmtId="0" fontId="37" fillId="0" borderId="13" xfId="0" applyFont="1" applyBorder="1" applyAlignment="1">
      <alignment vertical="center"/>
    </xf>
    <xf numFmtId="0" fontId="37" fillId="0" borderId="1" xfId="0" applyFont="1" applyBorder="1" applyAlignment="1">
      <alignment vertical="center"/>
    </xf>
    <xf numFmtId="0" fontId="37" fillId="0" borderId="8" xfId="0" applyFont="1" applyBorder="1" applyAlignment="1">
      <alignment vertical="center"/>
    </xf>
    <xf numFmtId="165" fontId="37" fillId="0" borderId="1" xfId="0" applyNumberFormat="1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166" fontId="0" fillId="2" borderId="12" xfId="0" applyNumberFormat="1" applyFill="1" applyBorder="1" applyAlignment="1">
      <alignment vertical="center"/>
    </xf>
    <xf numFmtId="166" fontId="37" fillId="2" borderId="1" xfId="0" applyNumberFormat="1" applyFont="1" applyFill="1" applyBorder="1" applyAlignment="1">
      <alignment vertical="center"/>
    </xf>
    <xf numFmtId="166" fontId="0" fillId="2" borderId="1" xfId="0" applyNumberFormat="1" applyFill="1" applyBorder="1" applyAlignment="1">
      <alignment vertical="center"/>
    </xf>
    <xf numFmtId="49" fontId="38" fillId="2" borderId="13" xfId="0" applyNumberFormat="1" applyFont="1" applyFill="1" applyBorder="1" applyAlignment="1">
      <alignment vertical="center"/>
    </xf>
    <xf numFmtId="49" fontId="38" fillId="2" borderId="14" xfId="0" applyNumberFormat="1" applyFont="1" applyFill="1" applyBorder="1" applyAlignment="1">
      <alignment vertical="center"/>
    </xf>
    <xf numFmtId="0" fontId="38" fillId="2" borderId="13" xfId="0" applyFont="1" applyFill="1" applyBorder="1" applyAlignment="1">
      <alignment vertical="center"/>
    </xf>
    <xf numFmtId="0" fontId="38" fillId="2" borderId="14" xfId="0" applyFont="1" applyFill="1" applyBorder="1" applyAlignment="1">
      <alignment vertical="center"/>
    </xf>
    <xf numFmtId="0" fontId="0" fillId="9" borderId="1" xfId="0" applyFill="1" applyBorder="1" applyAlignment="1">
      <alignment horizontal="left" vertical="center"/>
    </xf>
    <xf numFmtId="0" fontId="8" fillId="12" borderId="1" xfId="0" applyFont="1" applyFill="1" applyBorder="1" applyAlignment="1">
      <alignment horizontal="center" vertical="center" wrapText="1"/>
    </xf>
    <xf numFmtId="0" fontId="0" fillId="3" borderId="10" xfId="0" applyFill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7" borderId="1" xfId="0" applyFill="1" applyBorder="1" applyAlignment="1">
      <alignment vertical="center"/>
    </xf>
    <xf numFmtId="0" fontId="0" fillId="12" borderId="1" xfId="0" applyFill="1" applyBorder="1"/>
    <xf numFmtId="0" fontId="0" fillId="0" borderId="1" xfId="0" applyBorder="1" applyAlignment="1">
      <alignment horizontal="right" vertical="center" wrapText="1"/>
    </xf>
    <xf numFmtId="0" fontId="0" fillId="3" borderId="8" xfId="0" applyFill="1" applyBorder="1" applyAlignment="1">
      <alignment horizontal="left"/>
    </xf>
    <xf numFmtId="0" fontId="0" fillId="0" borderId="6" xfId="0" applyBorder="1" applyAlignment="1">
      <alignment vertical="center"/>
    </xf>
    <xf numFmtId="2" fontId="0" fillId="2" borderId="11" xfId="0" applyNumberFormat="1" applyFill="1" applyBorder="1" applyAlignment="1">
      <alignment horizontal="center"/>
    </xf>
    <xf numFmtId="166" fontId="0" fillId="2" borderId="11" xfId="0" applyNumberForma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49" fontId="9" fillId="2" borderId="8" xfId="0" applyNumberFormat="1" applyFont="1" applyFill="1" applyBorder="1" applyAlignment="1">
      <alignment vertical="center"/>
    </xf>
    <xf numFmtId="0" fontId="0" fillId="3" borderId="8" xfId="0" applyFill="1" applyBorder="1" applyAlignment="1">
      <alignment vertical="center"/>
    </xf>
    <xf numFmtId="0" fontId="0" fillId="3" borderId="10" xfId="0" applyFill="1" applyBorder="1" applyAlignment="1">
      <alignment vertical="center"/>
    </xf>
    <xf numFmtId="0" fontId="0" fillId="9" borderId="8" xfId="0" applyFill="1" applyBorder="1" applyAlignment="1">
      <alignment horizontal="center" vertical="center" wrapText="1"/>
    </xf>
    <xf numFmtId="0" fontId="0" fillId="9" borderId="21" xfId="0" applyFill="1" applyBorder="1" applyAlignment="1">
      <alignment horizontal="center" vertical="center" wrapText="1"/>
    </xf>
    <xf numFmtId="166" fontId="0" fillId="15" borderId="1" xfId="0" applyNumberFormat="1" applyFill="1" applyBorder="1" applyAlignment="1">
      <alignment horizontal="right" vertical="center" indent="1"/>
    </xf>
    <xf numFmtId="166" fontId="0" fillId="2" borderId="1" xfId="0" applyNumberFormat="1" applyFill="1" applyBorder="1" applyAlignment="1">
      <alignment horizontal="right" vertical="center" indent="1"/>
    </xf>
    <xf numFmtId="0" fontId="0" fillId="0" borderId="1" xfId="0" applyBorder="1" applyAlignment="1">
      <alignment horizontal="right" vertical="center"/>
    </xf>
    <xf numFmtId="0" fontId="30" fillId="6" borderId="1" xfId="0" applyFont="1" applyFill="1" applyBorder="1" applyAlignment="1" applyProtection="1">
      <alignment horizontal="right" vertical="center" wrapText="1" indent="2"/>
      <protection locked="0"/>
    </xf>
    <xf numFmtId="2" fontId="0" fillId="2" borderId="18" xfId="0" applyNumberFormat="1" applyFill="1" applyBorder="1" applyAlignment="1">
      <alignment horizontal="right" indent="2"/>
    </xf>
    <xf numFmtId="166" fontId="0" fillId="2" borderId="1" xfId="0" applyNumberFormat="1" applyFill="1" applyBorder="1" applyAlignment="1">
      <alignment horizontal="right" vertical="center" indent="2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167" fontId="17" fillId="6" borderId="11" xfId="0" applyNumberFormat="1" applyFont="1" applyFill="1" applyBorder="1" applyAlignment="1">
      <alignment horizontal="center" vertical="center"/>
    </xf>
    <xf numFmtId="1" fontId="22" fillId="6" borderId="11" xfId="0" applyNumberFormat="1" applyFont="1" applyFill="1" applyBorder="1" applyAlignment="1">
      <alignment horizontal="center" vertical="center"/>
    </xf>
    <xf numFmtId="0" fontId="22" fillId="0" borderId="1" xfId="0" applyFont="1" applyBorder="1" applyAlignment="1">
      <alignment horizontal="center" vertical="center"/>
    </xf>
    <xf numFmtId="49" fontId="9" fillId="2" borderId="1" xfId="0" applyNumberFormat="1" applyFont="1" applyFill="1" applyBorder="1" applyAlignment="1">
      <alignment horizontal="center" vertical="center"/>
    </xf>
    <xf numFmtId="0" fontId="9" fillId="2" borderId="1" xfId="0" applyFont="1" applyFill="1" applyBorder="1" applyAlignment="1">
      <alignment horizontal="center" vertical="center"/>
    </xf>
    <xf numFmtId="1" fontId="0" fillId="2" borderId="1" xfId="0" applyNumberFormat="1" applyFill="1" applyBorder="1" applyAlignment="1">
      <alignment horizontal="center" vertical="center"/>
    </xf>
    <xf numFmtId="0" fontId="40" fillId="0" borderId="0" xfId="0" applyFont="1" applyAlignment="1">
      <alignment vertical="top" wrapText="1"/>
    </xf>
    <xf numFmtId="0" fontId="0" fillId="0" borderId="0" xfId="0" applyAlignment="1">
      <alignment horizontal="right" vertical="center"/>
    </xf>
    <xf numFmtId="0" fontId="41" fillId="14" borderId="6" xfId="0" applyFont="1" applyFill="1" applyBorder="1" applyAlignment="1">
      <alignment vertical="center" wrapText="1"/>
    </xf>
    <xf numFmtId="165" fontId="0" fillId="2" borderId="1" xfId="0" applyNumberFormat="1" applyFill="1" applyBorder="1" applyAlignment="1">
      <alignment horizontal="right" vertical="center" indent="2"/>
    </xf>
    <xf numFmtId="167" fontId="0" fillId="2" borderId="1" xfId="0" applyNumberFormat="1" applyFill="1" applyBorder="1"/>
    <xf numFmtId="167" fontId="42" fillId="6" borderId="1" xfId="0" applyNumberFormat="1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0" fillId="6" borderId="1" xfId="0" applyFill="1" applyBorder="1" applyAlignment="1">
      <alignment vertical="center"/>
    </xf>
    <xf numFmtId="0" fontId="0" fillId="9" borderId="9" xfId="0" applyFill="1" applyBorder="1" applyAlignment="1">
      <alignment horizontal="left" vertical="center"/>
    </xf>
    <xf numFmtId="10" fontId="0" fillId="2" borderId="1" xfId="1" applyNumberFormat="1" applyFont="1" applyFill="1" applyBorder="1" applyAlignment="1">
      <alignment horizontal="center" vertical="center"/>
    </xf>
    <xf numFmtId="0" fontId="0" fillId="0" borderId="1" xfId="0" applyBorder="1" applyAlignment="1" applyProtection="1">
      <alignment horizontal="right" vertical="center" indent="2"/>
      <protection locked="0"/>
    </xf>
    <xf numFmtId="0" fontId="30" fillId="7" borderId="0" xfId="0" applyFont="1" applyFill="1"/>
    <xf numFmtId="2" fontId="30" fillId="6" borderId="1" xfId="0" applyNumberFormat="1" applyFont="1" applyFill="1" applyBorder="1" applyAlignment="1" applyProtection="1">
      <alignment horizontal="right" vertical="center" wrapText="1" indent="2"/>
      <protection locked="0"/>
    </xf>
    <xf numFmtId="0" fontId="43" fillId="10" borderId="0" xfId="0" applyFont="1" applyFill="1" applyAlignment="1">
      <alignment horizontal="right"/>
    </xf>
    <xf numFmtId="0" fontId="43" fillId="10" borderId="0" xfId="0" applyFont="1" applyFill="1"/>
    <xf numFmtId="0" fontId="45" fillId="0" borderId="0" xfId="0" applyFont="1" applyAlignment="1">
      <alignment horizontal="left" indent="1"/>
    </xf>
    <xf numFmtId="0" fontId="45" fillId="0" borderId="0" xfId="0" applyFont="1" applyAlignment="1">
      <alignment horizontal="left" indent="5"/>
    </xf>
    <xf numFmtId="0" fontId="45" fillId="0" borderId="0" xfId="0" applyFont="1" applyAlignment="1">
      <alignment horizontal="left" indent="3"/>
    </xf>
    <xf numFmtId="0" fontId="46" fillId="0" borderId="0" xfId="0" applyFont="1"/>
    <xf numFmtId="164" fontId="4" fillId="0" borderId="0" xfId="0" applyNumberFormat="1" applyFont="1"/>
    <xf numFmtId="0" fontId="45" fillId="0" borderId="0" xfId="0" applyFont="1" applyAlignment="1">
      <alignment horizontal="left" vertical="center" indent="1"/>
    </xf>
    <xf numFmtId="165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65" fontId="0" fillId="0" borderId="0" xfId="0" applyNumberFormat="1"/>
    <xf numFmtId="0" fontId="45" fillId="0" borderId="0" xfId="0" applyFont="1"/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165" fontId="4" fillId="0" borderId="0" xfId="0" applyNumberFormat="1" applyFont="1" applyAlignment="1">
      <alignment horizontal="center"/>
    </xf>
    <xf numFmtId="0" fontId="4" fillId="0" borderId="0" xfId="0" applyFont="1" applyAlignment="1">
      <alignment horizontal="justify" vertical="top" wrapText="1"/>
    </xf>
    <xf numFmtId="0" fontId="4" fillId="6" borderId="0" xfId="0" applyFont="1" applyFill="1" applyAlignment="1">
      <alignment vertical="top"/>
    </xf>
    <xf numFmtId="0" fontId="4" fillId="0" borderId="0" xfId="0" applyFont="1" applyAlignment="1">
      <alignment vertical="top"/>
    </xf>
    <xf numFmtId="0" fontId="4" fillId="0" borderId="0" xfId="0" applyFont="1" applyAlignment="1">
      <alignment horizontal="left" vertical="top" wrapText="1"/>
    </xf>
    <xf numFmtId="2" fontId="0" fillId="0" borderId="1" xfId="0" applyNumberFormat="1" applyBorder="1" applyAlignment="1" applyProtection="1">
      <alignment horizontal="right" vertical="center" indent="2"/>
      <protection locked="0"/>
    </xf>
    <xf numFmtId="0" fontId="8" fillId="18" borderId="8" xfId="0" applyFont="1" applyFill="1" applyBorder="1"/>
    <xf numFmtId="0" fontId="8" fillId="0" borderId="0" xfId="0" applyFont="1"/>
    <xf numFmtId="0" fontId="8" fillId="0" borderId="3" xfId="0" applyFont="1" applyBorder="1" applyAlignment="1">
      <alignment horizontal="center"/>
    </xf>
    <xf numFmtId="164" fontId="8" fillId="0" borderId="3" xfId="0" applyNumberFormat="1" applyFont="1" applyBorder="1" applyAlignment="1">
      <alignment horizontal="center"/>
    </xf>
    <xf numFmtId="49" fontId="8" fillId="0" borderId="0" xfId="0" applyNumberFormat="1" applyFont="1"/>
    <xf numFmtId="167" fontId="37" fillId="2" borderId="12" xfId="0" applyNumberFormat="1" applyFont="1" applyFill="1" applyBorder="1" applyAlignment="1">
      <alignment horizontal="center"/>
    </xf>
    <xf numFmtId="167" fontId="37" fillId="2" borderId="1" xfId="0" applyNumberFormat="1" applyFont="1" applyFill="1" applyBorder="1" applyAlignment="1">
      <alignment horizontal="center"/>
    </xf>
    <xf numFmtId="167" fontId="0" fillId="2" borderId="18" xfId="0" applyNumberFormat="1" applyFill="1" applyBorder="1"/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23" xfId="0" applyBorder="1"/>
    <xf numFmtId="0" fontId="49" fillId="19" borderId="24" xfId="0" applyFont="1" applyFill="1" applyBorder="1" applyAlignment="1">
      <alignment horizontal="left" vertical="center"/>
    </xf>
    <xf numFmtId="0" fontId="50" fillId="0" borderId="2" xfId="0" applyFont="1" applyBorder="1"/>
    <xf numFmtId="0" fontId="50" fillId="0" borderId="3" xfId="0" applyFont="1" applyBorder="1"/>
    <xf numFmtId="0" fontId="50" fillId="0" borderId="22" xfId="0" applyFont="1" applyBorder="1"/>
    <xf numFmtId="0" fontId="50" fillId="0" borderId="0" xfId="0" applyFont="1"/>
    <xf numFmtId="0" fontId="50" fillId="0" borderId="4" xfId="0" applyFont="1" applyBorder="1"/>
    <xf numFmtId="0" fontId="50" fillId="0" borderId="5" xfId="0" applyFont="1" applyBorder="1"/>
    <xf numFmtId="166" fontId="0" fillId="0" borderId="12" xfId="0" applyNumberFormat="1" applyBorder="1" applyAlignment="1">
      <alignment vertical="center"/>
    </xf>
    <xf numFmtId="165" fontId="8" fillId="0" borderId="3" xfId="0" applyNumberFormat="1" applyFont="1" applyBorder="1"/>
    <xf numFmtId="165" fontId="8" fillId="0" borderId="6" xfId="0" applyNumberFormat="1" applyFont="1" applyBorder="1"/>
    <xf numFmtId="165" fontId="8" fillId="0" borderId="5" xfId="0" applyNumberFormat="1" applyFont="1" applyBorder="1"/>
    <xf numFmtId="165" fontId="8" fillId="0" borderId="7" xfId="0" applyNumberFormat="1" applyFont="1" applyBorder="1"/>
    <xf numFmtId="165" fontId="0" fillId="2" borderId="0" xfId="0" applyNumberFormat="1" applyFill="1" applyAlignment="1">
      <alignment horizontal="left" vertical="center"/>
    </xf>
    <xf numFmtId="0" fontId="52" fillId="0" borderId="0" xfId="0" applyFont="1"/>
    <xf numFmtId="0" fontId="53" fillId="22" borderId="0" xfId="0" applyFont="1" applyFill="1"/>
    <xf numFmtId="0" fontId="52" fillId="7" borderId="3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0" fillId="12" borderId="1" xfId="0" applyFill="1" applyBorder="1" applyAlignment="1">
      <alignment horizontal="center" vertical="center"/>
    </xf>
    <xf numFmtId="11" fontId="0" fillId="0" borderId="1" xfId="0" applyNumberFormat="1" applyBorder="1"/>
    <xf numFmtId="0" fontId="0" fillId="13" borderId="1" xfId="0" applyFill="1" applyBorder="1" applyAlignment="1">
      <alignment horizontal="center" vertical="center"/>
    </xf>
    <xf numFmtId="0" fontId="14" fillId="13" borderId="1" xfId="0" applyFont="1" applyFill="1" applyBorder="1" applyAlignment="1">
      <alignment horizontal="center" vertical="center"/>
    </xf>
    <xf numFmtId="4" fontId="0" fillId="2" borderId="1" xfId="0" applyNumberFormat="1" applyFill="1" applyBorder="1" applyAlignment="1">
      <alignment horizontal="right" vertical="center"/>
    </xf>
    <xf numFmtId="169" fontId="0" fillId="2" borderId="1" xfId="0" applyNumberFormat="1" applyFill="1" applyBorder="1" applyAlignment="1">
      <alignment horizontal="right" vertical="center"/>
    </xf>
    <xf numFmtId="0" fontId="53" fillId="0" borderId="0" xfId="0" applyFont="1" applyAlignment="1">
      <alignment vertical="center" wrapText="1"/>
    </xf>
    <xf numFmtId="164" fontId="4" fillId="0" borderId="0" xfId="0" applyNumberFormat="1" applyFont="1" applyAlignment="1">
      <alignment horizontal="left"/>
    </xf>
    <xf numFmtId="0" fontId="38" fillId="0" borderId="0" xfId="0" applyFont="1" applyProtection="1">
      <protection hidden="1"/>
    </xf>
    <xf numFmtId="0" fontId="38" fillId="0" borderId="0" xfId="0" applyFont="1" applyAlignment="1" applyProtection="1">
      <alignment horizontal="center"/>
      <protection hidden="1"/>
    </xf>
    <xf numFmtId="0" fontId="38" fillId="0" borderId="0" xfId="0" applyFont="1" applyAlignment="1">
      <alignment horizontal="center"/>
    </xf>
    <xf numFmtId="0" fontId="38" fillId="0" borderId="0" xfId="0" applyFont="1" applyAlignment="1" applyProtection="1">
      <alignment vertical="center"/>
      <protection hidden="1"/>
    </xf>
    <xf numFmtId="0" fontId="38" fillId="0" borderId="0" xfId="0" applyFont="1" applyAlignment="1" applyProtection="1">
      <alignment horizontal="center" vertical="center"/>
      <protection hidden="1"/>
    </xf>
    <xf numFmtId="0" fontId="38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7" borderId="0" xfId="0" applyFill="1" applyAlignment="1">
      <alignment horizontal="center"/>
    </xf>
    <xf numFmtId="0" fontId="0" fillId="24" borderId="0" xfId="0" applyFill="1" applyAlignment="1">
      <alignment horizontal="center"/>
    </xf>
    <xf numFmtId="0" fontId="0" fillId="24" borderId="0" xfId="0" applyFill="1"/>
    <xf numFmtId="0" fontId="8" fillId="7" borderId="0" xfId="0" applyFont="1" applyFill="1" applyAlignment="1">
      <alignment horizontal="center"/>
    </xf>
    <xf numFmtId="170" fontId="16" fillId="2" borderId="1" xfId="1" applyNumberFormat="1" applyFont="1" applyFill="1" applyBorder="1" applyAlignment="1" applyProtection="1">
      <alignment horizontal="right" vertical="center"/>
    </xf>
    <xf numFmtId="171" fontId="16" fillId="2" borderId="1" xfId="1" applyNumberFormat="1" applyFont="1" applyFill="1" applyBorder="1" applyAlignment="1" applyProtection="1">
      <alignment horizontal="right" vertical="center"/>
    </xf>
    <xf numFmtId="49" fontId="9" fillId="2" borderId="1" xfId="0" applyNumberFormat="1" applyFont="1" applyFill="1" applyBorder="1" applyAlignment="1" applyProtection="1">
      <alignment horizontal="center" vertical="center"/>
      <protection locked="0"/>
    </xf>
    <xf numFmtId="0" fontId="6" fillId="0" borderId="0" xfId="0" applyFont="1" applyAlignment="1" applyProtection="1">
      <alignment horizontal="center"/>
      <protection locked="0"/>
    </xf>
    <xf numFmtId="0" fontId="7" fillId="3" borderId="0" xfId="0" applyFont="1" applyFill="1"/>
    <xf numFmtId="0" fontId="5" fillId="5" borderId="0" xfId="0" applyFont="1" applyFill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center" vertical="center"/>
      <protection locked="0"/>
    </xf>
    <xf numFmtId="0" fontId="4" fillId="0" borderId="0" xfId="0" applyFont="1" applyAlignment="1" applyProtection="1">
      <alignment horizontal="left" vertical="center" wrapText="1"/>
      <protection locked="0"/>
    </xf>
    <xf numFmtId="0" fontId="4" fillId="0" borderId="0" xfId="0" applyFont="1" applyAlignment="1" applyProtection="1">
      <alignment horizontal="left" vertical="center"/>
      <protection locked="0"/>
    </xf>
    <xf numFmtId="0" fontId="4" fillId="0" borderId="0" xfId="0" applyFont="1" applyAlignment="1">
      <alignment vertical="center"/>
    </xf>
    <xf numFmtId="0" fontId="4" fillId="0" borderId="0" xfId="0" applyFont="1" applyAlignment="1">
      <alignment horizontal="left" vertical="center" wrapText="1"/>
    </xf>
    <xf numFmtId="0" fontId="4" fillId="0" borderId="0" xfId="0" applyFont="1" applyAlignment="1">
      <alignment vertical="center" wrapText="1"/>
    </xf>
    <xf numFmtId="0" fontId="4" fillId="0" borderId="0" xfId="0" applyFont="1" applyAlignment="1" applyProtection="1">
      <alignment horizontal="left" vertical="top"/>
      <protection locked="0"/>
    </xf>
    <xf numFmtId="0" fontId="4" fillId="0" borderId="0" xfId="0" applyFont="1" applyAlignment="1" applyProtection="1">
      <alignment vertical="center" wrapText="1"/>
      <protection locked="0"/>
    </xf>
    <xf numFmtId="0" fontId="46" fillId="0" borderId="0" xfId="0" applyFont="1" applyAlignment="1">
      <alignment vertical="center"/>
    </xf>
    <xf numFmtId="0" fontId="4" fillId="0" borderId="0" xfId="0" applyFont="1" applyAlignment="1">
      <alignment horizontal="left" vertical="center"/>
    </xf>
    <xf numFmtId="3" fontId="4" fillId="0" borderId="0" xfId="0" applyNumberFormat="1" applyFont="1" applyAlignment="1">
      <alignment horizontal="left" vertical="center" wrapText="1"/>
    </xf>
    <xf numFmtId="0" fontId="10" fillId="0" borderId="1" xfId="0" applyFont="1" applyBorder="1" applyAlignment="1">
      <alignment vertical="center"/>
    </xf>
    <xf numFmtId="2" fontId="4" fillId="0" borderId="0" xfId="0" applyNumberFormat="1" applyFont="1" applyAlignment="1">
      <alignment horizontal="center"/>
    </xf>
    <xf numFmtId="0" fontId="16" fillId="14" borderId="1" xfId="0" applyFont="1" applyFill="1" applyBorder="1" applyAlignment="1">
      <alignment vertical="center" wrapText="1"/>
    </xf>
    <xf numFmtId="0" fontId="16" fillId="14" borderId="11" xfId="0" applyFont="1" applyFill="1" applyBorder="1" applyAlignment="1">
      <alignment vertical="center" wrapText="1"/>
    </xf>
    <xf numFmtId="0" fontId="41" fillId="14" borderId="11" xfId="0" applyFont="1" applyFill="1" applyBorder="1" applyAlignment="1">
      <alignment vertical="center" wrapText="1"/>
    </xf>
    <xf numFmtId="0" fontId="8" fillId="12" borderId="1" xfId="0" applyFont="1" applyFill="1" applyBorder="1" applyAlignment="1">
      <alignment horizontal="center" vertical="center"/>
    </xf>
    <xf numFmtId="0" fontId="16" fillId="12" borderId="9" xfId="0" applyFont="1" applyFill="1" applyBorder="1" applyAlignment="1">
      <alignment horizontal="right" vertical="center" wrapText="1"/>
    </xf>
    <xf numFmtId="0" fontId="16" fillId="12" borderId="9" xfId="0" applyFont="1" applyFill="1" applyBorder="1" applyAlignment="1">
      <alignment horizontal="left" vertical="center" wrapText="1"/>
    </xf>
    <xf numFmtId="0" fontId="0" fillId="7" borderId="5" xfId="0" applyFill="1" applyBorder="1"/>
    <xf numFmtId="0" fontId="22" fillId="7" borderId="1" xfId="0" applyFont="1" applyFill="1" applyBorder="1" applyAlignment="1">
      <alignment horizontal="center" vertical="center"/>
    </xf>
    <xf numFmtId="0" fontId="50" fillId="0" borderId="2" xfId="0" applyFont="1" applyBorder="1" applyAlignment="1">
      <alignment horizontal="center"/>
    </xf>
    <xf numFmtId="0" fontId="50" fillId="0" borderId="3" xfId="0" applyFont="1" applyBorder="1" applyAlignment="1">
      <alignment horizontal="center"/>
    </xf>
    <xf numFmtId="0" fontId="50" fillId="0" borderId="4" xfId="0" applyFont="1" applyBorder="1" applyAlignment="1">
      <alignment horizontal="center"/>
    </xf>
    <xf numFmtId="0" fontId="50" fillId="0" borderId="5" xfId="0" applyFont="1" applyBorder="1" applyAlignment="1">
      <alignment horizontal="center"/>
    </xf>
    <xf numFmtId="0" fontId="8" fillId="15" borderId="33" xfId="0" applyFont="1" applyFill="1" applyBorder="1" applyAlignment="1">
      <alignment horizontal="center" vertical="center"/>
    </xf>
    <xf numFmtId="0" fontId="8" fillId="15" borderId="34" xfId="0" applyFont="1" applyFill="1" applyBorder="1" applyAlignment="1">
      <alignment horizontal="center" vertical="center"/>
    </xf>
    <xf numFmtId="0" fontId="8" fillId="15" borderId="35" xfId="0" applyFont="1" applyFill="1" applyBorder="1" applyAlignment="1">
      <alignment horizontal="center" vertical="center"/>
    </xf>
    <xf numFmtId="0" fontId="0" fillId="20" borderId="33" xfId="0" applyFill="1" applyBorder="1" applyAlignment="1">
      <alignment horizontal="left"/>
    </xf>
    <xf numFmtId="0" fontId="0" fillId="20" borderId="34" xfId="0" applyFill="1" applyBorder="1" applyAlignment="1">
      <alignment horizontal="left"/>
    </xf>
    <xf numFmtId="0" fontId="0" fillId="20" borderId="35" xfId="0" applyFill="1" applyBorder="1" applyAlignment="1">
      <alignment horizontal="left"/>
    </xf>
    <xf numFmtId="0" fontId="0" fillId="20" borderId="28" xfId="0" applyFill="1" applyBorder="1" applyAlignment="1">
      <alignment horizontal="left"/>
    </xf>
    <xf numFmtId="0" fontId="0" fillId="20" borderId="0" xfId="0" applyFill="1" applyAlignment="1">
      <alignment horizontal="left"/>
    </xf>
    <xf numFmtId="0" fontId="0" fillId="20" borderId="29" xfId="0" applyFill="1" applyBorder="1" applyAlignment="1">
      <alignment horizontal="left"/>
    </xf>
    <xf numFmtId="0" fontId="0" fillId="20" borderId="30" xfId="0" applyFill="1" applyBorder="1" applyAlignment="1">
      <alignment horizontal="left"/>
    </xf>
    <xf numFmtId="0" fontId="0" fillId="20" borderId="31" xfId="0" applyFill="1" applyBorder="1" applyAlignment="1">
      <alignment horizontal="left"/>
    </xf>
    <xf numFmtId="0" fontId="0" fillId="20" borderId="32" xfId="0" applyFill="1" applyBorder="1" applyAlignment="1">
      <alignment horizontal="left"/>
    </xf>
    <xf numFmtId="0" fontId="0" fillId="12" borderId="1" xfId="0" applyFill="1" applyBorder="1" applyAlignment="1">
      <alignment horizontal="center"/>
    </xf>
    <xf numFmtId="0" fontId="8" fillId="17" borderId="1" xfId="0" applyFont="1" applyFill="1" applyBorder="1" applyAlignment="1">
      <alignment horizontal="center"/>
    </xf>
    <xf numFmtId="0" fontId="8" fillId="0" borderId="8" xfId="0" applyFont="1" applyBorder="1" applyAlignment="1">
      <alignment horizontal="center"/>
    </xf>
    <xf numFmtId="0" fontId="8" fillId="0" borderId="9" xfId="0" applyFont="1" applyBorder="1" applyAlignment="1">
      <alignment horizontal="center"/>
    </xf>
    <xf numFmtId="0" fontId="8" fillId="0" borderId="10" xfId="0" applyFont="1" applyBorder="1" applyAlignment="1">
      <alignment horizontal="center"/>
    </xf>
    <xf numFmtId="0" fontId="0" fillId="7" borderId="5" xfId="0" applyFill="1" applyBorder="1" applyAlignment="1">
      <alignment horizontal="center"/>
    </xf>
    <xf numFmtId="0" fontId="8" fillId="7" borderId="5" xfId="0" applyFont="1" applyFill="1" applyBorder="1" applyAlignment="1">
      <alignment horizontal="center"/>
    </xf>
    <xf numFmtId="0" fontId="4" fillId="0" borderId="3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8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48" fillId="6" borderId="8" xfId="0" applyFont="1" applyFill="1" applyBorder="1" applyAlignment="1">
      <alignment horizontal="center" vertical="center"/>
    </xf>
    <xf numFmtId="0" fontId="48" fillId="6" borderId="9" xfId="0" applyFont="1" applyFill="1" applyBorder="1" applyAlignment="1">
      <alignment horizontal="center" vertical="center"/>
    </xf>
    <xf numFmtId="0" fontId="48" fillId="6" borderId="10" xfId="0" applyFont="1" applyFill="1" applyBorder="1" applyAlignment="1">
      <alignment horizontal="center" vertical="center"/>
    </xf>
    <xf numFmtId="164" fontId="48" fillId="6" borderId="8" xfId="0" applyNumberFormat="1" applyFont="1" applyFill="1" applyBorder="1" applyAlignment="1">
      <alignment horizontal="center" vertical="center"/>
    </xf>
    <xf numFmtId="164" fontId="48" fillId="6" borderId="9" xfId="0" applyNumberFormat="1" applyFont="1" applyFill="1" applyBorder="1" applyAlignment="1">
      <alignment horizontal="center" vertical="center"/>
    </xf>
    <xf numFmtId="164" fontId="48" fillId="6" borderId="10" xfId="0" applyNumberFormat="1" applyFont="1" applyFill="1" applyBorder="1" applyAlignment="1">
      <alignment horizontal="center" vertical="center"/>
    </xf>
    <xf numFmtId="0" fontId="4" fillId="0" borderId="0" xfId="0" applyFont="1" applyAlignment="1">
      <alignment horizontal="justify" vertical="top" wrapText="1"/>
    </xf>
    <xf numFmtId="0" fontId="47" fillId="9" borderId="8" xfId="0" applyFont="1" applyFill="1" applyBorder="1" applyAlignment="1">
      <alignment horizontal="center" vertical="center"/>
    </xf>
    <xf numFmtId="0" fontId="47" fillId="9" borderId="9" xfId="0" applyFont="1" applyFill="1" applyBorder="1" applyAlignment="1">
      <alignment horizontal="center" vertical="center"/>
    </xf>
    <xf numFmtId="0" fontId="47" fillId="9" borderId="10" xfId="0" applyFont="1" applyFill="1" applyBorder="1" applyAlignment="1">
      <alignment horizontal="center" vertical="center"/>
    </xf>
    <xf numFmtId="164" fontId="47" fillId="9" borderId="8" xfId="0" applyNumberFormat="1" applyFont="1" applyFill="1" applyBorder="1" applyAlignment="1">
      <alignment horizontal="center" vertical="center"/>
    </xf>
    <xf numFmtId="164" fontId="47" fillId="9" borderId="9" xfId="0" applyNumberFormat="1" applyFont="1" applyFill="1" applyBorder="1" applyAlignment="1">
      <alignment horizontal="center" vertical="center"/>
    </xf>
    <xf numFmtId="164" fontId="47" fillId="9" borderId="10" xfId="0" applyNumberFormat="1" applyFont="1" applyFill="1" applyBorder="1" applyAlignment="1">
      <alignment horizontal="center" vertical="center"/>
    </xf>
    <xf numFmtId="2" fontId="4" fillId="0" borderId="1" xfId="0" applyNumberFormat="1" applyFont="1" applyBorder="1" applyAlignment="1">
      <alignment horizontal="center"/>
    </xf>
    <xf numFmtId="2" fontId="4" fillId="0" borderId="8" xfId="0" applyNumberFormat="1" applyFont="1" applyBorder="1" applyAlignment="1">
      <alignment horizontal="center"/>
    </xf>
    <xf numFmtId="2" fontId="4" fillId="0" borderId="9" xfId="0" applyNumberFormat="1" applyFont="1" applyBorder="1" applyAlignment="1">
      <alignment horizontal="center"/>
    </xf>
    <xf numFmtId="2" fontId="4" fillId="0" borderId="10" xfId="0" applyNumberFormat="1" applyFont="1" applyBorder="1" applyAlignment="1">
      <alignment horizontal="center"/>
    </xf>
    <xf numFmtId="0" fontId="45" fillId="0" borderId="0" xfId="0" applyFont="1" applyAlignment="1">
      <alignment horizontal="lef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left"/>
    </xf>
    <xf numFmtId="165" fontId="4" fillId="0" borderId="0" xfId="0" applyNumberFormat="1" applyFont="1" applyAlignment="1">
      <alignment horizontal="center"/>
    </xf>
    <xf numFmtId="0" fontId="45" fillId="0" borderId="1" xfId="0" applyFont="1" applyBorder="1" applyAlignment="1">
      <alignment horizontal="center"/>
    </xf>
    <xf numFmtId="0" fontId="45" fillId="0" borderId="1" xfId="0" applyFont="1" applyBorder="1" applyAlignment="1">
      <alignment horizontal="center" wrapText="1"/>
    </xf>
    <xf numFmtId="0" fontId="45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9" xfId="0" applyFont="1" applyBorder="1" applyAlignment="1">
      <alignment horizontal="center"/>
    </xf>
    <xf numFmtId="0" fontId="4" fillId="0" borderId="10" xfId="0" applyFont="1" applyBorder="1" applyAlignment="1">
      <alignment horizontal="center"/>
    </xf>
    <xf numFmtId="49" fontId="4" fillId="0" borderId="0" xfId="0" applyNumberFormat="1" applyFont="1" applyAlignment="1">
      <alignment horizontal="left"/>
    </xf>
    <xf numFmtId="49" fontId="45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left" vertical="top" wrapText="1"/>
    </xf>
    <xf numFmtId="0" fontId="52" fillId="7" borderId="37" xfId="0" applyFont="1" applyFill="1" applyBorder="1" applyAlignment="1">
      <alignment horizontal="center" vertical="center"/>
    </xf>
    <xf numFmtId="0" fontId="52" fillId="7" borderId="38" xfId="0" applyFont="1" applyFill="1" applyBorder="1" applyAlignment="1">
      <alignment horizontal="center" vertical="center"/>
    </xf>
    <xf numFmtId="0" fontId="51" fillId="21" borderId="31" xfId="0" applyFont="1" applyFill="1" applyBorder="1" applyAlignment="1">
      <alignment horizontal="center" vertical="center"/>
    </xf>
    <xf numFmtId="0" fontId="52" fillId="7" borderId="25" xfId="0" applyFont="1" applyFill="1" applyBorder="1" applyAlignment="1">
      <alignment horizontal="center" vertical="center"/>
    </xf>
    <xf numFmtId="0" fontId="52" fillId="7" borderId="26" xfId="0" applyFont="1" applyFill="1" applyBorder="1" applyAlignment="1">
      <alignment horizontal="center" vertical="center"/>
    </xf>
    <xf numFmtId="0" fontId="52" fillId="7" borderId="27" xfId="0" applyFont="1" applyFill="1" applyBorder="1" applyAlignment="1">
      <alignment horizontal="center" vertical="center"/>
    </xf>
    <xf numFmtId="0" fontId="55" fillId="7" borderId="5" xfId="0" applyFont="1" applyFill="1" applyBorder="1" applyAlignment="1">
      <alignment horizontal="center"/>
    </xf>
    <xf numFmtId="0" fontId="7" fillId="7" borderId="5" xfId="0" applyFont="1" applyFill="1" applyBorder="1" applyAlignment="1">
      <alignment horizontal="center"/>
    </xf>
    <xf numFmtId="0" fontId="52" fillId="7" borderId="25" xfId="0" applyFont="1" applyFill="1" applyBorder="1" applyAlignment="1">
      <alignment horizontal="center" vertical="center" wrapText="1"/>
    </xf>
    <xf numFmtId="0" fontId="8" fillId="10" borderId="0" xfId="0" applyFont="1" applyFill="1" applyAlignment="1">
      <alignment horizontal="center"/>
    </xf>
    <xf numFmtId="0" fontId="51" fillId="21" borderId="0" xfId="0" applyFont="1" applyFill="1" applyAlignment="1">
      <alignment horizontal="center" vertical="center"/>
    </xf>
    <xf numFmtId="0" fontId="0" fillId="23" borderId="1" xfId="0" applyFill="1" applyBorder="1" applyAlignment="1">
      <alignment horizontal="center"/>
    </xf>
    <xf numFmtId="0" fontId="8" fillId="18" borderId="0" xfId="0" applyFont="1" applyFill="1" applyAlignment="1">
      <alignment horizontal="center"/>
    </xf>
    <xf numFmtId="0" fontId="0" fillId="3" borderId="8" xfId="0" applyFill="1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8" borderId="8" xfId="0" applyFill="1" applyBorder="1" applyAlignment="1">
      <alignment horizontal="center" vertical="center"/>
    </xf>
    <xf numFmtId="0" fontId="0" fillId="8" borderId="10" xfId="0" applyFill="1" applyBorder="1" applyAlignment="1">
      <alignment horizontal="center" vertical="center"/>
    </xf>
    <xf numFmtId="0" fontId="0" fillId="8" borderId="11" xfId="0" applyFill="1" applyBorder="1" applyAlignment="1">
      <alignment horizontal="center" vertical="center" wrapText="1"/>
    </xf>
    <xf numFmtId="0" fontId="0" fillId="8" borderId="12" xfId="0" applyFill="1" applyBorder="1" applyAlignment="1">
      <alignment horizontal="center" vertical="center" wrapText="1"/>
    </xf>
    <xf numFmtId="0" fontId="0" fillId="8" borderId="2" xfId="0" applyFill="1" applyBorder="1" applyAlignment="1">
      <alignment horizontal="center" vertical="center" wrapText="1"/>
    </xf>
    <xf numFmtId="0" fontId="0" fillId="8" borderId="3" xfId="0" applyFill="1" applyBorder="1" applyAlignment="1">
      <alignment horizontal="center" vertical="center" wrapText="1"/>
    </xf>
    <xf numFmtId="0" fontId="0" fillId="8" borderId="6" xfId="0" applyFill="1" applyBorder="1" applyAlignment="1">
      <alignment horizontal="center" vertical="center" wrapText="1"/>
    </xf>
    <xf numFmtId="0" fontId="0" fillId="8" borderId="4" xfId="0" applyFill="1" applyBorder="1" applyAlignment="1">
      <alignment horizontal="center" vertical="center" wrapText="1"/>
    </xf>
    <xf numFmtId="0" fontId="0" fillId="8" borderId="5" xfId="0" applyFill="1" applyBorder="1" applyAlignment="1">
      <alignment horizontal="center" vertical="center" wrapText="1"/>
    </xf>
    <xf numFmtId="0" fontId="0" fillId="8" borderId="7" xfId="0" applyFill="1" applyBorder="1" applyAlignment="1">
      <alignment horizontal="center" vertical="center" wrapText="1"/>
    </xf>
    <xf numFmtId="0" fontId="8" fillId="15" borderId="25" xfId="0" applyFont="1" applyFill="1" applyBorder="1" applyAlignment="1">
      <alignment horizontal="center" vertical="center"/>
    </xf>
    <xf numFmtId="0" fontId="8" fillId="15" borderId="26" xfId="0" applyFont="1" applyFill="1" applyBorder="1" applyAlignment="1">
      <alignment horizontal="center" vertical="center"/>
    </xf>
    <xf numFmtId="0" fontId="8" fillId="15" borderId="27" xfId="0" applyFont="1" applyFill="1" applyBorder="1" applyAlignment="1">
      <alignment horizontal="center" vertical="center"/>
    </xf>
    <xf numFmtId="0" fontId="7" fillId="0" borderId="0" xfId="0" applyFont="1" applyAlignment="1" applyProtection="1">
      <alignment horizontal="center"/>
      <protection locked="0"/>
    </xf>
    <xf numFmtId="0" fontId="6" fillId="0" borderId="0" xfId="0" applyFont="1" applyAlignment="1" applyProtection="1">
      <alignment horizontal="center"/>
      <protection locked="0"/>
    </xf>
  </cellXfs>
  <cellStyles count="2">
    <cellStyle name="Normal" xfId="0" builtinId="0"/>
    <cellStyle name="Porcentaje" xfId="1" builtinId="5"/>
  </cellStyles>
  <dxfs count="154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  <dxf>
      <fill>
        <patternFill>
          <bgColor rgb="FFFF66FF"/>
        </patternFill>
      </fill>
    </dxf>
    <dxf>
      <fill>
        <patternFill>
          <bgColor rgb="FFFF66FF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66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ill>
        <patternFill>
          <bgColor rgb="FFFF00FF"/>
        </patternFill>
      </fill>
    </dxf>
    <dxf>
      <font>
        <b/>
        <i val="0"/>
        <color auto="1"/>
      </font>
      <fill>
        <patternFill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left" vertical="center" textRotation="0" wrapText="1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scheme val="none"/>
      </font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alignment horizontal="general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numFmt numFmtId="166" formatCode="0.000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numFmt numFmtId="164" formatCode="yyyy\-mm\-dd;@"/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strike val="0"/>
        <outline val="0"/>
        <shadow val="0"/>
        <u val="none"/>
        <vertAlign val="baseline"/>
        <sz val="11"/>
        <color rgb="FFC00000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general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sz val="11"/>
        <name val="Calibri"/>
        <scheme val="minor"/>
      </font>
      <alignment horizontal="general" vertical="center" textRotation="0" wrapText="0" indent="0" justifyLastLine="0" shrinkToFit="0" readingOrder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0.1499984740745262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5" tint="0.79998168889431442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168" formatCode="0.0%"/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" formatCode="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2" formatCode="0.00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67" formatCode="0.0000"/>
      <fill>
        <patternFill patternType="solid">
          <fgColor indexed="64"/>
          <bgColor theme="0"/>
        </patternFill>
      </fill>
      <alignment horizontal="right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/>
      </border>
      <protection locked="1" hidden="0"/>
    </dxf>
    <dxf>
      <font>
        <i/>
        <sz val="10"/>
        <color auto="1"/>
      </font>
      <numFmt numFmtId="167" formatCode="0.0000"/>
      <fill>
        <patternFill patternType="solid">
          <fgColor indexed="64"/>
          <bgColor theme="0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right" vertical="center" textRotation="0" wrapText="1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6" tint="0.79998168889431442"/>
        </patternFill>
      </fill>
      <alignment horizontal="general" vertical="center" textRotation="0" wrapText="1" indent="0" justifyLastLine="0" shrinkToFit="0" readingOrder="0"/>
      <border diagonalUp="0" diagonalDown="0">
        <left/>
        <right style="thin">
          <color indexed="64"/>
        </right>
        <top style="thin">
          <color indexed="64"/>
        </top>
        <bottom/>
        <vertical/>
        <horizontal/>
      </border>
      <protection locked="1" hidden="0"/>
    </dxf>
    <dxf>
      <border outline="0">
        <top style="thin">
          <color indexed="64"/>
        </top>
      </border>
    </dxf>
    <dxf>
      <alignment vertical="center" textRotation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right" vertical="center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5" formatCode="0.00E+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/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6" formatCode="0.0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" formatCode="0.00"/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general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4" tint="0.79998168889431442"/>
        </patternFill>
      </fill>
      <alignment horizontal="center" vertical="bottom" textRotation="0" wrapText="0" indent="0" justifyLastLine="0" shrinkToFit="0" readingOrder="0"/>
      <protection locked="1" hidden="0"/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  <protection locked="1" hidden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alignment vertical="center" textRotation="0" wrapText="0" indent="0" justifyLastLine="0" shrinkToFit="0" readingOrder="0"/>
      <protection locked="0" hidden="0"/>
    </dxf>
    <dxf>
      <alignment horizontal="general" vertical="center" textRotation="0" wrapText="0" indent="0" justifyLastLine="0" shrinkToFit="0" readingOrder="0"/>
    </dxf>
    <dxf>
      <alignment vertical="center" textRotation="0" wrapText="0" indent="0" justifyLastLine="0" shrinkToFit="0" readingOrder="0"/>
    </dxf>
    <dxf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color rgb="FFFF0000"/>
        <name val="Calibri"/>
        <scheme val="minor"/>
      </font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numFmt numFmtId="30" formatCode="@"/>
      <alignment horizontal="left" vertical="top" textRotation="0" wrapText="0" indent="0" justifyLastLine="0" shrinkToFit="0" readingOrder="0"/>
      <protection locked="0" hidden="0"/>
    </dxf>
    <dxf>
      <alignment horizontal="left" vertical="top" textRotation="0" wrapText="0" indent="0" justifyLastLine="0" shrinkToFit="0" readingOrder="0"/>
    </dxf>
    <dxf>
      <alignment vertical="top" textRotation="0" wrapText="0" indent="0" justifyLastLine="0" shrinkToFit="0" readingOrder="0"/>
    </dxf>
    <dxf>
      <alignment horizontal="left" vertical="top" textRotation="0" wrapText="0" indent="0" justifyLastLine="0" shrinkToFit="0" readingOrder="0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0000000-0011-0000-FFFF-FFFF00000000}">
      <tableStyleElement type="wholeTable" dxfId="153"/>
      <tableStyleElement type="headerRow" dxfId="152"/>
    </tableStyle>
  </tableStyles>
  <colors>
    <mruColors>
      <color rgb="FFFF66FF"/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29618226498222661"/>
                  <c:y val="0.2746649014174812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Patron'!$G$44:$G$60</c:f>
              <c:numCache>
                <c:formatCode>General</c:formatCode>
                <c:ptCount val="17"/>
                <c:pt idx="0">
                  <c:v>0.68</c:v>
                </c:pt>
                <c:pt idx="1">
                  <c:v>0.68</c:v>
                </c:pt>
                <c:pt idx="2">
                  <c:v>0.68</c:v>
                </c:pt>
                <c:pt idx="3">
                  <c:v>0.68</c:v>
                </c:pt>
                <c:pt idx="4">
                  <c:v>0.68</c:v>
                </c:pt>
                <c:pt idx="5">
                  <c:v>0.72</c:v>
                </c:pt>
                <c:pt idx="6">
                  <c:v>0.69</c:v>
                </c:pt>
                <c:pt idx="7">
                  <c:v>0.7</c:v>
                </c:pt>
                <c:pt idx="8">
                  <c:v>0.68</c:v>
                </c:pt>
                <c:pt idx="9">
                  <c:v>0.71</c:v>
                </c:pt>
                <c:pt idx="10" formatCode="0.0">
                  <c:v>0.68</c:v>
                </c:pt>
                <c:pt idx="11" formatCode="0.0">
                  <c:v>0.68</c:v>
                </c:pt>
                <c:pt idx="12">
                  <c:v>0.72</c:v>
                </c:pt>
                <c:pt idx="13">
                  <c:v>0.68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E9D-4F3D-97FF-437EEDA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49945776"/>
        <c:axId val="-1549945232"/>
      </c:scatterChart>
      <c:valAx>
        <c:axId val="-15499457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232"/>
        <c:crosses val="autoZero"/>
        <c:crossBetween val="midCat"/>
      </c:valAx>
      <c:valAx>
        <c:axId val="-154994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5499457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NI-MCPP-04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6"/>
            <c:dispRSqr val="1"/>
            <c:dispEq val="1"/>
            <c:trendlineLbl>
              <c:layout>
                <c:manualLayout>
                  <c:x val="5.9868925652960758E-2"/>
                  <c:y val="0.18342805097124054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Patron'!$G$61:$G$86</c:f>
              <c:numCache>
                <c:formatCode>0.000</c:formatCode>
                <c:ptCount val="26"/>
                <c:pt idx="0">
                  <c:v>2.1000000000000001E-2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2.5000000000000001E-2</c:v>
                </c:pt>
                <c:pt idx="5">
                  <c:v>2.1000000000000001E-2</c:v>
                </c:pt>
                <c:pt idx="6">
                  <c:v>2.1999999999999999E-2</c:v>
                </c:pt>
                <c:pt idx="7">
                  <c:v>2.3E-2</c:v>
                </c:pt>
                <c:pt idx="8">
                  <c:v>2.5000000000000001E-2</c:v>
                </c:pt>
                <c:pt idx="9">
                  <c:v>2.1999999999999999E-2</c:v>
                </c:pt>
                <c:pt idx="10">
                  <c:v>2.4E-2</c:v>
                </c:pt>
                <c:pt idx="11">
                  <c:v>2.7E-2</c:v>
                </c:pt>
                <c:pt idx="12">
                  <c:v>2.1000000000000001E-2</c:v>
                </c:pt>
                <c:pt idx="13">
                  <c:v>2.1000000000000001E-2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0F9-414B-B46B-B5D0EE2BD9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4944"/>
        <c:axId val="-1651736576"/>
      </c:scatterChart>
      <c:valAx>
        <c:axId val="-16517349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576"/>
        <c:crosses val="autoZero"/>
        <c:crossBetween val="midCat"/>
      </c:valAx>
      <c:valAx>
        <c:axId val="-1651736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49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NI-MCPT-T-36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-0.37769941264628532"/>
                  <c:y val="1.7989340810759005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Patron'!#REF!</c:f>
            </c:numRef>
          </c:xVal>
          <c:yVal>
            <c:numRef>
              <c:f>'BD Patron'!#REF!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9B1-46E3-BF5A-77C3933293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736032"/>
        <c:axId val="-1398226560"/>
      </c:scatterChart>
      <c:valAx>
        <c:axId val="-165173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6560"/>
        <c:crosses val="autoZero"/>
        <c:crossBetween val="midCat"/>
      </c:valAx>
      <c:valAx>
        <c:axId val="-13982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7360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200"/>
              <a:t>Incertidumbre NI-MCPPT-01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Incertidumbre</c:v>
          </c:tx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 cap="rnd">
                <a:solidFill>
                  <a:schemeClr val="accent5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chemeClr val="accent5"/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30942887301613792"/>
                  <c:y val="0.2336057203082944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Patron'!$G$26:$G$43</c:f>
              <c:numCache>
                <c:formatCode>General</c:formatCode>
                <c:ptCount val="18"/>
                <c:pt idx="0">
                  <c:v>2.1999999999999999E-2</c:v>
                </c:pt>
                <c:pt idx="1">
                  <c:v>2.1000000000000001E-2</c:v>
                </c:pt>
                <c:pt idx="2">
                  <c:v>2.1000000000000001E-2</c:v>
                </c:pt>
                <c:pt idx="3">
                  <c:v>2.1000000000000001E-2</c:v>
                </c:pt>
                <c:pt idx="4">
                  <c:v>2.1000000000000001E-2</c:v>
                </c:pt>
                <c:pt idx="5">
                  <c:v>2.8000000000000001E-2</c:v>
                </c:pt>
                <c:pt idx="6">
                  <c:v>2.1000000000000001E-2</c:v>
                </c:pt>
                <c:pt idx="7">
                  <c:v>2.1000000000000001E-2</c:v>
                </c:pt>
                <c:pt idx="8">
                  <c:v>2.1000000000000001E-2</c:v>
                </c:pt>
                <c:pt idx="9">
                  <c:v>2.1999999999999999E-2</c:v>
                </c:pt>
                <c:pt idx="10">
                  <c:v>2.1999999999999999E-2</c:v>
                </c:pt>
                <c:pt idx="11">
                  <c:v>2.9000000000000001E-2</c:v>
                </c:pt>
                <c:pt idx="12">
                  <c:v>2.1999999999999999E-2</c:v>
                </c:pt>
                <c:pt idx="13">
                  <c:v>2.1999999999999999E-2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038-43B2-8030-A27BEA4AD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9824"/>
        <c:axId val="-1398223840"/>
      </c:scatterChart>
      <c:valAx>
        <c:axId val="-1398229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3840"/>
        <c:crosses val="autoZero"/>
        <c:crossBetween val="midCat"/>
      </c:valAx>
      <c:valAx>
        <c:axId val="-1398223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98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NI-MCPPT-01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Patron'!$E$26:$E$43</c:f>
              <c:numCache>
                <c:formatCode>General</c:formatCode>
                <c:ptCount val="18"/>
                <c:pt idx="0">
                  <c:v>-12</c:v>
                </c:pt>
                <c:pt idx="1">
                  <c:v>0.04</c:v>
                </c:pt>
                <c:pt idx="2">
                  <c:v>20</c:v>
                </c:pt>
                <c:pt idx="3">
                  <c:v>50</c:v>
                </c:pt>
                <c:pt idx="4">
                  <c:v>100</c:v>
                </c:pt>
                <c:pt idx="5">
                  <c:v>150.005</c:v>
                </c:pt>
                <c:pt idx="6">
                  <c:v>200</c:v>
                </c:pt>
                <c:pt idx="7">
                  <c:v>200</c:v>
                </c:pt>
                <c:pt idx="8">
                  <c:v>150</c:v>
                </c:pt>
                <c:pt idx="9">
                  <c:v>100</c:v>
                </c:pt>
                <c:pt idx="10">
                  <c:v>50</c:v>
                </c:pt>
                <c:pt idx="11">
                  <c:v>20.004999999999999</c:v>
                </c:pt>
                <c:pt idx="12">
                  <c:v>0.04</c:v>
                </c:pt>
                <c:pt idx="13">
                  <c:v>-12</c:v>
                </c:pt>
              </c:numCache>
            </c:numRef>
          </c:xVal>
          <c:yVal>
            <c:numRef>
              <c:f>'BD Patron'!$F$26:$F$43</c:f>
              <c:numCache>
                <c:formatCode>General</c:formatCode>
                <c:ptCount val="18"/>
                <c:pt idx="0">
                  <c:v>-2E-3</c:v>
                </c:pt>
                <c:pt idx="1">
                  <c:v>-3.6999999999999998E-2</c:v>
                </c:pt>
                <c:pt idx="2">
                  <c:v>-2.9000000000000001E-2</c:v>
                </c:pt>
                <c:pt idx="3">
                  <c:v>-4.9000000000000002E-2</c:v>
                </c:pt>
                <c:pt idx="4">
                  <c:v>-4.2999999999999997E-2</c:v>
                </c:pt>
                <c:pt idx="5" formatCode="0.000">
                  <c:v>-6.2E-2</c:v>
                </c:pt>
                <c:pt idx="6">
                  <c:v>-6.8000000000000005E-2</c:v>
                </c:pt>
                <c:pt idx="7">
                  <c:v>-6.8000000000000005E-2</c:v>
                </c:pt>
                <c:pt idx="8">
                  <c:v>-9.6000000000000002E-2</c:v>
                </c:pt>
                <c:pt idx="9">
                  <c:v>-9.8000000000000004E-2</c:v>
                </c:pt>
                <c:pt idx="10">
                  <c:v>-9.4E-2</c:v>
                </c:pt>
                <c:pt idx="11">
                  <c:v>-0.06</c:v>
                </c:pt>
                <c:pt idx="12">
                  <c:v>-3.4000000000000002E-2</c:v>
                </c:pt>
                <c:pt idx="13">
                  <c:v>-3.0000000000000001E-3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239-41C0-8FA8-DCA1E8211376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Patron'!$H$26:$H$43</c:f>
              <c:numCache>
                <c:formatCode>General</c:formatCode>
                <c:ptCount val="18"/>
                <c:pt idx="0">
                  <c:v>-12.882</c:v>
                </c:pt>
                <c:pt idx="1">
                  <c:v>4.0000000000000001E-3</c:v>
                </c:pt>
                <c:pt idx="2">
                  <c:v>20.004999999999999</c:v>
                </c:pt>
                <c:pt idx="3">
                  <c:v>50.027999999999999</c:v>
                </c:pt>
                <c:pt idx="4">
                  <c:v>99.997</c:v>
                </c:pt>
                <c:pt idx="5">
                  <c:v>150.00299999999999</c:v>
                </c:pt>
                <c:pt idx="6">
                  <c:v>200.017</c:v>
                </c:pt>
                <c:pt idx="7">
                  <c:v>199.999</c:v>
                </c:pt>
                <c:pt idx="8">
                  <c:v>150.00200000000001</c:v>
                </c:pt>
                <c:pt idx="9">
                  <c:v>100.00700000000001</c:v>
                </c:pt>
                <c:pt idx="10">
                  <c:v>49.997999999999998</c:v>
                </c:pt>
                <c:pt idx="11">
                  <c:v>20.015000000000001</c:v>
                </c:pt>
                <c:pt idx="12">
                  <c:v>1E-3</c:v>
                </c:pt>
                <c:pt idx="13">
                  <c:v>-12.85</c:v>
                </c:pt>
              </c:numCache>
            </c:numRef>
          </c:xVal>
          <c:yVal>
            <c:numRef>
              <c:f>'BD Patron'!$I$26:$I$43</c:f>
              <c:numCache>
                <c:formatCode>General</c:formatCode>
                <c:ptCount val="18"/>
                <c:pt idx="0">
                  <c:v>3.3000000000000002E-2</c:v>
                </c:pt>
                <c:pt idx="1">
                  <c:v>-1E-3</c:v>
                </c:pt>
                <c:pt idx="2">
                  <c:v>0</c:v>
                </c:pt>
                <c:pt idx="3">
                  <c:v>1.2E-2</c:v>
                </c:pt>
                <c:pt idx="4">
                  <c:v>-8.0000000000000002E-3</c:v>
                </c:pt>
                <c:pt idx="5" formatCode="0.00">
                  <c:v>3.0000000000000001E-3</c:v>
                </c:pt>
                <c:pt idx="6">
                  <c:v>-3.0000000000000001E-3</c:v>
                </c:pt>
                <c:pt idx="7" formatCode="0.00">
                  <c:v>-1.0999999999999999E-2</c:v>
                </c:pt>
                <c:pt idx="8" formatCode="0.00">
                  <c:v>-1.2999999999999999E-2</c:v>
                </c:pt>
                <c:pt idx="9" formatCode="0.00">
                  <c:v>7.0000000000000001E-3</c:v>
                </c:pt>
                <c:pt idx="10">
                  <c:v>-2E-3</c:v>
                </c:pt>
                <c:pt idx="11" formatCode="0.00">
                  <c:v>5.0000000000000001E-3</c:v>
                </c:pt>
                <c:pt idx="12" formatCode="0.00">
                  <c:v>-4.0000000000000001E-3</c:v>
                </c:pt>
                <c:pt idx="13" formatCode="0.00">
                  <c:v>0.03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239-41C0-8FA8-DCA1E82113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4928"/>
        <c:axId val="-1398230368"/>
      </c:scatterChart>
      <c:valAx>
        <c:axId val="-139822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30368"/>
        <c:crosses val="autoZero"/>
        <c:crossBetween val="midCat"/>
      </c:valAx>
      <c:valAx>
        <c:axId val="-1398230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49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NI-MCPP-02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Patron'!$E$44:$E$60</c:f>
              <c:numCache>
                <c:formatCode>General</c:formatCode>
                <c:ptCount val="17"/>
                <c:pt idx="0">
                  <c:v>0</c:v>
                </c:pt>
                <c:pt idx="1">
                  <c:v>100</c:v>
                </c:pt>
                <c:pt idx="2">
                  <c:v>1000</c:v>
                </c:pt>
                <c:pt idx="3">
                  <c:v>2000</c:v>
                </c:pt>
                <c:pt idx="4">
                  <c:v>3000</c:v>
                </c:pt>
                <c:pt idx="5" formatCode="0.0">
                  <c:v>4000</c:v>
                </c:pt>
                <c:pt idx="6" formatCode="0.0">
                  <c:v>5000</c:v>
                </c:pt>
                <c:pt idx="7">
                  <c:v>5000</c:v>
                </c:pt>
                <c:pt idx="8">
                  <c:v>4000</c:v>
                </c:pt>
                <c:pt idx="9">
                  <c:v>3000</c:v>
                </c:pt>
                <c:pt idx="10">
                  <c:v>2000</c:v>
                </c:pt>
                <c:pt idx="11">
                  <c:v>1000</c:v>
                </c:pt>
                <c:pt idx="12" formatCode="0.0">
                  <c:v>100</c:v>
                </c:pt>
                <c:pt idx="13">
                  <c:v>0</c:v>
                </c:pt>
              </c:numCache>
            </c:numRef>
          </c:xVal>
          <c:yVal>
            <c:numRef>
              <c:f>'BD Patron'!$F$44:$F$60</c:f>
              <c:numCache>
                <c:formatCode>General</c:formatCode>
                <c:ptCount val="17"/>
                <c:pt idx="0" formatCode="0.0">
                  <c:v>0</c:v>
                </c:pt>
                <c:pt idx="1">
                  <c:v>-0.54</c:v>
                </c:pt>
                <c:pt idx="2">
                  <c:v>-0.96</c:v>
                </c:pt>
                <c:pt idx="3">
                  <c:v>-0.65</c:v>
                </c:pt>
                <c:pt idx="4">
                  <c:v>-0.61</c:v>
                </c:pt>
                <c:pt idx="5" formatCode="0.0">
                  <c:v>-0.83</c:v>
                </c:pt>
                <c:pt idx="6" formatCode="0.0">
                  <c:v>-0.74</c:v>
                </c:pt>
                <c:pt idx="7">
                  <c:v>-0.37</c:v>
                </c:pt>
                <c:pt idx="8">
                  <c:v>-0.73</c:v>
                </c:pt>
                <c:pt idx="9">
                  <c:v>-0.67</c:v>
                </c:pt>
                <c:pt idx="10" formatCode="0.0">
                  <c:v>-0.63</c:v>
                </c:pt>
                <c:pt idx="11" formatCode="0.0">
                  <c:v>-0.43</c:v>
                </c:pt>
                <c:pt idx="12" formatCode="0.0">
                  <c:v>0.25</c:v>
                </c:pt>
                <c:pt idx="13">
                  <c:v>0.01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3F-4A2C-951C-144F5162D01B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Patron'!$H$44:$H$60</c:f>
              <c:numCache>
                <c:formatCode>General</c:formatCode>
                <c:ptCount val="17"/>
                <c:pt idx="0">
                  <c:v>0</c:v>
                </c:pt>
                <c:pt idx="2">
                  <c:v>999.9</c:v>
                </c:pt>
                <c:pt idx="4">
                  <c:v>2999.9</c:v>
                </c:pt>
                <c:pt idx="6">
                  <c:v>5003</c:v>
                </c:pt>
                <c:pt idx="7">
                  <c:v>5003</c:v>
                </c:pt>
                <c:pt idx="9">
                  <c:v>2999.9</c:v>
                </c:pt>
                <c:pt idx="11">
                  <c:v>999.9</c:v>
                </c:pt>
                <c:pt idx="13">
                  <c:v>0</c:v>
                </c:pt>
              </c:numCache>
            </c:numRef>
          </c:xVal>
          <c:yVal>
            <c:numRef>
              <c:f>'BD Patron'!$I$44:$I$60</c:f>
              <c:numCache>
                <c:formatCode>General</c:formatCode>
                <c:ptCount val="17"/>
                <c:pt idx="0">
                  <c:v>0</c:v>
                </c:pt>
                <c:pt idx="2">
                  <c:v>-0.1</c:v>
                </c:pt>
                <c:pt idx="4">
                  <c:v>-1.1000000000000001</c:v>
                </c:pt>
                <c:pt idx="6">
                  <c:v>3</c:v>
                </c:pt>
                <c:pt idx="7">
                  <c:v>3</c:v>
                </c:pt>
                <c:pt idx="9">
                  <c:v>-1.1000000000000001</c:v>
                </c:pt>
                <c:pt idx="11">
                  <c:v>-0.1</c:v>
                </c:pt>
                <c:pt idx="1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73F-4A2C-951C-144F5162D0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398227648"/>
        <c:axId val="-1398228192"/>
      </c:scatterChart>
      <c:valAx>
        <c:axId val="-1398227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8192"/>
        <c:crosses val="autoZero"/>
        <c:crossBetween val="midCat"/>
      </c:valAx>
      <c:valAx>
        <c:axId val="-139822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398227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Corrección ultimos certificados </a:t>
            </a:r>
            <a:r>
              <a:rPr lang="en-US" sz="1400" b="1" i="0" baseline="0">
                <a:effectLst/>
              </a:rPr>
              <a:t>NI-MCPP-04</a:t>
            </a:r>
            <a:endParaRPr lang="es-NI" sz="1400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scatterChart>
        <c:scatterStyle val="lineMarker"/>
        <c:varyColors val="0"/>
        <c:ser>
          <c:idx val="1"/>
          <c:order val="0"/>
          <c:tx>
            <c:v>Corrección</c:v>
          </c:tx>
          <c:spPr>
            <a:ln w="25400" cap="rnd">
              <a:noFill/>
            </a:ln>
            <a:effectLst>
              <a:glow rad="139700">
                <a:schemeClr val="accent5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5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5">
                    <a:alpha val="50000"/>
                  </a:schemeClr>
                </a:solidFill>
              </a:ln>
              <a:effectLst/>
            </c:spPr>
            <c:trendlineType val="poly"/>
            <c:order val="4"/>
            <c:dispRSqr val="1"/>
            <c:dispEq val="1"/>
            <c:trendlineLbl>
              <c:layout>
                <c:manualLayout>
                  <c:x val="0.10041655417132719"/>
                  <c:y val="0.19135498687664043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Patron'!$E$61:$E$86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1.4999999999999999E-2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Patron'!$F$61:$F$86</c:f>
              <c:numCache>
                <c:formatCode>0.000</c:formatCode>
                <c:ptCount val="26"/>
                <c:pt idx="0">
                  <c:v>-1E-3</c:v>
                </c:pt>
                <c:pt idx="1">
                  <c:v>-2E-3</c:v>
                </c:pt>
                <c:pt idx="2">
                  <c:v>1E-3</c:v>
                </c:pt>
                <c:pt idx="3">
                  <c:v>4.0000000000000001E-3</c:v>
                </c:pt>
                <c:pt idx="4">
                  <c:v>-5.0000000000000001E-3</c:v>
                </c:pt>
                <c:pt idx="5">
                  <c:v>-3.0000000000000001E-3</c:v>
                </c:pt>
                <c:pt idx="6">
                  <c:v>-3.0000000000000001E-3</c:v>
                </c:pt>
                <c:pt idx="7">
                  <c:v>-2E-3</c:v>
                </c:pt>
                <c:pt idx="8">
                  <c:v>-8.9999999999999993E-3</c:v>
                </c:pt>
                <c:pt idx="9">
                  <c:v>-1.7000000000000001E-2</c:v>
                </c:pt>
                <c:pt idx="10">
                  <c:v>-1.0999999999999999E-2</c:v>
                </c:pt>
                <c:pt idx="11">
                  <c:v>-1.2999999999999999E-2</c:v>
                </c:pt>
                <c:pt idx="12">
                  <c:v>-2E-3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BC4-4775-9714-8017A4C25E0A}"/>
            </c:ext>
          </c:extLst>
        </c:ser>
        <c:ser>
          <c:idx val="0"/>
          <c:order val="1"/>
          <c:tx>
            <c:strRef>
              <c:f>'BD Patron'!$I$25</c:f>
              <c:strCache>
                <c:ptCount val="1"/>
                <c:pt idx="0">
                  <c:v>Correccion.ant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6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6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6">
                    <a:alpha val="50000"/>
                  </a:schemeClr>
                </a:solidFill>
              </a:ln>
              <a:effectLst/>
            </c:spPr>
            <c:trendlineType val="poly"/>
            <c:order val="2"/>
            <c:dispRSqr val="1"/>
            <c:dispEq val="1"/>
            <c:trendlineLbl>
              <c:layout>
                <c:manualLayout>
                  <c:x val="-0.230004896691547"/>
                  <c:y val="-0.2343716903808076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lt1">
                          <a:lumMod val="7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MX"/>
                </a:p>
              </c:txPr>
            </c:trendlineLbl>
          </c:trendline>
          <c:xVal>
            <c:numRef>
              <c:f>'BD Patron'!$H$61:$H$86</c:f>
              <c:numCache>
                <c:formatCode>0.00</c:formatCode>
                <c:ptCount val="26"/>
                <c:pt idx="0">
                  <c:v>-12</c:v>
                </c:pt>
                <c:pt idx="1">
                  <c:v>-6</c:v>
                </c:pt>
                <c:pt idx="2">
                  <c:v>0</c:v>
                </c:pt>
                <c:pt idx="3">
                  <c:v>50</c:v>
                </c:pt>
                <c:pt idx="4">
                  <c:v>150</c:v>
                </c:pt>
                <c:pt idx="5">
                  <c:v>250</c:v>
                </c:pt>
                <c:pt idx="6">
                  <c:v>300</c:v>
                </c:pt>
                <c:pt idx="7">
                  <c:v>300</c:v>
                </c:pt>
                <c:pt idx="8">
                  <c:v>250</c:v>
                </c:pt>
                <c:pt idx="9">
                  <c:v>150</c:v>
                </c:pt>
                <c:pt idx="10">
                  <c:v>50</c:v>
                </c:pt>
                <c:pt idx="11">
                  <c:v>0</c:v>
                </c:pt>
                <c:pt idx="12">
                  <c:v>-6</c:v>
                </c:pt>
                <c:pt idx="13">
                  <c:v>-12</c:v>
                </c:pt>
              </c:numCache>
            </c:numRef>
          </c:xVal>
          <c:yVal>
            <c:numRef>
              <c:f>'BD Patron'!$I$61:$I$86</c:f>
              <c:numCache>
                <c:formatCode>0.000</c:formatCode>
                <c:ptCount val="26"/>
                <c:pt idx="0">
                  <c:v>-1E-3</c:v>
                </c:pt>
                <c:pt idx="1">
                  <c:v>-5.3999999999999999E-2</c:v>
                </c:pt>
                <c:pt idx="2">
                  <c:v>-8.9999999999999993E-3</c:v>
                </c:pt>
                <c:pt idx="3">
                  <c:v>-3.3000000000000002E-2</c:v>
                </c:pt>
                <c:pt idx="4">
                  <c:v>-5.6000000000000001E-2</c:v>
                </c:pt>
                <c:pt idx="5">
                  <c:v>-0.05</c:v>
                </c:pt>
                <c:pt idx="6">
                  <c:v>-5.1999999999999998E-2</c:v>
                </c:pt>
                <c:pt idx="7">
                  <c:v>-4.2999999999999997E-2</c:v>
                </c:pt>
                <c:pt idx="8">
                  <c:v>-3.9E-2</c:v>
                </c:pt>
                <c:pt idx="9">
                  <c:v>-4.5999999999999999E-2</c:v>
                </c:pt>
                <c:pt idx="10">
                  <c:v>-1.7999999999999999E-2</c:v>
                </c:pt>
                <c:pt idx="11">
                  <c:v>-1.9E-2</c:v>
                </c:pt>
                <c:pt idx="12">
                  <c:v>-4.8000000000000001E-2</c:v>
                </c:pt>
                <c:pt idx="13">
                  <c:v>-1E-3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BC4-4775-9714-8017A4C25E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51879648"/>
        <c:axId val="-1651881280"/>
      </c:scatterChart>
      <c:valAx>
        <c:axId val="-16518796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81280"/>
        <c:crosses val="autoZero"/>
        <c:crossBetween val="midCat"/>
      </c:valAx>
      <c:valAx>
        <c:axId val="-165188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-165187964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000000000000011" l="0.70000000000000007" r="0.70000000000000007" t="0.75000000000000011" header="0.30000000000000004" footer="0.30000000000000004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4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3.png"/><Relationship Id="rId1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442150</xdr:colOff>
      <xdr:row>1</xdr:row>
      <xdr:rowOff>9408</xdr:rowOff>
    </xdr:from>
    <xdr:to>
      <xdr:col>28</xdr:col>
      <xdr:colOff>621635</xdr:colOff>
      <xdr:row>12</xdr:row>
      <xdr:rowOff>148947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/>
      </xdr:nvGrpSpPr>
      <xdr:grpSpPr>
        <a:xfrm>
          <a:off x="19474221" y="188702"/>
          <a:ext cx="1918638" cy="2228316"/>
          <a:chOff x="14355704" y="7112000"/>
          <a:chExt cx="1731707" cy="1936354"/>
        </a:xfrm>
      </xdr:grpSpPr>
      <xdr:pic>
        <xdr:nvPicPr>
          <xdr:cNvPr id="2" name="Picture 1" descr="http://www.datadigitization.com/wp-content/uploads/2016/06/LinearInterpolation.png">
            <a:extLst>
              <a:ext uri="{FF2B5EF4-FFF2-40B4-BE49-F238E27FC236}">
                <a16:creationId xmlns:a16="http://schemas.microsoft.com/office/drawing/2014/main" id="{00000000-0008-0000-0100-000002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355704" y="7112000"/>
            <a:ext cx="1731707" cy="143129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3" name="Picture 2">
            <a:extLst>
              <a:ext uri="{FF2B5EF4-FFF2-40B4-BE49-F238E27FC236}">
                <a16:creationId xmlns:a16="http://schemas.microsoft.com/office/drawing/2014/main" id="{00000000-0008-0000-0100-000003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 bwMode="auto">
          <a:xfrm>
            <a:off x="14525343" y="8720667"/>
            <a:ext cx="1392429" cy="32768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50</xdr:col>
      <xdr:colOff>474201</xdr:colOff>
      <xdr:row>3</xdr:row>
      <xdr:rowOff>70280</xdr:rowOff>
    </xdr:from>
    <xdr:to>
      <xdr:col>54</xdr:col>
      <xdr:colOff>7875</xdr:colOff>
      <xdr:row>5</xdr:row>
      <xdr:rowOff>49312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782130" y="635056"/>
          <a:ext cx="1972074" cy="33762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7</xdr:row>
      <xdr:rowOff>0</xdr:rowOff>
    </xdr:from>
    <xdr:to>
      <xdr:col>8</xdr:col>
      <xdr:colOff>640080</xdr:colOff>
      <xdr:row>8</xdr:row>
      <xdr:rowOff>129540</xdr:rowOff>
    </xdr:to>
    <xdr:grpSp>
      <xdr:nvGrpSpPr>
        <xdr:cNvPr id="10" name="Group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/>
      </xdr:nvGrpSpPr>
      <xdr:grpSpPr>
        <a:xfrm>
          <a:off x="3666565" y="1281953"/>
          <a:ext cx="2235797" cy="317799"/>
          <a:chOff x="3715926" y="1279407"/>
          <a:chExt cx="2258154" cy="317689"/>
        </a:xfrm>
      </xdr:grpSpPr>
      <xdr:grpSp>
        <xdr:nvGrpSpPr>
          <xdr:cNvPr id="9" name="Group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GrpSpPr/>
        </xdr:nvGrpSpPr>
        <xdr:grpSpPr>
          <a:xfrm>
            <a:off x="3715926" y="1279407"/>
            <a:ext cx="1468167" cy="317689"/>
            <a:chOff x="3715926" y="1279407"/>
            <a:chExt cx="1468167" cy="317689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00000000-0008-0000-0100-000006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3715926" y="1279407"/>
              <a:ext cx="624840" cy="31006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  <xdr:pic>
          <xdr:nvPicPr>
            <xdr:cNvPr id="7" name="Picture 6">
              <a:extLst>
                <a:ext uri="{FF2B5EF4-FFF2-40B4-BE49-F238E27FC236}">
                  <a16:creationId xmlns:a16="http://schemas.microsoft.com/office/drawing/2014/main" id="{00000000-0008-0000-0100-000007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490673" y="1279407"/>
              <a:ext cx="693420" cy="317689"/>
            </a:xfrm>
            <a:prstGeom prst="rect">
              <a:avLst/>
            </a:prstGeom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pic>
      </xdr:grpSp>
      <xdr:pic>
        <xdr:nvPicPr>
          <xdr:cNvPr id="8" name="Picture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34000" y="1279407"/>
            <a:ext cx="640080" cy="31006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9</xdr:col>
      <xdr:colOff>498592</xdr:colOff>
      <xdr:row>7</xdr:row>
      <xdr:rowOff>0</xdr:rowOff>
    </xdr:from>
    <xdr:to>
      <xdr:col>12</xdr:col>
      <xdr:colOff>719572</xdr:colOff>
      <xdr:row>8</xdr:row>
      <xdr:rowOff>152400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1629" y="1279407"/>
          <a:ext cx="2685721" cy="3405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705556</xdr:colOff>
      <xdr:row>29</xdr:row>
      <xdr:rowOff>94074</xdr:rowOff>
    </xdr:from>
    <xdr:to>
      <xdr:col>7</xdr:col>
      <xdr:colOff>702169</xdr:colOff>
      <xdr:row>33</xdr:row>
      <xdr:rowOff>109974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03408" y="5691481"/>
          <a:ext cx="2423724" cy="740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376296</xdr:colOff>
      <xdr:row>29</xdr:row>
      <xdr:rowOff>131704</xdr:rowOff>
    </xdr:from>
    <xdr:to>
      <xdr:col>11</xdr:col>
      <xdr:colOff>76199</xdr:colOff>
      <xdr:row>33</xdr:row>
      <xdr:rowOff>50237</xdr:rowOff>
    </xdr:to>
    <xdr:grpSp>
      <xdr:nvGrpSpPr>
        <xdr:cNvPr id="17" name="Group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GrpSpPr/>
      </xdr:nvGrpSpPr>
      <xdr:grpSpPr>
        <a:xfrm>
          <a:off x="5638578" y="5815328"/>
          <a:ext cx="2138303" cy="644674"/>
          <a:chOff x="5710296" y="5729111"/>
          <a:chExt cx="2164644" cy="642903"/>
        </a:xfrm>
      </xdr:grpSpPr>
      <xdr:pic>
        <xdr:nvPicPr>
          <xdr:cNvPr id="13" name="Picture 12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9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5729111"/>
            <a:ext cx="961437" cy="28542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0296" y="6077185"/>
            <a:ext cx="968587" cy="294829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5743457"/>
            <a:ext cx="754380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16" name="Picture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2">
            <a:clrChange>
              <a:clrFrom>
                <a:srgbClr val="FFFFFF"/>
              </a:clrFrom>
              <a:clrTo>
                <a:srgbClr val="FFFFFF">
                  <a:alpha val="0"/>
                </a:srgbClr>
              </a:clrTo>
            </a:clrChange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989703" y="6096235"/>
            <a:ext cx="885237" cy="256728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 editAs="oneCell">
    <xdr:from>
      <xdr:col>11</xdr:col>
      <xdr:colOff>649111</xdr:colOff>
      <xdr:row>29</xdr:row>
      <xdr:rowOff>75260</xdr:rowOff>
    </xdr:from>
    <xdr:to>
      <xdr:col>15</xdr:col>
      <xdr:colOff>342994</xdr:colOff>
      <xdr:row>33</xdr:row>
      <xdr:rowOff>75261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47852" y="567266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291636</xdr:colOff>
      <xdr:row>7</xdr:row>
      <xdr:rowOff>131705</xdr:rowOff>
    </xdr:from>
    <xdr:to>
      <xdr:col>16</xdr:col>
      <xdr:colOff>8</xdr:colOff>
      <xdr:row>10</xdr:row>
      <xdr:rowOff>118900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614377" y="1411112"/>
          <a:ext cx="2107261" cy="532825"/>
        </a:xfrm>
        <a:prstGeom prst="rect">
          <a:avLst/>
        </a:prstGeom>
      </xdr:spPr>
    </xdr:pic>
    <xdr:clientData/>
  </xdr:twoCellAnchor>
  <xdr:twoCellAnchor editAs="oneCell">
    <xdr:from>
      <xdr:col>43</xdr:col>
      <xdr:colOff>224118</xdr:colOff>
      <xdr:row>1</xdr:row>
      <xdr:rowOff>71718</xdr:rowOff>
    </xdr:from>
    <xdr:to>
      <xdr:col>47</xdr:col>
      <xdr:colOff>367554</xdr:colOff>
      <xdr:row>8</xdr:row>
      <xdr:rowOff>121173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605942" y="262218"/>
          <a:ext cx="2519083" cy="13605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487112</xdr:colOff>
      <xdr:row>37</xdr:row>
      <xdr:rowOff>136567</xdr:rowOff>
    </xdr:from>
    <xdr:to>
      <xdr:col>5</xdr:col>
      <xdr:colOff>52259</xdr:colOff>
      <xdr:row>40</xdr:row>
      <xdr:rowOff>66357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990453" y="7115372"/>
          <a:ext cx="959050" cy="4873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408877</xdr:colOff>
      <xdr:row>19</xdr:row>
      <xdr:rowOff>74341</xdr:rowOff>
    </xdr:from>
    <xdr:to>
      <xdr:col>15</xdr:col>
      <xdr:colOff>2835</xdr:colOff>
      <xdr:row>23</xdr:row>
      <xdr:rowOff>55298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267" y="3661317"/>
          <a:ext cx="2930031" cy="7243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111512</xdr:colOff>
      <xdr:row>20</xdr:row>
      <xdr:rowOff>111512</xdr:rowOff>
    </xdr:from>
    <xdr:to>
      <xdr:col>7</xdr:col>
      <xdr:colOff>522992</xdr:colOff>
      <xdr:row>22</xdr:row>
      <xdr:rowOff>70438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14853" y="3884341"/>
          <a:ext cx="3041310" cy="3306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0</xdr:rowOff>
    </xdr:from>
    <xdr:to>
      <xdr:col>8</xdr:col>
      <xdr:colOff>304800</xdr:colOff>
      <xdr:row>2</xdr:row>
      <xdr:rowOff>121920</xdr:rowOff>
    </xdr:to>
    <xdr:sp macro="" textlink="">
      <xdr:nvSpPr>
        <xdr:cNvPr id="2" name="AutoShape 1" descr="{\ displaystyle P (x) _ () ^ () =}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>
          <a:spLocks noChangeAspect="1" noChangeArrowheads="1"/>
        </xdr:cNvSpPr>
      </xdr:nvSpPr>
      <xdr:spPr bwMode="auto">
        <a:xfrm>
          <a:off x="5173980" y="18288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312420</xdr:colOff>
      <xdr:row>1</xdr:row>
      <xdr:rowOff>0</xdr:rowOff>
    </xdr:from>
    <xdr:to>
      <xdr:col>9</xdr:col>
      <xdr:colOff>22858</xdr:colOff>
      <xdr:row>2</xdr:row>
      <xdr:rowOff>121920</xdr:rowOff>
    </xdr:to>
    <xdr:sp macro="" textlink="">
      <xdr:nvSpPr>
        <xdr:cNvPr id="3" name="AutoShape 2" descr="{\ displaystyle a_ (n) x ^ (n) + a_ (n-1) x ^ (n-1) + \ cdots + a_ (1) x ^ (1) + a_ (0) x ^ {0}. }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>
          <a:spLocks noChangeAspect="1" noChangeArrowheads="1"/>
        </xdr:cNvSpPr>
      </xdr:nvSpPr>
      <xdr:spPr bwMode="auto">
        <a:xfrm>
          <a:off x="5486400" y="182880"/>
          <a:ext cx="320039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441960</xdr:colOff>
      <xdr:row>0</xdr:row>
      <xdr:rowOff>121920</xdr:rowOff>
    </xdr:from>
    <xdr:to>
      <xdr:col>12</xdr:col>
      <xdr:colOff>298219</xdr:colOff>
      <xdr:row>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6340" y="121920"/>
          <a:ext cx="2904259" cy="2438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358140</xdr:colOff>
      <xdr:row>0</xdr:row>
      <xdr:rowOff>106680</xdr:rowOff>
    </xdr:from>
    <xdr:to>
      <xdr:col>16</xdr:col>
      <xdr:colOff>378228</xdr:colOff>
      <xdr:row>2</xdr:row>
      <xdr:rowOff>22860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70520" y="106680"/>
          <a:ext cx="2458488" cy="2819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463435</xdr:colOff>
      <xdr:row>0</xdr:row>
      <xdr:rowOff>0</xdr:rowOff>
    </xdr:from>
    <xdr:to>
      <xdr:col>18</xdr:col>
      <xdr:colOff>471056</xdr:colOff>
      <xdr:row>3</xdr:row>
      <xdr:rowOff>25977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514215" y="0"/>
          <a:ext cx="1226820" cy="57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48997</xdr:colOff>
      <xdr:row>42</xdr:row>
      <xdr:rowOff>163976</xdr:rowOff>
    </xdr:from>
    <xdr:to>
      <xdr:col>17</xdr:col>
      <xdr:colOff>328845</xdr:colOff>
      <xdr:row>59</xdr:row>
      <xdr:rowOff>163976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48998</xdr:colOff>
      <xdr:row>60</xdr:row>
      <xdr:rowOff>142240</xdr:rowOff>
    </xdr:from>
    <xdr:to>
      <xdr:col>17</xdr:col>
      <xdr:colOff>328846</xdr:colOff>
      <xdr:row>85</xdr:row>
      <xdr:rowOff>172720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58644</xdr:colOff>
      <xdr:row>95</xdr:row>
      <xdr:rowOff>0</xdr:rowOff>
    </xdr:from>
    <xdr:to>
      <xdr:col>17</xdr:col>
      <xdr:colOff>338492</xdr:colOff>
      <xdr:row>95</xdr:row>
      <xdr:rowOff>2792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48998</xdr:colOff>
      <xdr:row>24</xdr:row>
      <xdr:rowOff>10160</xdr:rowOff>
    </xdr:from>
    <xdr:to>
      <xdr:col>17</xdr:col>
      <xdr:colOff>328846</xdr:colOff>
      <xdr:row>42</xdr:row>
      <xdr:rowOff>173621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436880</xdr:colOff>
      <xdr:row>24</xdr:row>
      <xdr:rowOff>0</xdr:rowOff>
    </xdr:from>
    <xdr:to>
      <xdr:col>22</xdr:col>
      <xdr:colOff>1483360</xdr:colOff>
      <xdr:row>42</xdr:row>
      <xdr:rowOff>162560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436880</xdr:colOff>
      <xdr:row>42</xdr:row>
      <xdr:rowOff>182880</xdr:rowOff>
    </xdr:from>
    <xdr:to>
      <xdr:col>22</xdr:col>
      <xdr:colOff>1493520</xdr:colOff>
      <xdr:row>59</xdr:row>
      <xdr:rowOff>152400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457200</xdr:colOff>
      <xdr:row>60</xdr:row>
      <xdr:rowOff>142240</xdr:rowOff>
    </xdr:from>
    <xdr:to>
      <xdr:col>22</xdr:col>
      <xdr:colOff>1513840</xdr:colOff>
      <xdr:row>85</xdr:row>
      <xdr:rowOff>20320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\Clientes\Certificados\2019\Dentro%20del%20Alcance\Presi&#243;n\NI-R02-MCIT-P-01%20%20Procesamiento%20de%20datos%20calibraci&#243;n%20man&#243;metros%20y%20vacu&#243;metros%20NI-MCPP-01%20-%20CMC's%20Incluida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Users\FredFusion_2\Desktop\Hojas%20de%20Calculo%20terminadas\NI-R02-MCIT-B-01%20Hoja%20electr&#243;nica%20para%20procesamiento%20de%20datos%20de%20equipos%20de%20pesaje%20v4%20FM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calidad\METROCAL\SGC%20Vigente%202019-01-18\Instrucciones\2019\Balanzas\NI-R02-MCIT-B-01%20Procesamiento%20de%20datos%20calibracion%20equipos%20de%20pesaje%202018-05-21%20-%20Nueva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SGC%20Vigente%202018-07-14\Clientes\Certificados\2018\Dentro%20de%20alcance\Presi&#243;n\NI-R02-MCIT-P-01%20Hoja%20electr&#243;nica%20para%20procesamiento%20de%20datos%20man&#243;metros%20y%20vacu&#243;metros%20v2%202018-03-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BD Patron"/>
      <sheetName val="BD Clientes"/>
      <sheetName val="DA Unid-kPa (5 ptos)"/>
      <sheetName val="FA Unid-kPa (5 ptos)"/>
      <sheetName val="Trazabilidad"/>
      <sheetName val="Datos Etiquetas"/>
      <sheetName val="CMC Presión"/>
      <sheetName val="NI-R02-MCIT-P-01  Procesamiento"/>
    </sheetNames>
    <sheetDataSet>
      <sheetData sheetId="0">
        <row r="3">
          <cell r="F3" t="str">
            <v>NI-MC-P-684-2018</v>
          </cell>
        </row>
        <row r="5">
          <cell r="F5" t="str">
            <v>2018-10-30</v>
          </cell>
        </row>
        <row r="6">
          <cell r="F6" t="str">
            <v>27314240041</v>
          </cell>
          <cell r="I6">
            <v>22.266666666666669</v>
          </cell>
        </row>
        <row r="7">
          <cell r="F7" t="str">
            <v xml:space="preserve">Manómetro </v>
          </cell>
          <cell r="I7">
            <v>22.233333333333334</v>
          </cell>
        </row>
        <row r="8">
          <cell r="I8">
            <v>22.25</v>
          </cell>
        </row>
        <row r="9">
          <cell r="I9">
            <v>0.4</v>
          </cell>
        </row>
        <row r="13">
          <cell r="F13" t="str">
            <v>0</v>
          </cell>
          <cell r="I13">
            <v>48.45</v>
          </cell>
        </row>
        <row r="14">
          <cell r="F14" t="str">
            <v>100</v>
          </cell>
          <cell r="I14">
            <v>2.7</v>
          </cell>
        </row>
        <row r="15">
          <cell r="F15" t="str">
            <v>0,5</v>
          </cell>
        </row>
        <row r="18">
          <cell r="I18">
            <v>1001.2833333333333</v>
          </cell>
        </row>
        <row r="19">
          <cell r="I19">
            <v>10</v>
          </cell>
        </row>
      </sheetData>
      <sheetData sheetId="1">
        <row r="4">
          <cell r="E4" t="str">
            <v>0,5</v>
          </cell>
          <cell r="I4">
            <v>0.01</v>
          </cell>
          <cell r="M4">
            <v>0</v>
          </cell>
        </row>
        <row r="5">
          <cell r="M5" t="str">
            <v>Aire</v>
          </cell>
        </row>
        <row r="8">
          <cell r="D8">
            <v>6.8947999999999995E-2</v>
          </cell>
          <cell r="E8" t="str">
            <v>bar</v>
          </cell>
        </row>
        <row r="9">
          <cell r="E9">
            <v>1</v>
          </cell>
        </row>
        <row r="52">
          <cell r="V52">
            <v>14</v>
          </cell>
          <cell r="AB52">
            <v>15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ortada"/>
      <sheetName val="Generales"/>
      <sheetName val="Entrada de datos"/>
      <sheetName val="Salida de datos"/>
      <sheetName val="CDAlcance 1"/>
      <sheetName val="CDAlcance 2"/>
      <sheetName val="CFAlcance"/>
    </sheetNames>
    <sheetDataSet>
      <sheetData sheetId="0"/>
      <sheetData sheetId="1"/>
      <sheetData sheetId="2">
        <row r="1">
          <cell r="L1" t="str">
            <v>g</v>
          </cell>
        </row>
        <row r="2">
          <cell r="L2" t="str">
            <v>kg</v>
          </cell>
        </row>
        <row r="3">
          <cell r="L3" t="str">
            <v>lb</v>
          </cell>
        </row>
      </sheetData>
      <sheetData sheetId="3"/>
      <sheetData sheetId="4"/>
      <sheetData sheetId="5"/>
      <sheetData sheetId="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"/>
      <sheetName val="Calibración"/>
      <sheetName val="kU(E)"/>
      <sheetName val="Etiqueta"/>
      <sheetName val="+ONA_kg"/>
      <sheetName val="+ONA_lb&amp;kg"/>
      <sheetName val="+ONA_kg&amp;lb"/>
      <sheetName val="-ONA_kg"/>
      <sheetName val="-ONA_lb&amp;kg"/>
      <sheetName val="BD Patron"/>
      <sheetName val="CMC"/>
      <sheetName val="BD Clientes"/>
    </sheetNames>
    <sheetDataSet>
      <sheetData sheetId="0" refreshError="1"/>
      <sheetData sheetId="1">
        <row r="15">
          <cell r="C15" t="str">
            <v>g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enerales"/>
      <sheetName val="Entrada de Datos"/>
      <sheetName val="Salida de Datos"/>
      <sheetName val="FA Unid-kPa (5 ptos)"/>
      <sheetName val="FA Unid-kPa (8 ptos)"/>
      <sheetName val="Datos Patrones"/>
      <sheetName val="Datos Etiquetas"/>
      <sheetName val="Base de datos de los clientes"/>
      <sheetName val="Trazabilidad"/>
    </sheetNames>
    <sheetDataSet>
      <sheetData sheetId="0">
        <row r="1">
          <cell r="F1" t="str">
            <v>Ing. Fredman A. Méndez M.</v>
          </cell>
        </row>
        <row r="5">
          <cell r="F5" t="str">
            <v>Director Técnico</v>
          </cell>
        </row>
        <row r="6">
          <cell r="F6" t="str">
            <v>Director Técnico</v>
          </cell>
        </row>
      </sheetData>
      <sheetData sheetId="1">
        <row r="8">
          <cell r="F8" t="str">
            <v>NI-MCPPT-01</v>
          </cell>
        </row>
      </sheetData>
      <sheetData sheetId="2">
        <row r="10">
          <cell r="F10" t="str">
            <v>La corrección corresponde al valor del patrón menos la indicación del equipo.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blGenDoc" displayName="tblGenDoc" ref="B2:C10" totalsRowShown="0" headerRowDxfId="151" dataDxfId="150">
  <tableColumns count="2">
    <tableColumn id="1" xr3:uid="{00000000-0010-0000-0000-000001000000}" name="Hoja de cálculo" dataDxfId="149"/>
    <tableColumn id="2" xr3:uid="{00000000-0010-0000-0000-000002000000}" name="Detalles" dataDxfId="148"/>
  </tableColumns>
  <tableStyleInfo name="TableStyleLight13" showFirstColumn="1" showLastColumn="0" showRowStripes="1" showColumnStripes="1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blGenPatronCert" displayName="tblGenPatronCert" ref="E2:F18" totalsRowShown="0" headerRowDxfId="147" dataDxfId="146">
  <tableColumns count="2">
    <tableColumn id="1" xr3:uid="{00000000-0010-0000-0100-000001000000}" name="Certificado Presión" dataDxfId="145"/>
    <tableColumn id="2" xr3:uid="{00000000-0010-0000-0100-000002000000}" name="Detalles" dataDxfId="144"/>
  </tableColumns>
  <tableStyleInfo name="TableStyleLight13" showFirstColumn="1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blAmbiente" displayName="tblAmbiente" ref="H2:I20" totalsRowShown="0" headerRowDxfId="143" dataDxfId="142">
  <tableColumns count="2">
    <tableColumn id="1" xr3:uid="{00000000-0010-0000-0200-000001000000}" name="Condiciones ambientales" dataDxfId="141"/>
    <tableColumn id="2" xr3:uid="{00000000-0010-0000-0200-000002000000}" name="Detalles" dataDxfId="140"/>
  </tableColumns>
  <tableStyleInfo name="TableStyleLight13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blCliente" displayName="tblCliente" ref="K2:L6" totalsRowShown="0" headerRowDxfId="139" dataDxfId="138">
  <tableColumns count="2">
    <tableColumn id="1" xr3:uid="{00000000-0010-0000-0300-000001000000}" name="Cliente" dataDxfId="137"/>
    <tableColumn id="2" xr3:uid="{00000000-0010-0000-0300-000002000000}" name="Detalles" dataDxfId="136"/>
  </tableColumns>
  <tableStyleInfo name="TableStyleLight13" showFirstColumn="1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4000000}" name="tblResultCalib" displayName="tblResultCalib" ref="S14:AB29" totalsRowShown="0" headerRowDxfId="135" dataDxfId="133" headerRowBorderDxfId="134" tableBorderDxfId="132" totalsRowBorderDxfId="131">
  <tableColumns count="10">
    <tableColumn id="1" xr3:uid="{00000000-0010-0000-0400-000001000000}" name="#" dataDxfId="130"/>
    <tableColumn id="2" xr3:uid="{00000000-0010-0000-0400-000002000000}" name="Promedio Patrón" dataDxfId="129">
      <calculatedColumnFormula>IFERROR(AVERAGEIFS(C15:N15,OFFSET($C$15:$N$15,-1,0),"=Patrón",C15:N15,"&lt;&gt;0"),"")</calculatedColumnFormula>
    </tableColumn>
    <tableColumn id="5" xr3:uid="{00000000-0010-0000-0400-000005000000}" name="Corrección patrón" dataDxfId="128">
      <calculatedColumnFormula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calculatedColumnFormula>
    </tableColumn>
    <tableColumn id="6" xr3:uid="{00000000-0010-0000-0400-000006000000}" name="Patrón corregido" dataDxfId="127">
      <calculatedColumnFormula>IFERROR(tblResultCalib[[#This Row],[Promedio Patrón]]+tblResultCalib[[#This Row],[Corrección patrón]],"")</calculatedColumnFormula>
    </tableColumn>
    <tableColumn id="7" xr3:uid="{00000000-0010-0000-0400-000007000000}" name="Promedio equipo" dataDxfId="126">
      <calculatedColumnFormula>IFERROR(AVERAGEIFS(C15:N15,OFFSET($C$15:$N$15,-1,0),"=Equipo",C15:N15,"&lt;&gt;0"),"")</calculatedColumnFormula>
    </tableColumn>
    <tableColumn id="8" xr3:uid="{00000000-0010-0000-0400-000008000000}" name="Corrección de medición" dataDxfId="125">
      <calculatedColumnFormula>IFERROR(tblResultCalib[[#This Row],[Patrón corregido]]-tblResultCalib[[#This Row],[Promedio equipo]],"")</calculatedColumnFormula>
    </tableColumn>
    <tableColumn id="9" xr3:uid="{00000000-0010-0000-0400-000009000000}" name="Incertid. patrón" dataDxfId="124">
      <calculatedColumnFormula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calculatedColumnFormula>
    </tableColumn>
    <tableColumn id="10" xr3:uid="{00000000-0010-0000-0400-00000A000000}" name="Deriva patrón" dataDxfId="123">
      <calculatedColumnFormula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calculatedColumnFormula>
    </tableColumn>
    <tableColumn id="11" xr3:uid="{00000000-0010-0000-0400-00000B000000}" name="Exactitud cond.termicas 1er. Patron" dataDxfId="122">
      <calculatedColumnFormula>IFERROR(ABS(IF(OR(CertTempC&lt;INDEX($T$5:$Y$7,MATCH($I$3,$T$5:$T$7,0),4),CertTempC&gt;INDEX($T$5:$Y$7,MATCH($I$3,$T$5:$T$7,0),5)),tblResultCalib[[#This Row],[Promedio Patrón]]*INDEX($T$5:$Y$7,MATCH($I$3,$T$5:$T$7,0),6),0)),"")</calculatedColumnFormula>
    </tableColumn>
    <tableColumn id="12" xr3:uid="{00000000-0010-0000-0400-00000C000000}" name="Exactitud cond.termicas 2do. Patron" dataDxfId="121">
      <calculatedColumnFormula>IFERROR(ABS(IF(OR(CertTempC&lt;INDEX($T$5:$Y$7,MATCH($I$5,$T$5:$T$7,0),4),CertTempC&gt;INDEX($T$5:$Y$7,MATCH($I$5,$T$5:$T$7,0),5)),tblResultCalib[[#This Row],[Promedio Patrón]]*INDEX($T$5:$Y$7,MATCH($I$5,$T$5:$T$7,0),6),0)),"")</calculatedColumnFormula>
    </tableColumn>
  </tableColumns>
  <tableStyleInfo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0000000-000C-0000-FFFF-FFFF05000000}" name="tblUcomun10" displayName="tblUcomun10" ref="B26:P37" totalsRowCount="1" headerRowDxfId="120" dataDxfId="118" totalsRowDxfId="116" headerRowBorderDxfId="119" tableBorderDxfId="117" totalsRowBorderDxfId="115">
  <tableColumns count="15">
    <tableColumn id="1" xr3:uid="{00000000-0010-0000-0500-000001000000}" name="Fuente de incertidumbre" totalsRowLabel="Contribuciones incert. combinada" dataDxfId="114" totalsRowDxfId="113"/>
    <tableColumn id="2" xr3:uid="{00000000-0010-0000-0500-000002000000}" name="Símbolo" dataDxfId="112" totalsRowDxfId="111"/>
    <tableColumn id="14" xr3:uid="{00000000-0010-0000-0500-00000E000000}" name="Distrib." dataDxfId="110" totalsRowDxfId="109"/>
    <tableColumn id="15" xr3:uid="{00000000-0010-0000-0500-00000F000000}" name="Divisor" dataDxfId="108" totalsRowDxfId="107"/>
    <tableColumn id="16" xr3:uid="{00000000-0010-0000-0500-000010000000}" name="Coef. ci" dataDxfId="106" totalsRowDxfId="105"/>
    <tableColumn id="4" xr3:uid="{00000000-0010-0000-0500-000004000000}" name="p1 (%)" totalsRowFunction="sum" dataDxfId="104" totalsRowDxfId="103">
      <calculatedColumnFormula array="1">IFERROR(ABS(G9)/SUM(ABS('kU(E)'!$G$9:$G$18)),0)</calculatedColumnFormula>
    </tableColumn>
    <tableColumn id="5" xr3:uid="{00000000-0010-0000-0500-000005000000}" name="p2 (%)" totalsRowFunction="sum" dataDxfId="102" totalsRowDxfId="101">
      <calculatedColumnFormula array="1">IFERROR(ABS(H9)/SUM(ABS('kU(E)'!$H$9:$H$18)),0)</calculatedColumnFormula>
    </tableColumn>
    <tableColumn id="6" xr3:uid="{00000000-0010-0000-0500-000006000000}" name="p3 (%)" totalsRowFunction="sum" dataDxfId="100" totalsRowDxfId="99">
      <calculatedColumnFormula array="1">IFERROR(ABS(I9)/SUM(ABS('kU(E)'!$I$9:$I$18)),0)</calculatedColumnFormula>
    </tableColumn>
    <tableColumn id="7" xr3:uid="{00000000-0010-0000-0500-000007000000}" name="p4 (%)" totalsRowFunction="sum" dataDxfId="98" totalsRowDxfId="97">
      <calculatedColumnFormula array="1">IFERROR(ABS(J9)/SUM(ABS('kU(E)'!$J$9:$J$18)),0)</calculatedColumnFormula>
    </tableColumn>
    <tableColumn id="8" xr3:uid="{00000000-0010-0000-0500-000008000000}" name="p5 (%)" totalsRowFunction="sum" dataDxfId="96" totalsRowDxfId="95">
      <calculatedColumnFormula array="1">IFERROR(ABS(K9)/SUM(ABS('kU(E)'!$K$9:$K$18)),0)</calculatedColumnFormula>
    </tableColumn>
    <tableColumn id="9" xr3:uid="{00000000-0010-0000-0500-000009000000}" name="p6 (%)" totalsRowFunction="sum" dataDxfId="94" totalsRowDxfId="93">
      <calculatedColumnFormula array="1">IFERROR(ABS(L9)/SUM(ABS('kU(E)'!$L$9:$L$18)),0)</calculatedColumnFormula>
    </tableColumn>
    <tableColumn id="10" xr3:uid="{00000000-0010-0000-0500-00000A000000}" name="p7 (%)" totalsRowFunction="sum" dataDxfId="92" totalsRowDxfId="91">
      <calculatedColumnFormula array="1">IFERROR(ABS(M9)/SUM(ABS('kU(E)'!$M$9:$M$18)),0)</calculatedColumnFormula>
    </tableColumn>
    <tableColumn id="11" xr3:uid="{00000000-0010-0000-0500-00000B000000}" name="p8 (%)" totalsRowFunction="sum" dataDxfId="90" totalsRowDxfId="89">
      <calculatedColumnFormula array="1">IFERROR(ABS(N9)/SUM(ABS('kU(E)'!$N$9:$N$18)),0)</calculatedColumnFormula>
    </tableColumn>
    <tableColumn id="12" xr3:uid="{00000000-0010-0000-0500-00000C000000}" name="p9 (%)" totalsRowFunction="sum" dataDxfId="88" totalsRowDxfId="87">
      <calculatedColumnFormula array="1">IFERROR(ABS(O9)/SUM(ABS('kU(E)'!$O$9:$O$18)),0)</calculatedColumnFormula>
    </tableColumn>
    <tableColumn id="13" xr3:uid="{00000000-0010-0000-0500-00000D000000}" name="p10 (%)" totalsRowFunction="sum" dataDxfId="86" totalsRowDxfId="85">
      <calculatedColumnFormula>IFERROR(ABS(P9)/SUM(ABS('kU(E)'!$P14)),0)</calculatedColumnFormula>
    </tableColumn>
  </tableColumns>
  <tableStyleInfo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7000000}" name="tblBD_Patrones" displayName="tblBD_Patrones" ref="B14:W18" totalsRowShown="0" headerRowDxfId="84" dataDxfId="82" headerRowBorderDxfId="83" tableBorderDxfId="81">
  <tableColumns count="22">
    <tableColumn id="1" xr3:uid="{00000000-0010-0000-0700-000001000000}" name="#" dataDxfId="80"/>
    <tableColumn id="2" xr3:uid="{00000000-0010-0000-0700-000002000000}" name="Código Patrón" dataDxfId="79"/>
    <tableColumn id="3" xr3:uid="{00000000-0010-0000-0700-000003000000}" name="Nombre" dataDxfId="78"/>
    <tableColumn id="4" xr3:uid="{00000000-0010-0000-0700-000004000000}" name="Marca" dataDxfId="77"/>
    <tableColumn id="5" xr3:uid="{00000000-0010-0000-0700-000005000000}" name="Modelo" dataDxfId="76"/>
    <tableColumn id="6" xr3:uid="{00000000-0010-0000-0700-000006000000}" name="Tipo de equipo" dataDxfId="75"/>
    <tableColumn id="7" xr3:uid="{00000000-0010-0000-0700-000007000000}" name="t min. funcionamiento" dataDxfId="74"/>
    <tableColumn id="8" xr3:uid="{00000000-0010-0000-0700-000008000000}" name="t max. funcionamiento" dataDxfId="73"/>
    <tableColumn id="9" xr3:uid="{00000000-0010-0000-0700-000009000000}" name="p min. [psi]" dataDxfId="72"/>
    <tableColumn id="10" xr3:uid="{00000000-0010-0000-0700-00000A000000}" name="p max. [psi]" dataDxfId="71"/>
    <tableColumn id="16" xr3:uid="{00000000-0010-0000-0700-000010000000}" name="min." dataDxfId="70"/>
    <tableColumn id="13" xr3:uid="{00000000-0010-0000-0700-00000D000000}" name="max." dataDxfId="69"/>
    <tableColumn id="17" xr3:uid="{00000000-0010-0000-0700-000011000000}" name="Resolución [kPa]" dataDxfId="68"/>
    <tableColumn id="21" xr3:uid="{00000000-0010-0000-0700-000015000000}" name="Resolución [psi]" dataDxfId="67"/>
    <tableColumn id="20" xr3:uid="{00000000-0010-0000-0700-000014000000}" name="Vacío" dataDxfId="66"/>
    <tableColumn id="19" xr3:uid="{00000000-0010-0000-0700-000013000000}" name="Presión positiva" dataDxfId="65"/>
    <tableColumn id="15" xr3:uid="{00000000-0010-0000-0700-00000F000000}" name="Coeficiente temp. % de medición [FS/°C]" dataDxfId="64"/>
    <tableColumn id="24" xr3:uid="{00000000-0010-0000-0700-000018000000}" name="t min. compensada" dataDxfId="63"/>
    <tableColumn id="25" xr3:uid="{00000000-0010-0000-0700-000019000000}" name="t max. compensada" dataDxfId="62"/>
    <tableColumn id="12" xr3:uid="{00000000-0010-0000-0700-00000C000000}" name="Fecha calib." dataDxfId="61"/>
    <tableColumn id="22" xr3:uid="{00000000-0010-0000-0700-000016000000}" name="Laboratorio" dataDxfId="60"/>
    <tableColumn id="23" xr3:uid="{00000000-0010-0000-0700-000017000000}" name="Certificado" dataDxfId="59"/>
  </tableColumns>
  <tableStyleInfo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8000000}" name="Cert_patrones" displayName="Cert_patrones" ref="B25:K86" totalsRowShown="0" headerRowDxfId="58" dataDxfId="56" headerRowBorderDxfId="57" tableBorderDxfId="55">
  <tableColumns count="10">
    <tableColumn id="1" xr3:uid="{00000000-0010-0000-0800-000001000000}" name="#" dataDxfId="54"/>
    <tableColumn id="2" xr3:uid="{00000000-0010-0000-0800-000002000000}" name="Código Patrón" dataDxfId="53"/>
    <tableColumn id="3" xr3:uid="{00000000-0010-0000-0800-000003000000}" name="Nombre" dataDxfId="52"/>
    <tableColumn id="4" xr3:uid="{00000000-0010-0000-0800-000004000000}" name="p calibr.act" dataDxfId="51"/>
    <tableColumn id="5" xr3:uid="{00000000-0010-0000-0800-000005000000}" name="Correccion.act" dataDxfId="50"/>
    <tableColumn id="6" xr3:uid="{00000000-0010-0000-0800-000006000000}" name="Certif.act U95 " dataDxfId="49"/>
    <tableColumn id="7" xr3:uid="{00000000-0010-0000-0800-000007000000}" name="p calibr.ant" dataDxfId="48"/>
    <tableColumn id="8" xr3:uid="{00000000-0010-0000-0800-000008000000}" name="Correccion.ant" dataDxfId="47"/>
    <tableColumn id="9" xr3:uid="{00000000-0010-0000-0800-000009000000}" name="Certif.ant U95 " dataDxfId="46"/>
    <tableColumn id="10" xr3:uid="{00000000-0010-0000-0800-00000A000000}" name="Deriva" dataDxfId="45">
      <calculatedColumnFormula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calculatedColumnFormula>
    </tableColumn>
  </tableColumns>
  <tableStyleInfo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9000000}" name="tblClientes8" displayName="tblClientes8" ref="A5:C370" totalsRowShown="0">
  <sortState xmlns:xlrd2="http://schemas.microsoft.com/office/spreadsheetml/2017/richdata2" ref="A6:C190">
    <sortCondition ref="B6:B190"/>
  </sortState>
  <tableColumns count="3">
    <tableColumn id="1" xr3:uid="{00000000-0010-0000-0900-000001000000}" name="Clave" dataDxfId="44"/>
    <tableColumn id="2" xr3:uid="{00000000-0010-0000-0900-000002000000}" name="Cliente" dataDxfId="43"/>
    <tableColumn id="3" xr3:uid="{00000000-0010-0000-0900-000003000000}" name="Dirección de la empresa" dataDxfId="4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1.xml"/><Relationship Id="rId4" Type="http://schemas.openxmlformats.org/officeDocument/2006/relationships/table" Target="../tables/table6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8.bin"/><Relationship Id="rId4" Type="http://schemas.openxmlformats.org/officeDocument/2006/relationships/table" Target="../tables/table8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hyperlink" Target="http://www.retecsa.com.ni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AB149"/>
  <sheetViews>
    <sheetView topLeftCell="N1" zoomScale="90" zoomScaleNormal="90" workbookViewId="0">
      <selection activeCell="T11" sqref="T11"/>
    </sheetView>
  </sheetViews>
  <sheetFormatPr baseColWidth="10" defaultColWidth="9.109375" defaultRowHeight="14.4" x14ac:dyDescent="0.3"/>
  <cols>
    <col min="1" max="1" width="2.33203125" customWidth="1"/>
    <col min="2" max="2" width="19.88671875" hidden="1" customWidth="1"/>
    <col min="3" max="3" width="24.5546875" hidden="1" customWidth="1"/>
    <col min="4" max="4" width="2.33203125" customWidth="1"/>
    <col min="5" max="5" width="27.88671875" customWidth="1"/>
    <col min="6" max="6" width="21.109375" customWidth="1"/>
    <col min="7" max="7" width="2.33203125" customWidth="1"/>
    <col min="8" max="8" width="35.88671875" customWidth="1"/>
    <col min="9" max="9" width="12.88671875" customWidth="1"/>
    <col min="10" max="10" width="2.33203125" customWidth="1"/>
    <col min="11" max="11" width="22.88671875" bestFit="1" customWidth="1"/>
    <col min="12" max="12" width="56.109375" bestFit="1" customWidth="1"/>
    <col min="16" max="16" width="9.6640625" bestFit="1" customWidth="1"/>
    <col min="17" max="17" width="5.6640625" bestFit="1" customWidth="1"/>
    <col min="18" max="18" width="7.6640625" bestFit="1" customWidth="1"/>
    <col min="23" max="23" width="8.88671875" style="8"/>
    <col min="28" max="28" width="37.109375" customWidth="1"/>
  </cols>
  <sheetData>
    <row r="1" spans="2:18" x14ac:dyDescent="0.3">
      <c r="G1" s="1"/>
      <c r="H1" s="1"/>
    </row>
    <row r="2" spans="2:18" x14ac:dyDescent="0.3">
      <c r="B2" s="1" t="s">
        <v>0</v>
      </c>
      <c r="C2" s="1" t="s">
        <v>1</v>
      </c>
      <c r="E2" s="1" t="s">
        <v>410</v>
      </c>
      <c r="F2" s="1" t="s">
        <v>1</v>
      </c>
      <c r="H2" s="2" t="s">
        <v>2</v>
      </c>
      <c r="I2" s="2" t="s">
        <v>1</v>
      </c>
      <c r="K2" s="2" t="s">
        <v>3</v>
      </c>
      <c r="L2" s="2" t="s">
        <v>1</v>
      </c>
      <c r="N2" s="255"/>
      <c r="O2" s="255"/>
      <c r="P2" s="255" t="s">
        <v>472</v>
      </c>
      <c r="Q2" s="255" t="s">
        <v>473</v>
      </c>
      <c r="R2" s="255" t="s">
        <v>474</v>
      </c>
    </row>
    <row r="3" spans="2:18" x14ac:dyDescent="0.3">
      <c r="B3" s="1" t="s">
        <v>4</v>
      </c>
      <c r="C3" s="123" t="s">
        <v>271</v>
      </c>
      <c r="E3" s="1" t="s">
        <v>5</v>
      </c>
      <c r="F3" s="154" t="s">
        <v>720</v>
      </c>
      <c r="H3" s="3" t="s">
        <v>6</v>
      </c>
      <c r="I3" s="4" t="s">
        <v>39</v>
      </c>
      <c r="K3" s="1" t="s">
        <v>8</v>
      </c>
      <c r="L3" s="123" t="s">
        <v>736</v>
      </c>
      <c r="N3" s="256" t="s">
        <v>316</v>
      </c>
      <c r="O3" s="257" t="s">
        <v>475</v>
      </c>
      <c r="P3" s="251"/>
      <c r="Q3" s="251"/>
      <c r="R3" s="253"/>
    </row>
    <row r="4" spans="2:18" x14ac:dyDescent="0.3">
      <c r="B4" s="1" t="s">
        <v>9</v>
      </c>
      <c r="C4" s="123"/>
      <c r="E4" s="1" t="s">
        <v>10</v>
      </c>
      <c r="F4" s="154" t="s">
        <v>44</v>
      </c>
      <c r="H4" s="3" t="s">
        <v>11</v>
      </c>
      <c r="I4" s="91" t="s">
        <v>467</v>
      </c>
      <c r="K4" s="1" t="s">
        <v>12</v>
      </c>
      <c r="L4" s="126" t="str">
        <f>IFERROR(VLOOKUP(L3,'BD Clientes'!B6:C382,2,FALSE),"")</f>
        <v xml:space="preserve">Coyotepe, 800 m norte               </v>
      </c>
      <c r="N4" s="258"/>
      <c r="O4" s="259" t="s">
        <v>476</v>
      </c>
      <c r="R4" s="254"/>
    </row>
    <row r="5" spans="2:18" x14ac:dyDescent="0.3">
      <c r="B5" s="1" t="s">
        <v>13</v>
      </c>
      <c r="C5" s="5"/>
      <c r="E5" s="1" t="s">
        <v>14</v>
      </c>
      <c r="F5" s="155">
        <v>43299</v>
      </c>
      <c r="H5" s="3" t="s">
        <v>15</v>
      </c>
      <c r="I5" s="6" t="str">
        <f>VLOOKUP(I4,'BD Patron'!C6:L10,2,FALSE)</f>
        <v>Extech</v>
      </c>
      <c r="K5" s="1" t="s">
        <v>16</v>
      </c>
      <c r="L5" s="127" t="s">
        <v>462</v>
      </c>
      <c r="N5" s="258" t="s">
        <v>315</v>
      </c>
      <c r="O5" s="259" t="s">
        <v>475</v>
      </c>
      <c r="R5" s="254"/>
    </row>
    <row r="6" spans="2:18" x14ac:dyDescent="0.3">
      <c r="B6" s="1" t="s">
        <v>17</v>
      </c>
      <c r="C6" s="123"/>
      <c r="E6" s="1" t="s">
        <v>18</v>
      </c>
      <c r="F6" s="154" t="s">
        <v>458</v>
      </c>
      <c r="H6" s="3" t="s">
        <v>19</v>
      </c>
      <c r="I6" s="89" t="str">
        <f>P10</f>
        <v/>
      </c>
      <c r="K6" s="1" t="s">
        <v>6</v>
      </c>
      <c r="L6" s="127" t="s">
        <v>717</v>
      </c>
      <c r="N6" s="258"/>
      <c r="O6" s="259" t="s">
        <v>476</v>
      </c>
      <c r="R6" s="254"/>
    </row>
    <row r="7" spans="2:18" x14ac:dyDescent="0.3">
      <c r="B7" s="1" t="s">
        <v>21</v>
      </c>
      <c r="C7" s="123"/>
      <c r="E7" s="1" t="s">
        <v>22</v>
      </c>
      <c r="F7" s="154" t="s">
        <v>279</v>
      </c>
      <c r="H7" s="3" t="s">
        <v>23</v>
      </c>
      <c r="I7" s="89" t="str">
        <f>P11</f>
        <v/>
      </c>
      <c r="K7" s="1"/>
      <c r="L7" s="1"/>
      <c r="N7" s="258" t="s">
        <v>317</v>
      </c>
      <c r="O7" s="259" t="s">
        <v>475</v>
      </c>
      <c r="R7" s="254"/>
    </row>
    <row r="8" spans="2:18" x14ac:dyDescent="0.3">
      <c r="B8" s="1" t="s">
        <v>24</v>
      </c>
      <c r="C8" s="123"/>
      <c r="E8" s="1" t="s">
        <v>272</v>
      </c>
      <c r="F8" s="154" t="s">
        <v>273</v>
      </c>
      <c r="H8" s="3" t="s">
        <v>26</v>
      </c>
      <c r="I8" s="90" t="str">
        <f>IFERROR(AVERAGE(I6:I7),"")</f>
        <v/>
      </c>
      <c r="K8" s="1"/>
      <c r="L8" s="1"/>
      <c r="N8" s="260"/>
      <c r="O8" s="261" t="s">
        <v>476</v>
      </c>
      <c r="P8" s="252"/>
      <c r="Q8" s="252"/>
      <c r="R8" s="254"/>
    </row>
    <row r="9" spans="2:18" ht="16.2" x14ac:dyDescent="0.3">
      <c r="B9" s="1" t="s">
        <v>27</v>
      </c>
      <c r="C9" s="123"/>
      <c r="E9" s="1" t="s">
        <v>324</v>
      </c>
      <c r="F9" s="154" t="s">
        <v>459</v>
      </c>
      <c r="H9" s="3" t="s">
        <v>259</v>
      </c>
      <c r="I9" s="90">
        <f>VLOOKUP(I4,'BD Patron'!C6:L10,8,FALSE)</f>
        <v>0.42</v>
      </c>
      <c r="K9" s="1"/>
      <c r="L9" s="1"/>
    </row>
    <row r="10" spans="2:18" ht="16.2" x14ac:dyDescent="0.3">
      <c r="B10" s="1" t="s">
        <v>29</v>
      </c>
      <c r="C10" s="123" t="s">
        <v>30</v>
      </c>
      <c r="E10" s="1" t="s">
        <v>25</v>
      </c>
      <c r="F10" s="154" t="s">
        <v>460</v>
      </c>
      <c r="H10" s="3" t="s">
        <v>32</v>
      </c>
      <c r="I10" s="267">
        <f>VLOOKUP(I4,'BD Patron'!C6:L10,4,FALSE)</f>
        <v>0.1</v>
      </c>
      <c r="K10" s="1"/>
      <c r="L10" s="1"/>
      <c r="N10" s="318" t="s">
        <v>475</v>
      </c>
      <c r="O10" s="319"/>
      <c r="P10" s="263" t="str">
        <f>IFERROR(AVERAGE(P3,P5,P7),"")</f>
        <v/>
      </c>
      <c r="Q10" s="263" t="str">
        <f>IFERROR(AVERAGE(Q3,Q5,Q7),"")</f>
        <v/>
      </c>
      <c r="R10" s="264" t="str">
        <f>IFERROR(AVERAGE(R3,R5,R7),"")</f>
        <v/>
      </c>
    </row>
    <row r="11" spans="2:18" x14ac:dyDescent="0.3">
      <c r="E11" s="1" t="s">
        <v>28</v>
      </c>
      <c r="F11" s="154" t="s">
        <v>461</v>
      </c>
      <c r="H11" s="3" t="s">
        <v>33</v>
      </c>
      <c r="I11" s="89" t="str">
        <f>Q10</f>
        <v/>
      </c>
      <c r="K11" s="1"/>
      <c r="L11" s="1"/>
      <c r="N11" s="320" t="s">
        <v>476</v>
      </c>
      <c r="O11" s="321"/>
      <c r="P11" s="265" t="str">
        <f>IFERROR(AVERAGE(P4,P6,P8),"")</f>
        <v/>
      </c>
      <c r="Q11" s="265" t="str">
        <f t="shared" ref="Q11:R11" si="0">IFERROR(AVERAGE(Q4,Q6,Q8),"")</f>
        <v/>
      </c>
      <c r="R11" s="266" t="str">
        <f t="shared" si="0"/>
        <v/>
      </c>
    </row>
    <row r="12" spans="2:18" x14ac:dyDescent="0.3">
      <c r="E12" s="1" t="s">
        <v>31</v>
      </c>
      <c r="F12" s="154" t="s">
        <v>458</v>
      </c>
      <c r="H12" s="3" t="s">
        <v>34</v>
      </c>
      <c r="I12" s="89" t="str">
        <f>Q11</f>
        <v/>
      </c>
      <c r="K12" s="1"/>
      <c r="L12" s="1"/>
    </row>
    <row r="13" spans="2:18" x14ac:dyDescent="0.3">
      <c r="B13" s="7"/>
      <c r="C13" t="s">
        <v>199</v>
      </c>
      <c r="E13" s="1" t="s">
        <v>282</v>
      </c>
      <c r="F13" s="154" t="s">
        <v>481</v>
      </c>
      <c r="H13" s="3" t="s">
        <v>35</v>
      </c>
      <c r="I13" s="90" t="str">
        <f>IFERROR(AVERAGE(I11:I12),"")</f>
        <v/>
      </c>
      <c r="K13" s="1"/>
      <c r="L13" s="1"/>
    </row>
    <row r="14" spans="2:18" x14ac:dyDescent="0.3">
      <c r="E14" s="1" t="s">
        <v>283</v>
      </c>
      <c r="F14" s="154" t="s">
        <v>480</v>
      </c>
      <c r="H14" s="3" t="s">
        <v>260</v>
      </c>
      <c r="I14" s="90">
        <f>VLOOKUP(I4,'BD Patron'!C6:L10,9,FALSE)</f>
        <v>1.3</v>
      </c>
      <c r="K14" s="1"/>
      <c r="L14" s="1"/>
    </row>
    <row r="15" spans="2:18" x14ac:dyDescent="0.3">
      <c r="B15" s="8"/>
      <c r="C15" t="s">
        <v>36</v>
      </c>
      <c r="E15" s="1" t="s">
        <v>45</v>
      </c>
      <c r="F15" s="154" t="s">
        <v>188</v>
      </c>
      <c r="H15" s="3" t="s">
        <v>37</v>
      </c>
      <c r="I15" s="267">
        <f>VLOOKUP(I4,'BD Patron'!C6:L10,5,FALSE)</f>
        <v>0.1</v>
      </c>
      <c r="K15" s="1"/>
      <c r="L15" s="1"/>
    </row>
    <row r="16" spans="2:18" x14ac:dyDescent="0.3">
      <c r="E16" s="1" t="s">
        <v>284</v>
      </c>
      <c r="F16" s="154" t="s">
        <v>275</v>
      </c>
      <c r="H16" s="3" t="s">
        <v>262</v>
      </c>
      <c r="I16" s="89" t="str">
        <f>R10</f>
        <v/>
      </c>
      <c r="K16" s="1"/>
      <c r="L16" s="1"/>
    </row>
    <row r="17" spans="2:9" x14ac:dyDescent="0.3">
      <c r="B17" s="92"/>
      <c r="C17" t="s">
        <v>200</v>
      </c>
      <c r="E17" s="1" t="s">
        <v>46</v>
      </c>
      <c r="F17" s="154"/>
      <c r="H17" s="3" t="s">
        <v>263</v>
      </c>
      <c r="I17" s="89" t="str">
        <f>R11</f>
        <v/>
      </c>
    </row>
    <row r="18" spans="2:9" x14ac:dyDescent="0.3">
      <c r="E18" s="1" t="s">
        <v>448</v>
      </c>
      <c r="F18" s="154" t="s">
        <v>479</v>
      </c>
      <c r="H18" s="3" t="s">
        <v>264</v>
      </c>
      <c r="I18" s="90" t="str">
        <f>IFERROR(AVERAGE(I16:I17),"")</f>
        <v/>
      </c>
    </row>
    <row r="19" spans="2:9" x14ac:dyDescent="0.3">
      <c r="B19" s="93"/>
      <c r="C19" t="s">
        <v>201</v>
      </c>
      <c r="H19" s="3" t="s">
        <v>261</v>
      </c>
      <c r="I19" s="90">
        <v>2.4700000000000002</v>
      </c>
    </row>
    <row r="20" spans="2:9" x14ac:dyDescent="0.3">
      <c r="H20" s="3" t="s">
        <v>464</v>
      </c>
      <c r="I20" s="90">
        <v>0</v>
      </c>
    </row>
    <row r="99" spans="23:23" x14ac:dyDescent="0.3">
      <c r="W99" s="8" t="s">
        <v>279</v>
      </c>
    </row>
    <row r="100" spans="23:23" x14ac:dyDescent="0.3">
      <c r="W100" s="8" t="s">
        <v>280</v>
      </c>
    </row>
    <row r="101" spans="23:23" x14ac:dyDescent="0.3">
      <c r="W101" s="8" t="s">
        <v>281</v>
      </c>
    </row>
    <row r="103" spans="23:23" x14ac:dyDescent="0.3">
      <c r="W103" s="67" t="s">
        <v>273</v>
      </c>
    </row>
    <row r="104" spans="23:23" x14ac:dyDescent="0.3">
      <c r="W104" s="67" t="s">
        <v>274</v>
      </c>
    </row>
    <row r="113" spans="23:28" x14ac:dyDescent="0.3">
      <c r="W113" s="8" t="s">
        <v>39</v>
      </c>
    </row>
    <row r="114" spans="23:28" x14ac:dyDescent="0.3">
      <c r="W114" s="8" t="s">
        <v>7</v>
      </c>
    </row>
    <row r="116" spans="23:28" x14ac:dyDescent="0.3">
      <c r="W116" s="13" t="s">
        <v>20</v>
      </c>
    </row>
    <row r="117" spans="23:28" x14ac:dyDescent="0.3">
      <c r="W117" s="13" t="s">
        <v>40</v>
      </c>
    </row>
    <row r="118" spans="23:28" x14ac:dyDescent="0.3">
      <c r="W118" s="13" t="s">
        <v>41</v>
      </c>
    </row>
    <row r="120" spans="23:28" x14ac:dyDescent="0.3">
      <c r="W120" s="13" t="s">
        <v>42</v>
      </c>
    </row>
    <row r="121" spans="23:28" x14ac:dyDescent="0.3">
      <c r="W121" s="13" t="s">
        <v>43</v>
      </c>
    </row>
    <row r="122" spans="23:28" ht="15" thickBot="1" x14ac:dyDescent="0.35">
      <c r="W122" s="13" t="s">
        <v>38</v>
      </c>
    </row>
    <row r="123" spans="23:28" ht="15" thickBot="1" x14ac:dyDescent="0.35">
      <c r="Y123" s="322" t="s">
        <v>482</v>
      </c>
      <c r="Z123" s="323"/>
      <c r="AA123" s="323"/>
      <c r="AB123" s="324"/>
    </row>
    <row r="124" spans="23:28" x14ac:dyDescent="0.3">
      <c r="W124" s="202" t="s">
        <v>276</v>
      </c>
      <c r="Y124" s="325" t="s">
        <v>483</v>
      </c>
      <c r="Z124" s="326"/>
      <c r="AA124" s="326"/>
      <c r="AB124" s="327"/>
    </row>
    <row r="125" spans="23:28" x14ac:dyDescent="0.3">
      <c r="W125" s="202" t="s">
        <v>275</v>
      </c>
      <c r="Y125" s="328" t="s">
        <v>516</v>
      </c>
      <c r="Z125" s="329"/>
      <c r="AA125" s="329"/>
      <c r="AB125" s="330"/>
    </row>
    <row r="126" spans="23:28" x14ac:dyDescent="0.3">
      <c r="W126" s="202" t="s">
        <v>277</v>
      </c>
      <c r="Y126" s="328" t="s">
        <v>485</v>
      </c>
      <c r="Z126" s="329"/>
      <c r="AA126" s="329"/>
      <c r="AB126" s="330"/>
    </row>
    <row r="127" spans="23:28" x14ac:dyDescent="0.3">
      <c r="W127" s="202" t="s">
        <v>338</v>
      </c>
      <c r="Y127" s="328" t="s">
        <v>486</v>
      </c>
      <c r="Z127" s="329"/>
      <c r="AA127" s="329"/>
      <c r="AB127" s="330"/>
    </row>
    <row r="128" spans="23:28" x14ac:dyDescent="0.3">
      <c r="W128" s="202" t="s">
        <v>278</v>
      </c>
      <c r="Y128" s="328" t="s">
        <v>487</v>
      </c>
      <c r="Z128" s="329"/>
      <c r="AA128" s="329"/>
      <c r="AB128" s="330"/>
    </row>
    <row r="129" spans="23:28" x14ac:dyDescent="0.3">
      <c r="W129" s="202" t="s">
        <v>506</v>
      </c>
      <c r="Y129" s="328" t="s">
        <v>488</v>
      </c>
      <c r="Z129" s="329"/>
      <c r="AA129" s="329"/>
      <c r="AB129" s="330"/>
    </row>
    <row r="130" spans="23:28" x14ac:dyDescent="0.3">
      <c r="W130" s="202" t="s">
        <v>507</v>
      </c>
      <c r="Y130" s="328" t="s">
        <v>489</v>
      </c>
      <c r="Z130" s="329"/>
      <c r="AA130" s="329"/>
      <c r="AB130" s="330"/>
    </row>
    <row r="131" spans="23:28" x14ac:dyDescent="0.3">
      <c r="W131" s="202" t="s">
        <v>352</v>
      </c>
      <c r="Y131" s="328" t="s">
        <v>490</v>
      </c>
      <c r="Z131" s="329"/>
      <c r="AA131" s="329"/>
      <c r="AB131" s="330"/>
    </row>
    <row r="132" spans="23:28" x14ac:dyDescent="0.3">
      <c r="W132" s="202" t="s">
        <v>353</v>
      </c>
      <c r="Y132" s="328" t="s">
        <v>491</v>
      </c>
      <c r="Z132" s="329"/>
      <c r="AA132" s="329"/>
      <c r="AB132" s="330"/>
    </row>
    <row r="133" spans="23:28" x14ac:dyDescent="0.3">
      <c r="W133" s="202" t="s">
        <v>354</v>
      </c>
      <c r="Y133" s="328" t="s">
        <v>492</v>
      </c>
      <c r="Z133" s="329"/>
      <c r="AA133" s="329"/>
      <c r="AB133" s="330"/>
    </row>
    <row r="134" spans="23:28" x14ac:dyDescent="0.3">
      <c r="W134" s="202" t="s">
        <v>508</v>
      </c>
      <c r="Y134" s="328" t="s">
        <v>511</v>
      </c>
      <c r="Z134" s="329"/>
      <c r="AA134" s="329"/>
      <c r="AB134" s="330"/>
    </row>
    <row r="135" spans="23:28" x14ac:dyDescent="0.3">
      <c r="W135" s="202" t="s">
        <v>509</v>
      </c>
      <c r="Y135" s="328" t="s">
        <v>512</v>
      </c>
      <c r="Z135" s="329"/>
      <c r="AA135" s="329"/>
      <c r="AB135" s="330"/>
    </row>
    <row r="136" spans="23:28" x14ac:dyDescent="0.3">
      <c r="W136" s="202" t="s">
        <v>510</v>
      </c>
      <c r="Y136" s="328" t="s">
        <v>495</v>
      </c>
      <c r="Z136" s="329"/>
      <c r="AA136" s="329"/>
      <c r="AB136" s="330"/>
    </row>
    <row r="137" spans="23:28" x14ac:dyDescent="0.3">
      <c r="W137" s="202" t="s">
        <v>351</v>
      </c>
      <c r="Y137" s="328" t="s">
        <v>496</v>
      </c>
      <c r="Z137" s="329"/>
      <c r="AA137" s="329"/>
      <c r="AB137" s="330"/>
    </row>
    <row r="138" spans="23:28" x14ac:dyDescent="0.3">
      <c r="W138" s="202" t="s">
        <v>517</v>
      </c>
      <c r="Y138" s="328" t="s">
        <v>518</v>
      </c>
      <c r="Z138" s="329"/>
      <c r="AA138" s="329"/>
      <c r="AB138" s="330"/>
    </row>
    <row r="139" spans="23:28" x14ac:dyDescent="0.3">
      <c r="Y139" s="328" t="s">
        <v>498</v>
      </c>
      <c r="Z139" s="329"/>
      <c r="AA139" s="329"/>
      <c r="AB139" s="330"/>
    </row>
    <row r="140" spans="23:28" x14ac:dyDescent="0.3">
      <c r="Y140" s="328" t="s">
        <v>499</v>
      </c>
      <c r="Z140" s="329"/>
      <c r="AA140" s="329"/>
      <c r="AB140" s="330"/>
    </row>
    <row r="141" spans="23:28" x14ac:dyDescent="0.3">
      <c r="Y141" s="328" t="s">
        <v>500</v>
      </c>
      <c r="Z141" s="329"/>
      <c r="AA141" s="329"/>
      <c r="AB141" s="330"/>
    </row>
    <row r="142" spans="23:28" x14ac:dyDescent="0.3">
      <c r="Y142" s="328" t="s">
        <v>513</v>
      </c>
      <c r="Z142" s="329"/>
      <c r="AA142" s="329"/>
      <c r="AB142" s="330"/>
    </row>
    <row r="143" spans="23:28" x14ac:dyDescent="0.3">
      <c r="Y143" s="328" t="s">
        <v>502</v>
      </c>
      <c r="Z143" s="329"/>
      <c r="AA143" s="329"/>
      <c r="AB143" s="330"/>
    </row>
    <row r="144" spans="23:28" x14ac:dyDescent="0.3">
      <c r="Y144" s="328" t="s">
        <v>503</v>
      </c>
      <c r="Z144" s="329"/>
      <c r="AA144" s="329"/>
      <c r="AB144" s="330"/>
    </row>
    <row r="145" spans="25:28" x14ac:dyDescent="0.3">
      <c r="Y145" s="328" t="s">
        <v>504</v>
      </c>
      <c r="Z145" s="329"/>
      <c r="AA145" s="329"/>
      <c r="AB145" s="330"/>
    </row>
    <row r="146" spans="25:28" x14ac:dyDescent="0.3">
      <c r="Y146" s="328" t="s">
        <v>505</v>
      </c>
      <c r="Z146" s="329"/>
      <c r="AA146" s="329"/>
      <c r="AB146" s="330"/>
    </row>
    <row r="147" spans="25:28" x14ac:dyDescent="0.3">
      <c r="Y147" s="328" t="s">
        <v>514</v>
      </c>
      <c r="Z147" s="329"/>
      <c r="AA147" s="329"/>
      <c r="AB147" s="330"/>
    </row>
    <row r="148" spans="25:28" x14ac:dyDescent="0.3">
      <c r="Y148" s="328" t="s">
        <v>515</v>
      </c>
      <c r="Z148" s="329"/>
      <c r="AA148" s="329"/>
      <c r="AB148" s="330"/>
    </row>
    <row r="149" spans="25:28" ht="15" thickBot="1" x14ac:dyDescent="0.35">
      <c r="Y149" s="331" t="s">
        <v>519</v>
      </c>
      <c r="Z149" s="332"/>
      <c r="AA149" s="332"/>
      <c r="AB149" s="333"/>
    </row>
  </sheetData>
  <mergeCells count="29">
    <mergeCell ref="Y146:AB146"/>
    <mergeCell ref="Y147:AB147"/>
    <mergeCell ref="Y148:AB148"/>
    <mergeCell ref="Y149:AB149"/>
    <mergeCell ref="Y141:AB141"/>
    <mergeCell ref="Y142:AB142"/>
    <mergeCell ref="Y143:AB143"/>
    <mergeCell ref="Y144:AB144"/>
    <mergeCell ref="Y145:AB145"/>
    <mergeCell ref="Y136:AB136"/>
    <mergeCell ref="Y137:AB137"/>
    <mergeCell ref="Y138:AB138"/>
    <mergeCell ref="Y139:AB139"/>
    <mergeCell ref="Y140:AB140"/>
    <mergeCell ref="Y131:AB131"/>
    <mergeCell ref="Y132:AB132"/>
    <mergeCell ref="Y133:AB133"/>
    <mergeCell ref="Y134:AB134"/>
    <mergeCell ref="Y135:AB135"/>
    <mergeCell ref="Y126:AB126"/>
    <mergeCell ref="Y127:AB127"/>
    <mergeCell ref="Y128:AB128"/>
    <mergeCell ref="Y129:AB129"/>
    <mergeCell ref="Y130:AB130"/>
    <mergeCell ref="N10:O10"/>
    <mergeCell ref="N11:O11"/>
    <mergeCell ref="Y123:AB123"/>
    <mergeCell ref="Y124:AB124"/>
    <mergeCell ref="Y125:AB125"/>
  </mergeCells>
  <dataValidations count="4">
    <dataValidation type="list" allowBlank="1" showInputMessage="1" showErrorMessage="1" sqref="I3" xr:uid="{00000000-0002-0000-0000-000000000000}">
      <formula1>$W$113:$W$114</formula1>
    </dataValidation>
    <dataValidation type="list" allowBlank="1" showInputMessage="1" showErrorMessage="1" sqref="F7" xr:uid="{00000000-0002-0000-0000-000001000000}">
      <formula1>$W$99:$W$101</formula1>
    </dataValidation>
    <dataValidation type="list" allowBlank="1" showInputMessage="1" showErrorMessage="1" sqref="F8" xr:uid="{00000000-0002-0000-0000-000002000000}">
      <formula1>$W$103:$W$104</formula1>
    </dataValidation>
    <dataValidation type="list" allowBlank="1" showInputMessage="1" showErrorMessage="1" sqref="F16" xr:uid="{00000000-0002-0000-0000-000003000000}">
      <formula1>$W$124:$W$138</formula1>
    </dataValidation>
  </dataValidations>
  <pageMargins left="0.7" right="0.7" top="0.75" bottom="0.75" header="0.3" footer="0.3"/>
  <pageSetup orientation="portrait" horizontalDpi="1200" verticalDpi="1200" r:id="rId1"/>
  <tableParts count="4">
    <tablePart r:id="rId2"/>
    <tablePart r:id="rId3"/>
    <tablePart r:id="rId4"/>
    <tablePart r:id="rId5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000-000004000000}">
          <x14:formula1>
            <xm:f>'BD Clientes'!$B$6:$B$370</xm:f>
          </x14:formula1>
          <xm:sqref>L3</xm:sqref>
        </x14:dataValidation>
        <x14:dataValidation type="list" allowBlank="1" showInputMessage="1" showErrorMessage="1" xr:uid="{00000000-0002-0000-0000-000005000000}">
          <x14:formula1>
            <xm:f>'BD Patron'!$C$6:$C$10</xm:f>
          </x14:formula1>
          <xm:sqref>I4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J129"/>
  <sheetViews>
    <sheetView zoomScale="85" zoomScaleNormal="85" workbookViewId="0">
      <selection activeCell="E4" sqref="E4"/>
    </sheetView>
  </sheetViews>
  <sheetFormatPr baseColWidth="10" defaultColWidth="8.88671875" defaultRowHeight="14.4" x14ac:dyDescent="0.3"/>
  <cols>
    <col min="1" max="1" width="1.44140625" customWidth="1"/>
    <col min="2" max="2" width="5.44140625" customWidth="1"/>
    <col min="3" max="10" width="11.6640625" customWidth="1"/>
    <col min="11" max="11" width="12.33203125" customWidth="1"/>
    <col min="12" max="17" width="11.6640625" customWidth="1"/>
    <col min="18" max="18" width="3" customWidth="1"/>
    <col min="19" max="19" width="3.6640625" customWidth="1"/>
    <col min="20" max="28" width="12.6640625" customWidth="1"/>
    <col min="29" max="29" width="12" bestFit="1" customWidth="1"/>
    <col min="30" max="30" width="3.33203125" customWidth="1"/>
    <col min="31" max="31" width="12" bestFit="1" customWidth="1"/>
    <col min="32" max="32" width="9.88671875" customWidth="1"/>
    <col min="59" max="59" width="8.88671875" style="67"/>
  </cols>
  <sheetData>
    <row r="2" spans="2:62" ht="16.2" x14ac:dyDescent="0.3">
      <c r="B2" s="23" t="s">
        <v>119</v>
      </c>
      <c r="C2" s="24"/>
      <c r="D2" s="15"/>
      <c r="E2" s="15"/>
      <c r="G2" s="15" t="s">
        <v>186</v>
      </c>
      <c r="H2" s="15"/>
      <c r="K2" s="23" t="s">
        <v>366</v>
      </c>
      <c r="L2" s="23"/>
      <c r="M2" s="3"/>
      <c r="O2" s="15" t="s">
        <v>375</v>
      </c>
      <c r="P2" s="15"/>
      <c r="T2" s="23" t="s">
        <v>347</v>
      </c>
      <c r="U2" s="23"/>
      <c r="V2" s="23"/>
      <c r="W2" s="23"/>
      <c r="X2" s="23"/>
      <c r="Y2" s="3"/>
      <c r="AE2" s="15" t="s">
        <v>390</v>
      </c>
      <c r="AF2" s="15"/>
      <c r="AG2" s="15"/>
      <c r="AH2" s="15"/>
      <c r="AI2" s="15" t="str">
        <f>CONCATENATE("[Todo en ", unidad,"]")</f>
        <v>[Todo en psi]</v>
      </c>
      <c r="AJ2" s="15"/>
      <c r="AR2" s="25"/>
      <c r="AS2" s="25"/>
      <c r="AT2" s="25"/>
      <c r="AU2" s="25"/>
      <c r="AV2" s="25"/>
    </row>
    <row r="3" spans="2:62" ht="14.4" customHeight="1" x14ac:dyDescent="0.3">
      <c r="B3" s="151" t="s">
        <v>272</v>
      </c>
      <c r="C3" s="217"/>
      <c r="D3" s="152"/>
      <c r="E3" s="206" t="str">
        <f>General!F8</f>
        <v>Analógico</v>
      </c>
      <c r="G3" s="178" t="s">
        <v>356</v>
      </c>
      <c r="H3" s="178"/>
      <c r="I3" s="118" t="s">
        <v>477</v>
      </c>
      <c r="K3" s="178" t="s">
        <v>120</v>
      </c>
      <c r="L3" s="178"/>
      <c r="M3" s="118" t="s">
        <v>463</v>
      </c>
      <c r="O3" s="121" t="s">
        <v>377</v>
      </c>
      <c r="P3" s="69" t="e">
        <f>((AS10*(CertPres))+CertHR*((AS11*CertTempC)+AS12))/(273.15 + CertTempC)</f>
        <v>#VALUE!</v>
      </c>
      <c r="T3" s="182" t="s">
        <v>309</v>
      </c>
      <c r="U3" s="191" t="s">
        <v>339</v>
      </c>
      <c r="V3" s="192"/>
      <c r="W3" s="191" t="s">
        <v>345</v>
      </c>
      <c r="X3" s="192"/>
      <c r="Y3" s="3"/>
      <c r="AR3" s="25"/>
      <c r="AS3" s="25"/>
      <c r="AT3" s="25"/>
      <c r="AU3" s="25"/>
      <c r="AV3" s="25"/>
      <c r="AY3" s="220" t="s">
        <v>402</v>
      </c>
      <c r="AZ3" s="220"/>
      <c r="BA3" s="220"/>
      <c r="BB3" s="220"/>
      <c r="BC3" s="220"/>
      <c r="BG3" s="25"/>
    </row>
    <row r="4" spans="2:62" ht="14.4" customHeight="1" x14ac:dyDescent="0.3">
      <c r="B4" s="178" t="s">
        <v>117</v>
      </c>
      <c r="C4" s="151"/>
      <c r="D4" s="152"/>
      <c r="E4" s="207" t="str">
        <f>DivEscala</f>
        <v>1</v>
      </c>
      <c r="G4" s="178" t="s">
        <v>358</v>
      </c>
      <c r="H4" s="178"/>
      <c r="I4" s="64">
        <f>IFERROR(VLOOKUP(I3,tblBD_Patrones[[#All],[Código Patrón]:[Resolución '[psi']]],13,FALSE),"")</f>
        <v>0.01</v>
      </c>
      <c r="K4" s="178" t="s">
        <v>367</v>
      </c>
      <c r="L4" s="178"/>
      <c r="M4" s="118">
        <v>0</v>
      </c>
      <c r="O4" s="121" t="s">
        <v>372</v>
      </c>
      <c r="P4" s="95" t="e">
        <f>ABS(CertTempIni-CertTempFin)/SQRT(12)</f>
        <v>#VALUE!</v>
      </c>
      <c r="S4" s="29" t="s">
        <v>102</v>
      </c>
      <c r="T4" s="88" t="s">
        <v>121</v>
      </c>
      <c r="U4" s="86" t="s">
        <v>340</v>
      </c>
      <c r="V4" s="86" t="s">
        <v>341</v>
      </c>
      <c r="W4" s="86" t="s">
        <v>344</v>
      </c>
      <c r="X4" s="86" t="s">
        <v>343</v>
      </c>
      <c r="Y4" s="179" t="s">
        <v>346</v>
      </c>
      <c r="AE4" s="47" t="s">
        <v>173</v>
      </c>
      <c r="AF4" s="47">
        <v>1</v>
      </c>
      <c r="AG4" s="47">
        <v>2</v>
      </c>
      <c r="AH4" s="47">
        <v>3</v>
      </c>
      <c r="AI4" s="47">
        <v>4</v>
      </c>
      <c r="AJ4" s="47">
        <v>5</v>
      </c>
      <c r="AK4" s="47">
        <v>6</v>
      </c>
      <c r="AL4" s="47">
        <v>7</v>
      </c>
      <c r="AM4" s="47">
        <v>8</v>
      </c>
      <c r="AN4" s="47">
        <v>9</v>
      </c>
      <c r="AO4" s="47">
        <v>10</v>
      </c>
      <c r="AR4" s="25"/>
      <c r="AS4" s="25"/>
      <c r="AT4" s="25"/>
      <c r="AU4" s="25"/>
      <c r="AV4" s="25"/>
      <c r="AY4" s="220"/>
      <c r="AZ4" s="220"/>
      <c r="BA4" s="220"/>
      <c r="BB4" s="220"/>
      <c r="BC4" s="220"/>
      <c r="BG4" s="25"/>
    </row>
    <row r="5" spans="2:62" ht="14.4" customHeight="1" x14ac:dyDescent="0.3">
      <c r="B5" s="151" t="s">
        <v>282</v>
      </c>
      <c r="C5" s="217"/>
      <c r="D5" s="152"/>
      <c r="E5" s="208" t="str">
        <f>RangoMed_min</f>
        <v>0</v>
      </c>
      <c r="G5" s="178" t="s">
        <v>357</v>
      </c>
      <c r="H5" s="178"/>
      <c r="I5" s="118"/>
      <c r="K5" s="178" t="s">
        <v>368</v>
      </c>
      <c r="L5" s="178"/>
      <c r="M5" s="118" t="s">
        <v>370</v>
      </c>
      <c r="O5" s="121" t="s">
        <v>373</v>
      </c>
      <c r="P5" s="95" t="e">
        <f>ABS(General!I11-General!I12)/SQRT(12)</f>
        <v>#VALUE!</v>
      </c>
      <c r="S5" s="20">
        <v>1</v>
      </c>
      <c r="T5" s="190" t="str">
        <f>'BD Patron'!C15</f>
        <v>NI-MCPP-01</v>
      </c>
      <c r="U5" s="189">
        <f>IFERROR(LOOKUP(T5,tblBD_Patrones[Código Patrón],tblBD_Patrones[min.])*coef_unidad,"")</f>
        <v>-12</v>
      </c>
      <c r="V5" s="189">
        <f>IFERROR(LOOKUP(T5,tblBD_Patrones[Código Patrón],tblBD_Patrones[max.])*coef_unidad,"")</f>
        <v>200</v>
      </c>
      <c r="W5" s="189">
        <f>IFERROR(LOOKUP(T5,tblBD_Patrones[Código Patrón],tblBD_Patrones[t min. compensada]),"")</f>
        <v>15</v>
      </c>
      <c r="X5" s="189">
        <f>IFERROR(LOOKUP(T5,tblBD_Patrones[Código Patrón],tblBD_Patrones[t max. compensada]),"")</f>
        <v>35</v>
      </c>
      <c r="Y5" s="43">
        <f>IFERROR(LOOKUP(T5,tblBD_Patrones[Código Patrón],tblBD_Patrones[Coeficiente temp. % de medición '[FS/°C']]),"")</f>
        <v>5.0000000000000001E-3</v>
      </c>
      <c r="AE5" s="68" t="s">
        <v>167</v>
      </c>
      <c r="AF5" s="69" t="str">
        <f t="array" aca="1" ref="AF5:AO5" ca="1">TRANSPOSE($T$15:$T$29)</f>
        <v/>
      </c>
      <c r="AG5" s="69" t="str">
        <f ca="1"/>
        <v/>
      </c>
      <c r="AH5" s="69" t="str">
        <f ca="1"/>
        <v/>
      </c>
      <c r="AI5" s="69" t="str">
        <f ca="1"/>
        <v/>
      </c>
      <c r="AJ5" s="69" t="str">
        <f ca="1"/>
        <v/>
      </c>
      <c r="AK5" s="69" t="str">
        <f ca="1"/>
        <v/>
      </c>
      <c r="AL5" s="64" t="str">
        <f ca="1"/>
        <v/>
      </c>
      <c r="AM5" s="64" t="str">
        <f ca="1"/>
        <v/>
      </c>
      <c r="AN5" s="64" t="str">
        <f ca="1"/>
        <v/>
      </c>
      <c r="AO5" s="64" t="str">
        <f ca="1"/>
        <v/>
      </c>
      <c r="AR5" s="25"/>
      <c r="AS5" s="25"/>
      <c r="AT5" s="25"/>
      <c r="AU5" s="25"/>
      <c r="AV5" s="25"/>
      <c r="AY5" s="220"/>
      <c r="AZ5" s="220"/>
      <c r="BA5" s="220"/>
      <c r="BB5" s="220"/>
      <c r="BC5" s="220"/>
      <c r="BG5" s="25"/>
    </row>
    <row r="6" spans="2:62" ht="14.4" customHeight="1" x14ac:dyDescent="0.3">
      <c r="B6" s="178" t="s">
        <v>283</v>
      </c>
      <c r="C6" s="151"/>
      <c r="D6" s="152"/>
      <c r="E6" s="189" t="str">
        <f>RangoMed_max</f>
        <v>200</v>
      </c>
      <c r="G6" s="178" t="s">
        <v>359</v>
      </c>
      <c r="H6" s="178"/>
      <c r="I6" s="64" t="str">
        <f>IFERROR(VLOOKUP(I5,tblBD_Patrones[[#All],[Código Patrón]:[Resolución '[psi']]],13,FALSE),"")</f>
        <v/>
      </c>
      <c r="K6" s="178" t="s">
        <v>371</v>
      </c>
      <c r="L6" s="178"/>
      <c r="M6" s="118">
        <v>1</v>
      </c>
      <c r="O6" s="121" t="s">
        <v>374</v>
      </c>
      <c r="P6" s="95" t="e">
        <f>ABS(General!I16-General!I17)/SQRT(12)</f>
        <v>#VALUE!</v>
      </c>
      <c r="S6" s="20">
        <v>2</v>
      </c>
      <c r="T6" s="190" t="str">
        <f>'BD Patron'!C16</f>
        <v>NI-MCPP-02</v>
      </c>
      <c r="U6" s="189">
        <f>IFERROR(LOOKUP(T6,tblBD_Patrones[Código Patrón],tblBD_Patrones[min.])*coef_unidad,"")</f>
        <v>0</v>
      </c>
      <c r="V6" s="189">
        <f>IFERROR(LOOKUP(T6,tblBD_Patrones[Código Patrón],tblBD_Patrones[max.])*coef_unidad,"")</f>
        <v>5000</v>
      </c>
      <c r="W6" s="189">
        <f>IFERROR(LOOKUP(T6,tblBD_Patrones[Código Patrón],tblBD_Patrones[t min. compensada]),"")</f>
        <v>15</v>
      </c>
      <c r="X6" s="189">
        <f>IFERROR(LOOKUP(T6,tblBD_Patrones[Código Patrón],tblBD_Patrones[t max. compensada]),"")</f>
        <v>35</v>
      </c>
      <c r="Y6" s="43">
        <f>IFERROR(LOOKUP(T6,tblBD_Patrones[Código Patrón],tblBD_Patrones[Coeficiente temp. % de medición '[FS/°C']]),"")</f>
        <v>5.0000000000000001E-3</v>
      </c>
      <c r="AE6" s="68" t="s">
        <v>168</v>
      </c>
      <c r="AF6" s="65" t="str">
        <f ca="1">IFERROR(INDEX($T$37:$T$51,MATCH(AF$5,$T$37:OFFSET($T$37,NumPuntosCalib-1,0),1)),"")</f>
        <v/>
      </c>
      <c r="AG6" s="65" t="str">
        <f ca="1">IFERROR(INDEX($T$37:$T$51,MATCH(AG$5,$T$37:OFFSET($T$37,NumPuntosCalib-1,0),1)),"")</f>
        <v/>
      </c>
      <c r="AH6" s="65" t="str">
        <f ca="1">IFERROR(INDEX($T$37:$T$51,MATCH(AH$5,$T$37:OFFSET($T$37,NumPuntosCalib-1,0),1)),"")</f>
        <v/>
      </c>
      <c r="AI6" s="65" t="str">
        <f ca="1">IFERROR(INDEX($T$37:$T$51,MATCH(AI$5,$T$37:OFFSET($T$37,NumPuntosCalib-1,0),1)),"")</f>
        <v/>
      </c>
      <c r="AJ6" s="65" t="str">
        <f ca="1">IFERROR(INDEX($T$37:$T$51,MATCH(AJ$5,$T$37:OFFSET($T$37,NumPuntosCalib-1,0),1)),"")</f>
        <v/>
      </c>
      <c r="AK6" s="65" t="str">
        <f ca="1">IFERROR(INDEX($T$37:$T$51,MATCH(AK$5,$T$37:OFFSET($T$37,NumPuntosCalib-1,0),1)),"")</f>
        <v/>
      </c>
      <c r="AL6" s="65" t="str">
        <f ca="1">IFERROR(INDEX($T$37:$T$51,MATCH(AL$5,$T$37:OFFSET($T$37,NumPuntosCalib-1,0),1)),"")</f>
        <v/>
      </c>
      <c r="AM6" s="65" t="str">
        <f ca="1">IFERROR(INDEX($T$37:$T$51,MATCH(AM$5,$T$37:OFFSET($T$37,NumPuntosCalib-1,0),1)),"")</f>
        <v/>
      </c>
      <c r="AN6" s="65" t="str">
        <f ca="1">IFERROR(INDEX($T$37:$T$51,MATCH(AN$5,$T$37:OFFSET($T$37,NumPuntosCalib-1,0),1)),"")</f>
        <v/>
      </c>
      <c r="AO6" s="65" t="str">
        <f ca="1">IFERROR(INDEX($T$37:$T$51,MATCH(AO$5,$T$37:OFFSET($T$37,NumPuntosCalib-1,0),1)),"")</f>
        <v/>
      </c>
      <c r="AR6" s="25"/>
      <c r="AS6" s="25"/>
      <c r="AT6" s="25"/>
      <c r="AU6" s="25"/>
      <c r="AV6" s="25"/>
      <c r="AY6" s="220"/>
      <c r="AZ6" s="220"/>
      <c r="BA6" s="220"/>
      <c r="BB6" s="220"/>
      <c r="BC6" s="220"/>
      <c r="BG6" s="25"/>
      <c r="BJ6" t="s">
        <v>526</v>
      </c>
    </row>
    <row r="7" spans="2:62" ht="14.4" customHeight="1" x14ac:dyDescent="0.3">
      <c r="B7" s="151" t="s">
        <v>397</v>
      </c>
      <c r="C7" s="217"/>
      <c r="D7" s="152"/>
      <c r="E7" s="218">
        <f>ResolInst/E6</f>
        <v>5.0000000000000001E-3</v>
      </c>
      <c r="H7" s="153"/>
      <c r="O7" s="121" t="s">
        <v>376</v>
      </c>
      <c r="P7" s="69" t="e">
        <f>SQRT((POWER(P4/CertTempC,2)+POWER(P5/CertHR,2)+POWER(P6/CertPres,2))*POWER(P3,2))</f>
        <v>#VALUE!</v>
      </c>
      <c r="S7" s="20">
        <v>3</v>
      </c>
      <c r="T7" s="190" t="str">
        <f>'BD Patron'!C17</f>
        <v>NI-MCPP-05</v>
      </c>
      <c r="U7" s="189">
        <f>IFERROR(LOOKUP(T7,tblBD_Patrones[Código Patrón],tblBD_Patrones[min.])*coef_unidad,"")</f>
        <v>-12</v>
      </c>
      <c r="V7" s="189">
        <f>IFERROR(LOOKUP(T7,tblBD_Patrones[Código Patrón],tblBD_Patrones[max.])*coef_unidad,"")</f>
        <v>300</v>
      </c>
      <c r="W7" s="189">
        <f>IFERROR(LOOKUP(T7,tblBD_Patrones[Código Patrón],tblBD_Patrones[t min. compensada]),"")</f>
        <v>-10</v>
      </c>
      <c r="X7" s="189">
        <f>IFERROR(LOOKUP(T7,tblBD_Patrones[Código Patrón],tblBD_Patrones[t max. compensada]),"")</f>
        <v>50</v>
      </c>
      <c r="Y7" s="43">
        <f>IFERROR(LOOKUP(T7,tblBD_Patrones[Código Patrón],tblBD_Patrones[Coeficiente temp. % de medición '[FS/°C']]),"")</f>
        <v>5.0000000000000001E-3</v>
      </c>
      <c r="AE7" s="68" t="s">
        <v>170</v>
      </c>
      <c r="AF7" s="65" t="str">
        <f ca="1">IFERROR(INDEX($U$37:$U$51,MATCH(AF$5,$T$37:OFFSET($T$37,NumPuntosCalib-1,0),1)),"")</f>
        <v/>
      </c>
      <c r="AG7" s="65" t="str">
        <f ca="1">IFERROR(INDEX($U$37:$U$51,MATCH(AG$5,$T$37:OFFSET($T$37,NumPuntosCalib-1,0),1)),"")</f>
        <v/>
      </c>
      <c r="AH7" s="65" t="str">
        <f ca="1">IFERROR(INDEX($U$37:$U$51,MATCH(AH$5,$T$37:OFFSET($T$37,NumPuntosCalib-1,0),1)),"")</f>
        <v/>
      </c>
      <c r="AI7" s="65" t="str">
        <f ca="1">IFERROR(INDEX($U$37:$U$51,MATCH(AI$5,$T$37:OFFSET($T$37,NumPuntosCalib-1,0),1)),"")</f>
        <v/>
      </c>
      <c r="AJ7" s="65" t="str">
        <f ca="1">IFERROR(INDEX($U$37:$U$51,MATCH(AJ$5,$T$37:OFFSET($T$37,NumPuntosCalib-1,0),1)),"")</f>
        <v/>
      </c>
      <c r="AK7" s="65" t="str">
        <f ca="1">IFERROR(INDEX($U$37:$U$51,MATCH(AK$5,$T$37:OFFSET($T$37,NumPuntosCalib-1,0),1)),"")</f>
        <v/>
      </c>
      <c r="AL7" s="65" t="str">
        <f ca="1">IFERROR(INDEX($U$37:$U$51,MATCH(AL$5,$T$37:OFFSET($T$37,NumPuntosCalib-1,0),1)),"")</f>
        <v/>
      </c>
      <c r="AM7" s="65" t="str">
        <f ca="1">IFERROR(INDEX($U$37:$U$51,MATCH(AM$5,$T$37:OFFSET($T$37,NumPuntosCalib-1,0),1)),"")</f>
        <v/>
      </c>
      <c r="AN7" s="65" t="str">
        <f ca="1">IFERROR(INDEX($U$37:$U$51,MATCH(AN$5,$T$37:OFFSET($T$37,NumPuntosCalib-1,0),1)),"")</f>
        <v/>
      </c>
      <c r="AO7" s="65" t="str">
        <f ca="1">IFERROR(INDEX($U$37:$U$51,MATCH(AO$5,$T$37:OFFSET($T$37,NumPuntosCalib-1,0),1)),"")</f>
        <v/>
      </c>
      <c r="AR7" s="25"/>
      <c r="AS7" s="25"/>
      <c r="AT7" s="25"/>
      <c r="AU7" s="25"/>
      <c r="AV7" s="25"/>
      <c r="AY7" s="220"/>
      <c r="AZ7" s="220"/>
      <c r="BA7" s="220" t="e">
        <f>(0.34848*CertPres-0.009024*POWER(CertHR,0.061*CertTempC))/(273.15+CertTempC)</f>
        <v>#VALUE!</v>
      </c>
      <c r="BB7" s="220"/>
      <c r="BC7" s="220"/>
      <c r="BG7" s="25"/>
      <c r="BJ7" t="s">
        <v>705</v>
      </c>
    </row>
    <row r="8" spans="2:62" ht="15" x14ac:dyDescent="0.3">
      <c r="B8" s="151" t="s">
        <v>118</v>
      </c>
      <c r="C8" s="152"/>
      <c r="D8" s="94">
        <f>INDEX(M37:Q50,MATCH(E8,M37:M50,0),2)</f>
        <v>1</v>
      </c>
      <c r="E8" s="156" t="str">
        <f>General!F16</f>
        <v>psi</v>
      </c>
      <c r="G8" s="209"/>
      <c r="H8" s="209"/>
      <c r="I8" s="209"/>
      <c r="T8" s="3" t="s">
        <v>342</v>
      </c>
      <c r="U8" s="3"/>
      <c r="AE8" s="68" t="s">
        <v>169</v>
      </c>
      <c r="AF8" s="65" t="str">
        <f ca="1">IFERROR(INDEX($T$37:$T$51,MATCH(AF$5,$T$37:OFFSET($T$37,NumPuntosCalib-1,0),1)+1),"")</f>
        <v/>
      </c>
      <c r="AG8" s="65" t="str">
        <f ca="1">IFERROR(INDEX($T$37:$T$51,MATCH(AG$5,$T$37:OFFSET($T$37,NumPuntosCalib-1,0),1)+1),"")</f>
        <v/>
      </c>
      <c r="AH8" s="65" t="str">
        <f ca="1">IFERROR(INDEX($T$37:$T$51,MATCH(AH$5,$T$37:OFFSET($T$37,NumPuntosCalib-1,0),1)+1),"")</f>
        <v/>
      </c>
      <c r="AI8" s="65" t="str">
        <f ca="1">IFERROR(INDEX($T$37:$T$51,MATCH(AI$5,$T$37:OFFSET($T$37,NumPuntosCalib-1,0),1)+1),"")</f>
        <v/>
      </c>
      <c r="AJ8" s="65" t="str">
        <f ca="1">IFERROR(INDEX($T$37:$T$51,MATCH(AJ$5,$T$37:OFFSET($T$37,NumPuntosCalib-1,0),1)+1),"")</f>
        <v/>
      </c>
      <c r="AK8" s="65" t="str">
        <f ca="1">IFERROR(INDEX($T$37:$T$51,MATCH(AK$5,$T$37:OFFSET($T$37,NumPuntosCalib-1,0),1)+1),"")</f>
        <v/>
      </c>
      <c r="AL8" s="65" t="str">
        <f ca="1">IFERROR(INDEX($T$37:$T$51,MATCH(AL$5,$T$37:OFFSET($T$37,NumPuntosCalib-1,0),1)+1),"")</f>
        <v/>
      </c>
      <c r="AM8" s="65" t="str">
        <f ca="1">IFERROR(INDEX($T$37:$T$51,MATCH(AM$5,$T$37:OFFSET($T$37,NumPuntosCalib-1,0),1)+1),"")</f>
        <v/>
      </c>
      <c r="AN8" s="65" t="str">
        <f ca="1">IFERROR(INDEX($T$37:$T$51,MATCH(AN$5,$T$37:OFFSET($T$37,NumPuntosCalib-1,0),1)+1),"")</f>
        <v/>
      </c>
      <c r="AO8" s="65" t="str">
        <f ca="1">IFERROR(INDEX($T$37:$T$51,MATCH(AO$5,$T$37:OFFSET($T$37,NumPuntosCalib-1,0),1)+1),"")</f>
        <v/>
      </c>
      <c r="AR8" s="25"/>
      <c r="AS8" s="25"/>
      <c r="AT8" s="25"/>
      <c r="AU8" s="25"/>
      <c r="AV8" s="25"/>
      <c r="BG8" s="25"/>
    </row>
    <row r="9" spans="2:62" x14ac:dyDescent="0.3">
      <c r="D9" s="210" t="s">
        <v>247</v>
      </c>
      <c r="E9" s="28">
        <f>LEN(MOD(ABS(DivEscala),1))-1-(MOD(DivEscala,1)&gt;0)</f>
        <v>0</v>
      </c>
      <c r="V9" s="3"/>
      <c r="W9" s="3"/>
      <c r="X9" s="3"/>
      <c r="Y9" s="3"/>
      <c r="AA9" s="3"/>
      <c r="AB9" s="3"/>
      <c r="AC9" s="3"/>
      <c r="AE9" s="68" t="s">
        <v>171</v>
      </c>
      <c r="AF9" s="65" t="str">
        <f ca="1">IFERROR(INDEX($U$37:$U$51,MATCH(AF$5,$T$37:OFFSET($T$37,NumPuntosCalib-1,0),1)+1),"")</f>
        <v/>
      </c>
      <c r="AG9" s="65" t="str">
        <f ca="1">IFERROR(INDEX($U$37:$U$51,MATCH(AG$5,$T$37:OFFSET($T$37,NumPuntosCalib-1,0),1)+1),"")</f>
        <v/>
      </c>
      <c r="AH9" s="65" t="str">
        <f ca="1">IFERROR(INDEX($U$37:$U$51,MATCH(AH$5,$T$37:OFFSET($T$37,NumPuntosCalib-1,0),1)+1),"")</f>
        <v/>
      </c>
      <c r="AI9" s="65" t="str">
        <f ca="1">IFERROR(INDEX($U$37:$U$51,MATCH(AI$5,$T$37:OFFSET($T$37,NumPuntosCalib-1,0),1)+1),"")</f>
        <v/>
      </c>
      <c r="AJ9" s="65" t="str">
        <f ca="1">IFERROR(INDEX($U$37:$U$51,MATCH(AJ$5,$T$37:OFFSET($T$37,NumPuntosCalib-1,0),1)+1),"")</f>
        <v/>
      </c>
      <c r="AK9" s="65" t="str">
        <f ca="1">IFERROR(INDEX($U$37:$U$51,MATCH(AK$5,$T$37:OFFSET($T$37,NumPuntosCalib-1,0),1)+1),"")</f>
        <v/>
      </c>
      <c r="AL9" s="65" t="str">
        <f ca="1">IFERROR(INDEX($U$37:$U$51,MATCH(AL$5,$T$37:OFFSET($T$37,NumPuntosCalib-1,0),1)+1),"")</f>
        <v/>
      </c>
      <c r="AM9" s="65" t="str">
        <f ca="1">IFERROR(INDEX($U$37:$U$51,MATCH(AM$5,$T$37:OFFSET($T$37,NumPuntosCalib-1,0),1)+1),"")</f>
        <v/>
      </c>
      <c r="AN9" s="65" t="str">
        <f ca="1">IFERROR(INDEX($U$37:$U$51,MATCH(AN$5,$T$37:OFFSET($T$37,NumPuntosCalib-1,0),1)+1),"")</f>
        <v/>
      </c>
      <c r="AO9" s="65" t="str">
        <f ca="1">IFERROR(INDEX($U$37:$U$51,MATCH(AO$5,$T$37:OFFSET($T$37,NumPuntosCalib-1,0),1)+1),"")</f>
        <v/>
      </c>
      <c r="AR9" s="25"/>
      <c r="AS9" s="25"/>
      <c r="AT9" s="25"/>
      <c r="AU9" s="25"/>
      <c r="AV9" s="25"/>
      <c r="BG9" s="25"/>
    </row>
    <row r="10" spans="2:62" ht="16.2" x14ac:dyDescent="0.3">
      <c r="B10" s="151" t="s">
        <v>701</v>
      </c>
      <c r="C10" s="217"/>
      <c r="D10" s="152"/>
      <c r="E10" s="293" t="s">
        <v>189</v>
      </c>
      <c r="F10" s="280"/>
      <c r="G10" s="280"/>
      <c r="H10" s="280"/>
      <c r="I10" s="280"/>
      <c r="J10" s="280"/>
      <c r="K10" s="281" t="s">
        <v>400</v>
      </c>
      <c r="L10" s="282" t="s">
        <v>401</v>
      </c>
      <c r="V10" s="3"/>
      <c r="W10" s="3"/>
      <c r="X10" s="3"/>
      <c r="Y10" s="3"/>
      <c r="AA10" s="3"/>
      <c r="AB10" s="3"/>
      <c r="AC10" s="3"/>
      <c r="AE10" s="68"/>
      <c r="AF10" s="65"/>
      <c r="AG10" s="65"/>
      <c r="AH10" s="65"/>
      <c r="AI10" s="65"/>
      <c r="AJ10" s="65"/>
      <c r="AK10" s="65"/>
      <c r="AL10" s="65"/>
      <c r="AM10" s="65"/>
      <c r="AN10" s="65"/>
      <c r="AO10" s="65"/>
      <c r="AR10" s="222" t="s">
        <v>403</v>
      </c>
      <c r="AS10" s="25">
        <v>0.34844000000000003</v>
      </c>
      <c r="AT10" s="223" t="s">
        <v>404</v>
      </c>
      <c r="AU10" s="25"/>
      <c r="AV10" s="25"/>
      <c r="BG10" s="25"/>
    </row>
    <row r="11" spans="2:62" ht="16.2" x14ac:dyDescent="0.3">
      <c r="C11" t="str">
        <f>CONCATENATE("Todo en [",unidad,"]")</f>
        <v>Todo en [psi]</v>
      </c>
      <c r="E11" s="283" t="s">
        <v>398</v>
      </c>
      <c r="F11" s="283"/>
      <c r="G11" s="284">
        <f>IF(E3="Digital",2,IF(AND(E3="Analógico",E7&lt;=0.02),3,2))</f>
        <v>3</v>
      </c>
      <c r="H11" s="280"/>
      <c r="I11" s="283" t="s">
        <v>399</v>
      </c>
      <c r="J11" s="283"/>
      <c r="K11" s="284">
        <f>IF(E3="Digital",0,IF(AND(E3="Analógico",E7&lt;=0.6),8,IF(AND(E3="Analógico",E7&gt;0.6,E7&lt;4),5,3)))</f>
        <v>8</v>
      </c>
      <c r="L11" s="285">
        <f>IF(E3="Analógico",0,IF(AND(E3="Digital",E7&lt;=0.1),15,IF(AND(E3="Digital",E7&gt;0.1,E7&lt;0.25),10,IF(AND(E3="Digital",E7&gt;=0.25,E7&lt;2),5,3))))</f>
        <v>0</v>
      </c>
      <c r="AE11" s="68" t="s">
        <v>172</v>
      </c>
      <c r="AF11" s="120" t="str">
        <f t="shared" ref="AF11:AO11" ca="1" si="0">IFERROR(AF7+(AF5-AF6)*(AF9-AF7)/(AF8-AF6),"")</f>
        <v/>
      </c>
      <c r="AG11" s="120" t="str">
        <f t="shared" ca="1" si="0"/>
        <v/>
      </c>
      <c r="AH11" s="120" t="str">
        <f t="shared" ca="1" si="0"/>
        <v/>
      </c>
      <c r="AI11" s="120" t="str">
        <f t="shared" ca="1" si="0"/>
        <v/>
      </c>
      <c r="AJ11" s="120" t="str">
        <f t="shared" ca="1" si="0"/>
        <v/>
      </c>
      <c r="AK11" s="120" t="str">
        <f t="shared" ca="1" si="0"/>
        <v/>
      </c>
      <c r="AL11" s="120" t="str">
        <f t="shared" ca="1" si="0"/>
        <v/>
      </c>
      <c r="AM11" s="120" t="str">
        <f t="shared" ca="1" si="0"/>
        <v/>
      </c>
      <c r="AN11" s="120" t="str">
        <f t="shared" ca="1" si="0"/>
        <v/>
      </c>
      <c r="AO11" s="120" t="str">
        <f t="shared" ca="1" si="0"/>
        <v/>
      </c>
      <c r="AR11" s="222" t="s">
        <v>405</v>
      </c>
      <c r="AS11" s="25">
        <v>-2.5200000000000001E-3</v>
      </c>
      <c r="AT11" s="223" t="s">
        <v>406</v>
      </c>
      <c r="AU11" s="25"/>
      <c r="AV11" s="25"/>
    </row>
    <row r="12" spans="2:62" ht="16.2" x14ac:dyDescent="0.3">
      <c r="C12" s="335" t="s">
        <v>316</v>
      </c>
      <c r="D12" s="335"/>
      <c r="E12" s="335"/>
      <c r="F12" s="335"/>
      <c r="G12" s="335" t="s">
        <v>315</v>
      </c>
      <c r="H12" s="335"/>
      <c r="I12" s="335"/>
      <c r="J12" s="335"/>
      <c r="K12" s="335" t="s">
        <v>317</v>
      </c>
      <c r="L12" s="335"/>
      <c r="M12" s="335"/>
      <c r="N12" s="335"/>
      <c r="AE12" s="28"/>
      <c r="AF12" s="3"/>
      <c r="AG12" s="3"/>
      <c r="AH12" s="3"/>
      <c r="AI12" s="3"/>
      <c r="AJ12" s="3"/>
      <c r="AK12" s="3"/>
      <c r="AR12" s="222" t="s">
        <v>407</v>
      </c>
      <c r="AS12" s="25">
        <v>2.0582E-2</v>
      </c>
      <c r="AT12" s="223" t="s">
        <v>408</v>
      </c>
      <c r="AU12" s="25"/>
      <c r="AV12" s="25"/>
    </row>
    <row r="13" spans="2:62" x14ac:dyDescent="0.3">
      <c r="B13" s="183" t="s">
        <v>31</v>
      </c>
      <c r="C13" s="334" t="s">
        <v>318</v>
      </c>
      <c r="D13" s="334"/>
      <c r="E13" s="334" t="s">
        <v>319</v>
      </c>
      <c r="F13" s="334"/>
      <c r="G13" s="334" t="s">
        <v>320</v>
      </c>
      <c r="H13" s="334"/>
      <c r="I13" s="334" t="s">
        <v>321</v>
      </c>
      <c r="J13" s="334"/>
      <c r="K13" s="334" t="s">
        <v>322</v>
      </c>
      <c r="L13" s="334"/>
      <c r="M13" s="334" t="s">
        <v>323</v>
      </c>
      <c r="N13" s="334"/>
      <c r="S13" s="15" t="str">
        <f>CONCATENATE("Todo en [",unidad,"]")</f>
        <v>Todo en [psi]</v>
      </c>
      <c r="T13" s="15"/>
      <c r="U13" s="48" t="s">
        <v>267</v>
      </c>
      <c r="Y13" s="48" t="s">
        <v>337</v>
      </c>
      <c r="Z13" s="181" t="s">
        <v>337</v>
      </c>
      <c r="AR13" s="25"/>
      <c r="AS13" s="25"/>
      <c r="AT13" s="25"/>
      <c r="AU13" s="25"/>
      <c r="AV13" s="25"/>
    </row>
    <row r="14" spans="2:62" ht="43.2" x14ac:dyDescent="0.3">
      <c r="B14" s="29" t="s">
        <v>102</v>
      </c>
      <c r="C14" s="119" t="s">
        <v>121</v>
      </c>
      <c r="D14" s="119" t="s">
        <v>98</v>
      </c>
      <c r="E14" s="119" t="s">
        <v>121</v>
      </c>
      <c r="F14" s="119" t="s">
        <v>98</v>
      </c>
      <c r="G14" s="119" t="s">
        <v>121</v>
      </c>
      <c r="H14" s="119" t="s">
        <v>98</v>
      </c>
      <c r="I14" s="119" t="s">
        <v>121</v>
      </c>
      <c r="J14" s="119" t="s">
        <v>98</v>
      </c>
      <c r="K14" s="119" t="s">
        <v>121</v>
      </c>
      <c r="L14" s="119" t="s">
        <v>98</v>
      </c>
      <c r="M14" s="119" t="s">
        <v>121</v>
      </c>
      <c r="N14" s="193" t="s">
        <v>98</v>
      </c>
      <c r="O14" s="194" t="s">
        <v>348</v>
      </c>
      <c r="P14" s="119" t="s">
        <v>349</v>
      </c>
      <c r="Q14" s="119" t="s">
        <v>388</v>
      </c>
      <c r="S14" s="78" t="s">
        <v>102</v>
      </c>
      <c r="T14" s="79" t="s">
        <v>122</v>
      </c>
      <c r="U14" s="80" t="s">
        <v>269</v>
      </c>
      <c r="V14" s="146" t="s">
        <v>123</v>
      </c>
      <c r="W14" s="146" t="s">
        <v>124</v>
      </c>
      <c r="X14" s="146" t="s">
        <v>239</v>
      </c>
      <c r="Y14" s="80" t="s">
        <v>268</v>
      </c>
      <c r="Z14" s="146" t="s">
        <v>160</v>
      </c>
      <c r="AA14" s="146" t="s">
        <v>266</v>
      </c>
      <c r="AB14" s="146" t="s">
        <v>265</v>
      </c>
      <c r="AE14" s="15" t="s">
        <v>392</v>
      </c>
      <c r="AF14" s="15"/>
      <c r="AG14" s="15"/>
      <c r="AH14" s="15"/>
      <c r="AI14" s="15" t="str">
        <f>CONCATENATE("[Todo en ", unidad,"]")</f>
        <v>[Todo en psi]</v>
      </c>
      <c r="AJ14" s="15"/>
    </row>
    <row r="15" spans="2:62" x14ac:dyDescent="0.3">
      <c r="B15" s="20">
        <v>1</v>
      </c>
      <c r="C15" s="221"/>
      <c r="D15" s="221"/>
      <c r="E15" s="221"/>
      <c r="F15" s="221"/>
      <c r="G15" s="221"/>
      <c r="H15" s="221"/>
      <c r="I15" s="221"/>
      <c r="J15" s="221"/>
      <c r="K15" s="198"/>
      <c r="L15" s="198"/>
      <c r="M15" s="198"/>
      <c r="N15" s="198"/>
      <c r="O15" s="199">
        <f>IF($E$3="Analógico",(MAX(ABS(C15-E15),ABS(G15-I15),ABS(K15-M15))),(MAX(ABS(D15-F15),ABS(H15-J15),ABS(L15-N15))))</f>
        <v>0</v>
      </c>
      <c r="P15" s="200" t="e">
        <f>IF($E$3="Analógico",STDEVA(C15,E15,G15,I15,K15,M15),STDEVA(D15,F15,H15,J15,L15,N15))</f>
        <v>#DIV/0!</v>
      </c>
      <c r="Q15" s="212">
        <f>($E$7)*$E$6</f>
        <v>1</v>
      </c>
      <c r="S15" s="66">
        <v>1</v>
      </c>
      <c r="T15" s="45" t="str">
        <f ca="1">IFERROR(AVERAGEIFS(C15:N15,OFFSET($C$15:$N$15,-1,0),"=Patrón",C15:N15,"&lt;&gt;0"),"")</f>
        <v/>
      </c>
      <c r="U15" s="46" t="str">
        <f ca="1">IF(tblResultCalib[[#This Row],[Promedio Patrón]]="","",IFERROR(IF(OFFSET($AF$11,0,tblResultCalib[[#This Row],['#]]-1)="",TREND($U$37:OFFSET($U$37,NumPuntosCalib-1,0),$T$37:OFFSET($T$37,NumPuntosCalib-1,0),T15),OFFSET($AF$11,0,tblResultCalib[[#This Row],['#]]-1)),0)+IFERROR(IF(OFFSET($AF$44,0,tblResultCalib[[#This Row],['#]]-1)="",TREND($AA$37:OFFSET($AA$37,NumPuntosCalib2-1,0),$Z$37:OFFSET($Z$37,NumPuntosCalib2-1,0),T15),OFFSET($AF$44,0,tblResultCalib[[#This Row],['#]]-1)),0))</f>
        <v/>
      </c>
      <c r="V15" s="248" t="str">
        <f ca="1">IFERROR(tblResultCalib[[#This Row],[Promedio Patrón]]+tblResultCalib[[#This Row],[Corrección patrón]],"")</f>
        <v/>
      </c>
      <c r="W15" s="148" t="str">
        <f t="shared" ref="W15:W29" ca="1" si="1">IFERROR(AVERAGEIFS(C15:N15,OFFSET($C$15:$N$15,-1,0),"=Equipo",C15:N15,"&lt;&gt;0"),"")</f>
        <v/>
      </c>
      <c r="X15" s="144" t="str">
        <f ca="1">IFERROR(tblResultCalib[[#This Row],[Patrón corregido]]-tblResultCalib[[#This Row],[Promedio equipo]],"")</f>
        <v/>
      </c>
      <c r="Y15" s="144" t="str">
        <f ca="1">IF(tblResultCalib[[#This Row],[Promedio Patrón]]="","",SQRT(SUMSQ(IFERROR(IF(OFFSET($AF$22,0,tblResultCalib[[#This Row],['#]]-1)="",TREND($V$37:OFFSET($V$37,NumPuntosCalib-1,0),$T$37:OFFSET($T$37,NumPuntosCalib-1,0),T15),OFFSET($AF$22,0,tblResultCalib[[#This Row],['#]]-1)),0),IFERROR(IF(OFFSET($AF$55,0,tblResultCalib[[#This Row],['#]]-1)="",TREND($AB$37:OFFSET($AB$37,NumPuntosCalib2-1,0),$Z$37:OFFSET($Z$37,NumPuntosCalib2-1,0),T15),OFFSET($AF$55,0,tblResultCalib[[#This Row],['#]]-1)),0))))</f>
        <v/>
      </c>
      <c r="Z15" s="144" t="str">
        <f ca="1">IF(tblResultCalib[[#This Row],[Promedio Patrón]]="","",IFERROR(IF(OFFSET($AF$33,0,tblResultCalib[[#This Row],['#]]-1)="",TREND($W$37:OFFSET($W$37,NumPuntosCalib-1,0),$T$37:OFFSET($T$37,NumPuntosCalib-1,0),T15),OFFSET($AF$33,0,tblResultCalib[[#This Row],['#]]-1)),0)+IFERROR(IF(OFFSET($AF$66,0,tblResultCalib[[#This Row],['#]]-1)="",TREND($AC$37:OFFSET($AC$37,NumPuntosCalib2-1,0),$Z$37:OFFSET($Z$37,NumPuntosCalib2-1,0),T15),OFFSET($AF$66,0,tblResultCalib[[#This Row],['#]]-1)),0))</f>
        <v/>
      </c>
      <c r="AA1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16" spans="2:62" x14ac:dyDescent="0.3">
      <c r="B16" s="20">
        <v>2</v>
      </c>
      <c r="C16" s="221"/>
      <c r="D16" s="221"/>
      <c r="E16" s="221"/>
      <c r="F16" s="221"/>
      <c r="G16" s="221"/>
      <c r="H16" s="221"/>
      <c r="I16" s="221"/>
      <c r="J16" s="221"/>
      <c r="K16" s="198"/>
      <c r="L16" s="198"/>
      <c r="M16" s="198"/>
      <c r="N16" s="198"/>
      <c r="O16" s="199">
        <f t="shared" ref="O16:O29" si="2">IF($E$3="Analógico",(MAX(ABS(C16-E16),ABS(G16-I16),ABS(K16-M16))),(MAX(ABS(D16-F16),ABS(H16-J16),ABS(L16-N16))))</f>
        <v>0</v>
      </c>
      <c r="P16" s="200" t="e">
        <f t="shared" ref="P16:P29" si="3">IF($E$3="Analógico",STDEVA(C16,E16,G16,I16,K16,M16),STDEVA(D16,F16,H16,J16,L16,N16))</f>
        <v>#DIV/0!</v>
      </c>
      <c r="Q16" s="212">
        <f t="shared" ref="Q16:Q29" si="4">($E$7)*$E$6</f>
        <v>1</v>
      </c>
      <c r="S16" s="66">
        <v>2</v>
      </c>
      <c r="T16" s="45" t="str">
        <f t="shared" ref="T16:T29" ca="1" si="5">IFERROR(AVERAGEIFS(C16:N16,OFFSET($C$15:$N$15,-1,0),"=Patrón",C16:N16,"&lt;&gt;0"),"")</f>
        <v/>
      </c>
      <c r="U16" s="46" t="str">
        <f ca="1">IF(tblResultCalib[[#This Row],[Promedio Patrón]]="","",IFERROR(IF(OFFSET($AF$11,0,tblResultCalib[[#This Row],['#]]-1)="",TREND($U$37:OFFSET($U$37,NumPuntosCalib-1,0),$T$37:OFFSET($T$37,NumPuntosCalib-1,0),T16),OFFSET($AF$11,0,tblResultCalib[[#This Row],['#]]-1)),0)+IFERROR(IF(OFFSET($AF$44,0,tblResultCalib[[#This Row],['#]]-1)="",TREND($AA$37:OFFSET($AA$37,NumPuntosCalib2-1,0),$Z$37:OFFSET($Z$37,NumPuntosCalib2-1,0),T16),OFFSET($AF$44,0,tblResultCalib[[#This Row],['#]]-1)),0))</f>
        <v/>
      </c>
      <c r="V16" s="249" t="str">
        <f ca="1">IFERROR(tblResultCalib[[#This Row],[Promedio Patrón]]+tblResultCalib[[#This Row],[Corrección patrón]],"")</f>
        <v/>
      </c>
      <c r="W16" s="149" t="str">
        <f t="shared" ca="1" si="1"/>
        <v/>
      </c>
      <c r="X16" s="143" t="str">
        <f ca="1">IFERROR(tblResultCalib[[#This Row],[Patrón corregido]]-tblResultCalib[[#This Row],[Promedio equipo]],"")</f>
        <v/>
      </c>
      <c r="Y16" s="144" t="str">
        <f ca="1">IF(tblResultCalib[[#This Row],[Promedio Patrón]]="","",SQRT(SUMSQ(IFERROR(IF(OFFSET($AF$22,0,tblResultCalib[[#This Row],['#]]-1)="",TREND($V$37:OFFSET($V$37,NumPuntosCalib-1,0),$T$37:OFFSET($T$37,NumPuntosCalib-1,0),T16),OFFSET($AF$22,0,tblResultCalib[[#This Row],['#]]-1)),0),IFERROR(IF(OFFSET($AF$55,0,tblResultCalib[[#This Row],['#]]-1)="",TREND($AB$37:OFFSET($AB$37,NumPuntosCalib2-1,0),$Z$37:OFFSET($Z$37,NumPuntosCalib2-1,0),T16),OFFSET($AF$55,0,tblResultCalib[[#This Row],['#]]-1)),0))))</f>
        <v/>
      </c>
      <c r="Z16" s="144" t="str">
        <f ca="1">IF(tblResultCalib[[#This Row],[Promedio Patrón]]="","",IFERROR(IF(OFFSET($AF$33,0,tblResultCalib[[#This Row],['#]]-1)="",TREND($W$37:OFFSET($W$37,NumPuntosCalib-1,0),$T$37:OFFSET($T$37,NumPuntosCalib-1,0),T16),OFFSET($AF$33,0,tblResultCalib[[#This Row],['#]]-1)),0)+IFERROR(IF(OFFSET($AF$66,0,tblResultCalib[[#This Row],['#]]-1)="",TREND($AC$37:OFFSET($AC$37,NumPuntosCalib2-1,0),$Z$37:OFFSET($Z$37,NumPuntosCalib2-1,0),T16),OFFSET($AF$66,0,tblResultCalib[[#This Row],['#]]-1)),0))</f>
        <v/>
      </c>
      <c r="AA1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6" s="47" t="s">
        <v>173</v>
      </c>
      <c r="AF16" s="47">
        <v>1</v>
      </c>
      <c r="AG16" s="47">
        <v>2</v>
      </c>
      <c r="AH16" s="47">
        <v>3</v>
      </c>
      <c r="AI16" s="47">
        <v>4</v>
      </c>
      <c r="AJ16" s="47">
        <v>5</v>
      </c>
      <c r="AK16" s="47">
        <v>6</v>
      </c>
      <c r="AL16" s="47">
        <v>7</v>
      </c>
      <c r="AM16" s="47">
        <v>8</v>
      </c>
      <c r="AN16" s="47">
        <v>9</v>
      </c>
      <c r="AO16" s="47">
        <v>10</v>
      </c>
    </row>
    <row r="17" spans="2:41" x14ac:dyDescent="0.3">
      <c r="B17" s="20">
        <v>3</v>
      </c>
      <c r="C17" s="221"/>
      <c r="D17" s="221"/>
      <c r="E17" s="221"/>
      <c r="F17" s="221"/>
      <c r="G17" s="221"/>
      <c r="H17" s="221"/>
      <c r="I17" s="221"/>
      <c r="J17" s="221"/>
      <c r="K17" s="198"/>
      <c r="L17" s="198"/>
      <c r="M17" s="198"/>
      <c r="N17" s="198"/>
      <c r="O17" s="199">
        <f t="shared" si="2"/>
        <v>0</v>
      </c>
      <c r="P17" s="200" t="e">
        <f t="shared" si="3"/>
        <v>#DIV/0!</v>
      </c>
      <c r="Q17" s="212">
        <f t="shared" si="4"/>
        <v>1</v>
      </c>
      <c r="S17" s="66">
        <v>3</v>
      </c>
      <c r="T17" s="45" t="str">
        <f t="shared" ca="1" si="5"/>
        <v/>
      </c>
      <c r="U17" s="46" t="str">
        <f ca="1">IF(tblResultCalib[[#This Row],[Promedio Patrón]]="","",IFERROR(IF(OFFSET($AF$11,0,tblResultCalib[[#This Row],['#]]-1)="",TREND($U$37:OFFSET($U$37,NumPuntosCalib-1,0),$T$37:OFFSET($T$37,NumPuntosCalib-1,0),T17),OFFSET($AF$11,0,tblResultCalib[[#This Row],['#]]-1)),0)+IFERROR(IF(OFFSET($AF$44,0,tblResultCalib[[#This Row],['#]]-1)="",TREND($AA$37:OFFSET($AA$37,NumPuntosCalib2-1,0),$Z$37:OFFSET($Z$37,NumPuntosCalib2-1,0),T17),OFFSET($AF$44,0,tblResultCalib[[#This Row],['#]]-1)),0))</f>
        <v/>
      </c>
      <c r="V17" s="249" t="str">
        <f ca="1">IFERROR(tblResultCalib[[#This Row],[Promedio Patrón]]+tblResultCalib[[#This Row],[Corrección patrón]],"")</f>
        <v/>
      </c>
      <c r="W17" s="149" t="str">
        <f t="shared" ca="1" si="1"/>
        <v/>
      </c>
      <c r="X17" s="143" t="str">
        <f ca="1">IFERROR(tblResultCalib[[#This Row],[Patrón corregido]]-tblResultCalib[[#This Row],[Promedio equipo]],"")</f>
        <v/>
      </c>
      <c r="Y17" s="144" t="str">
        <f ca="1">IF(tblResultCalib[[#This Row],[Promedio Patrón]]="","",SQRT(SUMSQ(IFERROR(IF(OFFSET($AF$22,0,tblResultCalib[[#This Row],['#]]-1)="",TREND($V$37:OFFSET($V$37,NumPuntosCalib-1,0),$T$37:OFFSET($T$37,NumPuntosCalib-1,0),T17),OFFSET($AF$22,0,tblResultCalib[[#This Row],['#]]-1)),0),IFERROR(IF(OFFSET($AF$55,0,tblResultCalib[[#This Row],['#]]-1)="",TREND($AB$37:OFFSET($AB$37,NumPuntosCalib2-1,0),$Z$37:OFFSET($Z$37,NumPuntosCalib2-1,0),T17),OFFSET($AF$55,0,tblResultCalib[[#This Row],['#]]-1)),0))))</f>
        <v/>
      </c>
      <c r="Z17" s="144" t="str">
        <f ca="1">IF(tblResultCalib[[#This Row],[Promedio Patrón]]="","",IFERROR(IF(OFFSET($AF$33,0,tblResultCalib[[#This Row],['#]]-1)="",TREND($W$37:OFFSET($W$37,NumPuntosCalib-1,0),$T$37:OFFSET($T$37,NumPuntosCalib-1,0),T17),OFFSET($AF$33,0,tblResultCalib[[#This Row],['#]]-1)),0)+IFERROR(IF(OFFSET($AF$66,0,tblResultCalib[[#This Row],['#]]-1)="",TREND($AC$37:OFFSET($AC$37,NumPuntosCalib2-1,0),$Z$37:OFFSET($Z$37,NumPuntosCalib2-1,0),T17),OFFSET($AF$66,0,tblResultCalib[[#This Row],['#]]-1)),0))</f>
        <v/>
      </c>
      <c r="AA1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7" s="68" t="s">
        <v>167</v>
      </c>
      <c r="AF17" s="69" t="str">
        <f t="array" aca="1" ref="AF17:AO17" ca="1">TRANSPOSE($T$15:$T$29)</f>
        <v/>
      </c>
      <c r="AG17" s="69" t="str">
        <f ca="1"/>
        <v/>
      </c>
      <c r="AH17" s="69" t="str">
        <f ca="1"/>
        <v/>
      </c>
      <c r="AI17" s="69" t="str">
        <f ca="1"/>
        <v/>
      </c>
      <c r="AJ17" s="69" t="str">
        <f ca="1"/>
        <v/>
      </c>
      <c r="AK17" s="69" t="str">
        <f ca="1"/>
        <v/>
      </c>
      <c r="AL17" s="64" t="str">
        <f ca="1"/>
        <v/>
      </c>
      <c r="AM17" s="64" t="str">
        <f ca="1"/>
        <v/>
      </c>
      <c r="AN17" s="64" t="str">
        <f ca="1"/>
        <v/>
      </c>
      <c r="AO17" s="64" t="str">
        <f ca="1"/>
        <v/>
      </c>
    </row>
    <row r="18" spans="2:41" x14ac:dyDescent="0.3">
      <c r="B18" s="20">
        <v>4</v>
      </c>
      <c r="C18" s="221"/>
      <c r="D18" s="221"/>
      <c r="E18" s="221"/>
      <c r="F18" s="221"/>
      <c r="G18" s="221"/>
      <c r="H18" s="221"/>
      <c r="I18" s="221"/>
      <c r="J18" s="221"/>
      <c r="K18" s="198"/>
      <c r="L18" s="198"/>
      <c r="M18" s="198"/>
      <c r="N18" s="198"/>
      <c r="O18" s="199">
        <f t="shared" si="2"/>
        <v>0</v>
      </c>
      <c r="P18" s="200" t="e">
        <f t="shared" si="3"/>
        <v>#DIV/0!</v>
      </c>
      <c r="Q18" s="212">
        <f t="shared" si="4"/>
        <v>1</v>
      </c>
      <c r="S18" s="66">
        <v>4</v>
      </c>
      <c r="T18" s="45" t="str">
        <f t="shared" ca="1" si="5"/>
        <v/>
      </c>
      <c r="U18" s="46" t="str">
        <f ca="1">IF(tblResultCalib[[#This Row],[Promedio Patrón]]="","",IFERROR(IF(OFFSET($AF$11,0,tblResultCalib[[#This Row],['#]]-1)="",TREND($U$37:OFFSET($U$37,NumPuntosCalib-1,0),$T$37:OFFSET($T$37,NumPuntosCalib-1,0),T18),OFFSET($AF$11,0,tblResultCalib[[#This Row],['#]]-1)),0)+IFERROR(IF(OFFSET($AF$44,0,tblResultCalib[[#This Row],['#]]-1)="",TREND($AA$37:OFFSET($AA$37,NumPuntosCalib2-1,0),$Z$37:OFFSET($Z$37,NumPuntosCalib2-1,0),T18),OFFSET($AF$44,0,tblResultCalib[[#This Row],['#]]-1)),0))</f>
        <v/>
      </c>
      <c r="V18" s="249" t="str">
        <f ca="1">IFERROR(tblResultCalib[[#This Row],[Promedio Patrón]]+tblResultCalib[[#This Row],[Corrección patrón]],"")</f>
        <v/>
      </c>
      <c r="W18" s="149" t="str">
        <f t="shared" ca="1" si="1"/>
        <v/>
      </c>
      <c r="X18" s="143" t="str">
        <f ca="1">IFERROR(tblResultCalib[[#This Row],[Patrón corregido]]-tblResultCalib[[#This Row],[Promedio equipo]],"")</f>
        <v/>
      </c>
      <c r="Y18" s="144" t="str">
        <f ca="1">IF(tblResultCalib[[#This Row],[Promedio Patrón]]="","",SQRT(SUMSQ(IFERROR(IF(OFFSET($AF$22,0,tblResultCalib[[#This Row],['#]]-1)="",TREND($V$37:OFFSET($V$37,NumPuntosCalib-1,0),$T$37:OFFSET($T$37,NumPuntosCalib-1,0),T18),OFFSET($AF$22,0,tblResultCalib[[#This Row],['#]]-1)),0),IFERROR(IF(OFFSET($AF$55,0,tblResultCalib[[#This Row],['#]]-1)="",TREND($AB$37:OFFSET($AB$37,NumPuntosCalib2-1,0),$Z$37:OFFSET($Z$37,NumPuntosCalib2-1,0),T18),OFFSET($AF$55,0,tblResultCalib[[#This Row],['#]]-1)),0))))</f>
        <v/>
      </c>
      <c r="Z18" s="144" t="str">
        <f ca="1">IF(tblResultCalib[[#This Row],[Promedio Patrón]]="","",IFERROR(IF(OFFSET($AF$33,0,tblResultCalib[[#This Row],['#]]-1)="",TREND($W$37:OFFSET($W$37,NumPuntosCalib-1,0),$T$37:OFFSET($T$37,NumPuntosCalib-1,0),T18),OFFSET($AF$33,0,tblResultCalib[[#This Row],['#]]-1)),0)+IFERROR(IF(OFFSET($AF$66,0,tblResultCalib[[#This Row],['#]]-1)="",TREND($AC$37:OFFSET($AC$37,NumPuntosCalib2-1,0),$Z$37:OFFSET($Z$37,NumPuntosCalib2-1,0),T18),OFFSET($AF$66,0,tblResultCalib[[#This Row],['#]]-1)),0))</f>
        <v/>
      </c>
      <c r="AA1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8" s="68" t="s">
        <v>168</v>
      </c>
      <c r="AF18" s="65" t="str">
        <f ca="1">IFERROR(INDEX($T$37:$T$51,MATCH(AF$17,$T$37:OFFSET($T$37,NumPuntosCalib-1,0),1)),"")</f>
        <v/>
      </c>
      <c r="AG18" s="65" t="str">
        <f ca="1">IFERROR(INDEX($T$37:$T$51,MATCH(AG$17,$T$37:OFFSET($T$37,NumPuntosCalib-1,0),1)),"")</f>
        <v/>
      </c>
      <c r="AH18" s="65" t="str">
        <f ca="1">IFERROR(INDEX($T$37:$T$51,MATCH(AH$17,$T$37:OFFSET($T$37,NumPuntosCalib-1,0),1)),"")</f>
        <v/>
      </c>
      <c r="AI18" s="65" t="str">
        <f ca="1">IFERROR(INDEX($T$37:$T$51,MATCH(AI$17,$T$37:OFFSET($T$37,NumPuntosCalib-1,0),1)),"")</f>
        <v/>
      </c>
      <c r="AJ18" s="65" t="str">
        <f ca="1">IFERROR(INDEX($T$37:$T$51,MATCH(AJ$17,$T$37:OFFSET($T$37,NumPuntosCalib-1,0),1)),"")</f>
        <v/>
      </c>
      <c r="AK18" s="65" t="str">
        <f ca="1">IFERROR(INDEX($T$37:$T$51,MATCH(AK$17,$T$37:OFFSET($T$37,NumPuntosCalib-1,0),1)),"")</f>
        <v/>
      </c>
      <c r="AL18" s="65" t="str">
        <f ca="1">IFERROR(INDEX($T$37:$T$51,MATCH(AL$17,$T$37:OFFSET($T$37,NumPuntosCalib-1,0),1)),"")</f>
        <v/>
      </c>
      <c r="AM18" s="65" t="str">
        <f ca="1">IFERROR(INDEX($T$37:$T$51,MATCH(AM$17,$T$37:OFFSET($T$37,NumPuntosCalib-1,0),1)),"")</f>
        <v/>
      </c>
      <c r="AN18" s="65" t="str">
        <f ca="1">IFERROR(INDEX($T$37:$T$51,MATCH(AN$17,$T$37:OFFSET($T$37,NumPuntosCalib-1,0),1)),"")</f>
        <v/>
      </c>
      <c r="AO18" s="65" t="str">
        <f ca="1">IFERROR(INDEX($T$37:$T$51,MATCH(AO$17,$T$37:OFFSET($T$37,NumPuntosCalib-1,0),1)),"")</f>
        <v/>
      </c>
    </row>
    <row r="19" spans="2:41" x14ac:dyDescent="0.3">
      <c r="B19" s="20">
        <v>5</v>
      </c>
      <c r="C19" s="221"/>
      <c r="D19" s="221"/>
      <c r="E19" s="221"/>
      <c r="F19" s="221"/>
      <c r="G19" s="221"/>
      <c r="H19" s="221"/>
      <c r="I19" s="221"/>
      <c r="J19" s="221"/>
      <c r="K19" s="198"/>
      <c r="L19" s="198"/>
      <c r="M19" s="198"/>
      <c r="N19" s="198"/>
      <c r="O19" s="199">
        <f t="shared" si="2"/>
        <v>0</v>
      </c>
      <c r="P19" s="200" t="e">
        <f t="shared" si="3"/>
        <v>#DIV/0!</v>
      </c>
      <c r="Q19" s="212">
        <f t="shared" si="4"/>
        <v>1</v>
      </c>
      <c r="S19" s="66">
        <v>5</v>
      </c>
      <c r="T19" s="45" t="str">
        <f t="shared" ca="1" si="5"/>
        <v/>
      </c>
      <c r="U19" s="46" t="str">
        <f ca="1">IF(tblResultCalib[[#This Row],[Promedio Patrón]]="","",IFERROR(IF(OFFSET($AF$11,0,tblResultCalib[[#This Row],['#]]-1)="",TREND($U$37:OFFSET($U$37,NumPuntosCalib-1,0),$T$37:OFFSET($T$37,NumPuntosCalib-1,0),T19),OFFSET($AF$11,0,tblResultCalib[[#This Row],['#]]-1)),0)+IFERROR(IF(OFFSET($AF$44,0,tblResultCalib[[#This Row],['#]]-1)="",TREND($AA$37:OFFSET($AA$37,NumPuntosCalib2-1,0),$Z$37:OFFSET($Z$37,NumPuntosCalib2-1,0),T19),OFFSET($AF$44,0,tblResultCalib[[#This Row],['#]]-1)),0))</f>
        <v/>
      </c>
      <c r="V19" s="249" t="str">
        <f ca="1">IFERROR(tblResultCalib[[#This Row],[Promedio Patrón]]+tblResultCalib[[#This Row],[Corrección patrón]],"")</f>
        <v/>
      </c>
      <c r="W19" s="149" t="str">
        <f t="shared" ca="1" si="1"/>
        <v/>
      </c>
      <c r="X19" s="143" t="str">
        <f ca="1">IFERROR(tblResultCalib[[#This Row],[Patrón corregido]]-tblResultCalib[[#This Row],[Promedio equipo]],"")</f>
        <v/>
      </c>
      <c r="Y19" s="144" t="str">
        <f ca="1">IF(tblResultCalib[[#This Row],[Promedio Patrón]]="","",SQRT(SUMSQ(IFERROR(IF(OFFSET($AF$22,0,tblResultCalib[[#This Row],['#]]-1)="",TREND($V$37:OFFSET($V$37,NumPuntosCalib-1,0),$T$37:OFFSET($T$37,NumPuntosCalib-1,0),T19),OFFSET($AF$22,0,tblResultCalib[[#This Row],['#]]-1)),0),IFERROR(IF(OFFSET($AF$55,0,tblResultCalib[[#This Row],['#]]-1)="",TREND($AB$37:OFFSET($AB$37,NumPuntosCalib2-1,0),$Z$37:OFFSET($Z$37,NumPuntosCalib2-1,0),T19),OFFSET($AF$55,0,tblResultCalib[[#This Row],['#]]-1)),0))))</f>
        <v/>
      </c>
      <c r="Z19" s="144" t="str">
        <f ca="1">IF(tblResultCalib[[#This Row],[Promedio Patrón]]="","",IFERROR(IF(OFFSET($AF$33,0,tblResultCalib[[#This Row],['#]]-1)="",TREND($W$37:OFFSET($W$37,NumPuntosCalib-1,0),$T$37:OFFSET($T$37,NumPuntosCalib-1,0),T19),OFFSET($AF$33,0,tblResultCalib[[#This Row],['#]]-1)),0)+IFERROR(IF(OFFSET($AF$66,0,tblResultCalib[[#This Row],['#]]-1)="",TREND($AC$37:OFFSET($AC$37,NumPuntosCalib2-1,0),$Z$37:OFFSET($Z$37,NumPuntosCalib2-1,0),T19),OFFSET($AF$66,0,tblResultCalib[[#This Row],['#]]-1)),0))</f>
        <v/>
      </c>
      <c r="AA1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1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19" s="68" t="s">
        <v>170</v>
      </c>
      <c r="AF19" s="65" t="str">
        <f ca="1">IFERROR(INDEX($V$37:$V$51,MATCH(AF$17,$T$37:OFFSET($T$37,NumPuntosCalib-1,0),1)),"")</f>
        <v/>
      </c>
      <c r="AG19" s="65" t="str">
        <f ca="1">IFERROR(INDEX($V$37:$V$51,MATCH(AG$17,$T$37:OFFSET($T$37,NumPuntosCalib-1,0),1)),"")</f>
        <v/>
      </c>
      <c r="AH19" s="65" t="str">
        <f ca="1">IFERROR(INDEX($V$37:$V$51,MATCH(AH$17,$T$37:OFFSET($T$37,NumPuntosCalib-1,0),1)),"")</f>
        <v/>
      </c>
      <c r="AI19" s="65" t="str">
        <f ca="1">IFERROR(INDEX($V$37:$V$51,MATCH(AI$17,$T$37:OFFSET($T$37,NumPuntosCalib-1,0),1)),"")</f>
        <v/>
      </c>
      <c r="AJ19" s="65" t="str">
        <f ca="1">IFERROR(INDEX($V$37:$V$51,MATCH(AJ$17,$T$37:OFFSET($T$37,NumPuntosCalib-1,0),1)),"")</f>
        <v/>
      </c>
      <c r="AK19" s="65" t="str">
        <f ca="1">IFERROR(INDEX($V$37:$V$51,MATCH(AK$17,$T$37:OFFSET($T$37,NumPuntosCalib-1,0),1)),"")</f>
        <v/>
      </c>
      <c r="AL19" s="65" t="str">
        <f ca="1">IFERROR(INDEX($V$37:$V$51,MATCH(AL$17,$T$37:OFFSET($T$37,NumPuntosCalib-1,0),1)),"")</f>
        <v/>
      </c>
      <c r="AM19" s="65" t="str">
        <f ca="1">IFERROR(INDEX($V$37:$V$51,MATCH(AM$17,$T$37:OFFSET($T$37,NumPuntosCalib-1,0),1)),"")</f>
        <v/>
      </c>
      <c r="AN19" s="65" t="str">
        <f ca="1">IFERROR(INDEX($V$37:$V$51,MATCH(AN$17,$T$37:OFFSET($T$37,NumPuntosCalib-1,0),1)),"")</f>
        <v/>
      </c>
      <c r="AO19" s="65" t="str">
        <f ca="1">IFERROR(INDEX($V$37:$V$51,MATCH(AO$17,$T$37:OFFSET($T$37,NumPuntosCalib-1,0),1)),"")</f>
        <v/>
      </c>
    </row>
    <row r="20" spans="2:41" ht="14.4" customHeight="1" x14ac:dyDescent="0.3">
      <c r="B20" s="20">
        <v>6</v>
      </c>
      <c r="C20" s="221"/>
      <c r="D20" s="221"/>
      <c r="E20" s="221"/>
      <c r="F20" s="221"/>
      <c r="G20" s="221"/>
      <c r="H20" s="221"/>
      <c r="I20" s="221"/>
      <c r="J20" s="221"/>
      <c r="K20" s="198"/>
      <c r="L20" s="198"/>
      <c r="M20" s="198"/>
      <c r="N20" s="198"/>
      <c r="O20" s="199">
        <f t="shared" si="2"/>
        <v>0</v>
      </c>
      <c r="P20" s="200" t="e">
        <f t="shared" si="3"/>
        <v>#DIV/0!</v>
      </c>
      <c r="Q20" s="212">
        <f t="shared" si="4"/>
        <v>1</v>
      </c>
      <c r="S20" s="66">
        <v>6</v>
      </c>
      <c r="T20" s="45" t="str">
        <f t="shared" ca="1" si="5"/>
        <v/>
      </c>
      <c r="U20" s="46" t="str">
        <f ca="1">IF(tblResultCalib[[#This Row],[Promedio Patrón]]="","",IFERROR(IF(OFFSET($AF$11,0,tblResultCalib[[#This Row],['#]]-1)="",TREND($U$37:OFFSET($U$37,NumPuntosCalib-1,0),$T$37:OFFSET($T$37,NumPuntosCalib-1,0),T20),OFFSET($AF$11,0,tblResultCalib[[#This Row],['#]]-1)),0)+IFERROR(IF(OFFSET($AF$44,0,tblResultCalib[[#This Row],['#]]-1)="",TREND($AA$37:OFFSET($AA$37,NumPuntosCalib2-1,0),$Z$37:OFFSET($Z$37,NumPuntosCalib2-1,0),T20),OFFSET($AF$44,0,tblResultCalib[[#This Row],['#]]-1)),0))</f>
        <v/>
      </c>
      <c r="V20" s="249" t="str">
        <f ca="1">IFERROR(tblResultCalib[[#This Row],[Promedio Patrón]]+tblResultCalib[[#This Row],[Corrección patrón]],"")</f>
        <v/>
      </c>
      <c r="W20" s="149" t="str">
        <f t="shared" ca="1" si="1"/>
        <v/>
      </c>
      <c r="X20" s="143" t="str">
        <f ca="1">IFERROR(tblResultCalib[[#This Row],[Patrón corregido]]-tblResultCalib[[#This Row],[Promedio equipo]],"")</f>
        <v/>
      </c>
      <c r="Y20" s="144" t="str">
        <f ca="1">IF(tblResultCalib[[#This Row],[Promedio Patrón]]="","",SQRT(SUMSQ(IFERROR(IF(OFFSET($AF$22,0,tblResultCalib[[#This Row],['#]]-1)="",TREND($V$37:OFFSET($V$37,NumPuntosCalib-1,0),$T$37:OFFSET($T$37,NumPuntosCalib-1,0),T20),OFFSET($AF$22,0,tblResultCalib[[#This Row],['#]]-1)),0),IFERROR(IF(OFFSET($AF$55,0,tblResultCalib[[#This Row],['#]]-1)="",TREND($AB$37:OFFSET($AB$37,NumPuntosCalib2-1,0),$Z$37:OFFSET($Z$37,NumPuntosCalib2-1,0),T20),OFFSET($AF$55,0,tblResultCalib[[#This Row],['#]]-1)),0))))</f>
        <v/>
      </c>
      <c r="Z20" s="144" t="str">
        <f ca="1">IF(tblResultCalib[[#This Row],[Promedio Patrón]]="","",IFERROR(IF(OFFSET($AF$33,0,tblResultCalib[[#This Row],['#]]-1)="",TREND($W$37:OFFSET($W$37,NumPuntosCalib-1,0),$T$37:OFFSET($T$37,NumPuntosCalib-1,0),T20),OFFSET($AF$33,0,tblResultCalib[[#This Row],['#]]-1)),0)+IFERROR(IF(OFFSET($AF$66,0,tblResultCalib[[#This Row],['#]]-1)="",TREND($AC$37:OFFSET($AC$37,NumPuntosCalib2-1,0),$Z$37:OFFSET($Z$37,NumPuntosCalib2-1,0),T20),OFFSET($AF$66,0,tblResultCalib[[#This Row],['#]]-1)),0))</f>
        <v/>
      </c>
      <c r="AA20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0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0" s="68" t="s">
        <v>169</v>
      </c>
      <c r="AF20" s="65" t="str">
        <f ca="1">IFERROR(INDEX($T$37:$T$51,MATCH(AF$17,$T$37:OFFSET($T$37,NumPuntosCalib-1,0),1)+1),"")</f>
        <v/>
      </c>
      <c r="AG20" s="65" t="str">
        <f ca="1">IFERROR(INDEX($T$37:$T$51,MATCH(AG$17,$T$37:OFFSET($T$37,NumPuntosCalib-1,0),1)+1),"")</f>
        <v/>
      </c>
      <c r="AH20" s="65" t="str">
        <f ca="1">IFERROR(INDEX($T$37:$T$51,MATCH(AH$17,$T$37:OFFSET($T$37,NumPuntosCalib-1,0),1)+1),"")</f>
        <v/>
      </c>
      <c r="AI20" s="65" t="str">
        <f ca="1">IFERROR(INDEX($T$37:$T$51,MATCH(AI$17,$T$37:OFFSET($T$37,NumPuntosCalib-1,0),1)+1),"")</f>
        <v/>
      </c>
      <c r="AJ20" s="65" t="str">
        <f ca="1">IFERROR(INDEX($T$37:$T$51,MATCH(AJ$17,$T$37:OFFSET($T$37,NumPuntosCalib-1,0),1)+1),"")</f>
        <v/>
      </c>
      <c r="AK20" s="65" t="str">
        <f ca="1">IFERROR(INDEX($T$37:$T$51,MATCH(AK$17,$T$37:OFFSET($T$37,NumPuntosCalib-1,0),1)+1),"")</f>
        <v/>
      </c>
      <c r="AL20" s="65" t="str">
        <f ca="1">IFERROR(INDEX($T$37:$T$51,MATCH(AL$17,$T$37:OFFSET($T$37,NumPuntosCalib-1,0),1)+1),"")</f>
        <v/>
      </c>
      <c r="AM20" s="65" t="str">
        <f ca="1">IFERROR(INDEX($T$37:$T$51,MATCH(AM$17,$T$37:OFFSET($T$37,NumPuntosCalib-1,0),1)+1),"")</f>
        <v/>
      </c>
      <c r="AN20" s="65" t="str">
        <f ca="1">IFERROR(INDEX($T$37:$T$51,MATCH(AN$17,$T$37:OFFSET($T$37,NumPuntosCalib-1,0),1)+1),"")</f>
        <v/>
      </c>
      <c r="AO20" s="65" t="str">
        <f ca="1">IFERROR(INDEX($T$37:$T$51,MATCH(AO$17,$T$37:OFFSET($T$37,NumPuntosCalib-1,0),1)+1),"")</f>
        <v/>
      </c>
    </row>
    <row r="21" spans="2:41" x14ac:dyDescent="0.3">
      <c r="B21" s="20">
        <v>7</v>
      </c>
      <c r="C21" s="221"/>
      <c r="D21" s="221"/>
      <c r="E21" s="221"/>
      <c r="F21" s="221"/>
      <c r="G21" s="221"/>
      <c r="H21" s="221"/>
      <c r="I21" s="221"/>
      <c r="J21" s="221"/>
      <c r="K21" s="198"/>
      <c r="L21" s="198"/>
      <c r="M21" s="198"/>
      <c r="N21" s="198"/>
      <c r="O21" s="199">
        <f t="shared" si="2"/>
        <v>0</v>
      </c>
      <c r="P21" s="200" t="e">
        <f t="shared" si="3"/>
        <v>#DIV/0!</v>
      </c>
      <c r="Q21" s="212">
        <f t="shared" si="4"/>
        <v>1</v>
      </c>
      <c r="S21" s="66">
        <v>7</v>
      </c>
      <c r="T21" s="45" t="str">
        <f t="shared" ca="1" si="5"/>
        <v/>
      </c>
      <c r="U21" s="46" t="str">
        <f ca="1">IF(tblResultCalib[[#This Row],[Promedio Patrón]]="","",IFERROR(IF(OFFSET($AF$11,0,tblResultCalib[[#This Row],['#]]-1)="",TREND($U$37:OFFSET($U$37,NumPuntosCalib-1,0),$T$37:OFFSET($T$37,NumPuntosCalib-1,0),T21),OFFSET($AF$11,0,tblResultCalib[[#This Row],['#]]-1)),0)+IFERROR(IF(OFFSET($AF$44,0,tblResultCalib[[#This Row],['#]]-1)="",TREND($AA$37:OFFSET($AA$37,NumPuntosCalib2-1,0),$Z$37:OFFSET($Z$37,NumPuntosCalib2-1,0),T21),OFFSET($AF$44,0,tblResultCalib[[#This Row],['#]]-1)),0))</f>
        <v/>
      </c>
      <c r="V21" s="249" t="str">
        <f ca="1">IFERROR(tblResultCalib[[#This Row],[Promedio Patrón]]+tblResultCalib[[#This Row],[Corrección patrón]],"")</f>
        <v/>
      </c>
      <c r="W21" s="149" t="str">
        <f t="shared" ca="1" si="1"/>
        <v/>
      </c>
      <c r="X21" s="143" t="str">
        <f ca="1">IFERROR(tblResultCalib[[#This Row],[Patrón corregido]]-tblResultCalib[[#This Row],[Promedio equipo]],"")</f>
        <v/>
      </c>
      <c r="Y21" s="144" t="str">
        <f ca="1">IF(tblResultCalib[[#This Row],[Promedio Patrón]]="","",SQRT(SUMSQ(IFERROR(IF(OFFSET($AF$22,0,tblResultCalib[[#This Row],['#]]-1)="",TREND($V$37:OFFSET($V$37,NumPuntosCalib-1,0),$T$37:OFFSET($T$37,NumPuntosCalib-1,0),T21),OFFSET($AF$22,0,tblResultCalib[[#This Row],['#]]-1)),0),IFERROR(IF(OFFSET($AF$55,0,tblResultCalib[[#This Row],['#]]-1)="",TREND($AB$37:OFFSET($AB$37,NumPuntosCalib2-1,0),$Z$37:OFFSET($Z$37,NumPuntosCalib2-1,0),T21),OFFSET($AF$55,0,tblResultCalib[[#This Row],['#]]-1)),0))))</f>
        <v/>
      </c>
      <c r="Z21" s="144" t="str">
        <f ca="1">IF(tblResultCalib[[#This Row],[Promedio Patrón]]="","",IFERROR(IF(OFFSET($AF$33,0,tblResultCalib[[#This Row],['#]]-1)="",TREND($W$37:OFFSET($W$37,NumPuntosCalib-1,0),$T$37:OFFSET($T$37,NumPuntosCalib-1,0),T21),OFFSET($AF$33,0,tblResultCalib[[#This Row],['#]]-1)),0)+IFERROR(IF(OFFSET($AF$66,0,tblResultCalib[[#This Row],['#]]-1)="",TREND($AC$37:OFFSET($AC$37,NumPuntosCalib2-1,0),$Z$37:OFFSET($Z$37,NumPuntosCalib2-1,0),T21),OFFSET($AF$66,0,tblResultCalib[[#This Row],['#]]-1)),0))</f>
        <v/>
      </c>
      <c r="AA21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1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1" s="68" t="s">
        <v>171</v>
      </c>
      <c r="AF21" s="65" t="str">
        <f ca="1">IFERROR(INDEX($V$37:$V$51,MATCH(AF$6,$T$37:OFFSET($T$37,NumPuntosCalib-1,0),1)+1),"")</f>
        <v/>
      </c>
      <c r="AG21" s="65" t="str">
        <f ca="1">IFERROR(INDEX($V$37:$V$51,MATCH(AG$6,$T$37:OFFSET($T$37,NumPuntosCalib-1,0),1)+1),"")</f>
        <v/>
      </c>
      <c r="AH21" s="65" t="str">
        <f ca="1">IFERROR(INDEX($V$37:$V$51,MATCH(AH$6,$T$37:OFFSET($T$37,NumPuntosCalib-1,0),1)+1),"")</f>
        <v/>
      </c>
      <c r="AI21" s="65" t="str">
        <f ca="1">IFERROR(INDEX($V$37:$V$51,MATCH(AI$6,$T$37:OFFSET($T$37,NumPuntosCalib-1,0),1)+1),"")</f>
        <v/>
      </c>
      <c r="AJ21" s="65" t="str">
        <f ca="1">IFERROR(INDEX($V$37:$V$51,MATCH(AJ$6,$T$37:OFFSET($T$37,NumPuntosCalib-1,0),1)+1),"")</f>
        <v/>
      </c>
      <c r="AK21" s="65" t="str">
        <f ca="1">IFERROR(INDEX($V$37:$V$51,MATCH(AK$6,$T$37:OFFSET($T$37,NumPuntosCalib-1,0),1)+1),"")</f>
        <v/>
      </c>
      <c r="AL21" s="65" t="str">
        <f ca="1">IFERROR(INDEX($V$37:$V$51,MATCH(AL$6,$T$37:OFFSET($T$37,NumPuntosCalib-1,0),1)+1),"")</f>
        <v/>
      </c>
      <c r="AM21" s="65" t="str">
        <f ca="1">IFERROR(INDEX($V$37:$V$51,MATCH(AM$6,$T$37:OFFSET($T$37,NumPuntosCalib-1,0),1)+1),"")</f>
        <v/>
      </c>
      <c r="AN21" s="65" t="str">
        <f ca="1">IFERROR(INDEX($V$37:$V$51,MATCH(AN$6,$T$37:OFFSET($T$37,NumPuntosCalib-1,0),1)+1),"")</f>
        <v/>
      </c>
      <c r="AO21" s="65" t="str">
        <f ca="1">IFERROR(INDEX($V$37:$V$51,MATCH(AO$6,$T$37:OFFSET($T$37,NumPuntosCalib-1,0),1)+1),"")</f>
        <v/>
      </c>
    </row>
    <row r="22" spans="2:41" x14ac:dyDescent="0.3">
      <c r="B22" s="20">
        <v>8</v>
      </c>
      <c r="C22" s="221"/>
      <c r="D22" s="221"/>
      <c r="E22" s="221"/>
      <c r="F22" s="221"/>
      <c r="G22" s="221"/>
      <c r="H22" s="221"/>
      <c r="I22" s="221"/>
      <c r="J22" s="221"/>
      <c r="K22" s="198"/>
      <c r="L22" s="198"/>
      <c r="M22" s="198"/>
      <c r="N22" s="198"/>
      <c r="O22" s="199">
        <f t="shared" si="2"/>
        <v>0</v>
      </c>
      <c r="P22" s="200" t="e">
        <f t="shared" si="3"/>
        <v>#DIV/0!</v>
      </c>
      <c r="Q22" s="212">
        <f t="shared" si="4"/>
        <v>1</v>
      </c>
      <c r="S22" s="66">
        <v>8</v>
      </c>
      <c r="T22" s="45" t="str">
        <f t="shared" ca="1" si="5"/>
        <v/>
      </c>
      <c r="U22" s="46" t="str">
        <f ca="1">IF(tblResultCalib[[#This Row],[Promedio Patrón]]="","",IFERROR(IF(OFFSET($AF$11,0,tblResultCalib[[#This Row],['#]]-1)="",TREND($U$37:OFFSET($U$37,NumPuntosCalib-1,0),$T$37:OFFSET($T$37,NumPuntosCalib-1,0),T22),OFFSET($AF$11,0,tblResultCalib[[#This Row],['#]]-1)),0)+IFERROR(IF(OFFSET($AF$44,0,tblResultCalib[[#This Row],['#]]-1)="",TREND($AA$37:OFFSET($AA$37,NumPuntosCalib2-1,0),$Z$37:OFFSET($Z$37,NumPuntosCalib2-1,0),T22),OFFSET($AF$44,0,tblResultCalib[[#This Row],['#]]-1)),0))</f>
        <v/>
      </c>
      <c r="V22" s="149" t="str">
        <f ca="1">IFERROR(tblResultCalib[[#This Row],[Promedio Patrón]]+tblResultCalib[[#This Row],[Corrección patrón]],"")</f>
        <v/>
      </c>
      <c r="W22" s="149" t="str">
        <f t="shared" ca="1" si="1"/>
        <v/>
      </c>
      <c r="X22" s="143" t="str">
        <f ca="1">IFERROR(tblResultCalib[[#This Row],[Patrón corregido]]-tblResultCalib[[#This Row],[Promedio equipo]],"")</f>
        <v/>
      </c>
      <c r="Y22" s="143" t="str">
        <f ca="1">IF(tblResultCalib[[#This Row],[Promedio Patrón]]="","",SQRT(SUMSQ(IFERROR(IF(OFFSET($AF$22,0,tblResultCalib[[#This Row],['#]]-1)="",TREND($V$37:OFFSET($V$37,NumPuntosCalib-1,0),$T$37:OFFSET($T$37,NumPuntosCalib-1,0),T22),OFFSET($AF$22,0,tblResultCalib[[#This Row],['#]]-1)),0),IFERROR(IF(OFFSET($AF$55,0,tblResultCalib[[#This Row],['#]]-1)="",TREND($AB$37:OFFSET($AB$37,NumPuntosCalib2-1,0),$Z$37:OFFSET($Z$37,NumPuntosCalib2-1,0),T22),OFFSET($AF$55,0,tblResultCalib[[#This Row],['#]]-1)),0))))</f>
        <v/>
      </c>
      <c r="Z22" s="144" t="str">
        <f ca="1">IF(tblResultCalib[[#This Row],[Promedio Patrón]]="","",IFERROR(IF(OFFSET($AF$33,0,tblResultCalib[[#This Row],['#]]-1)="",TREND($W$37:OFFSET($W$37,NumPuntosCalib-1,0),$T$37:OFFSET($T$37,NumPuntosCalib-1,0),T22),OFFSET($AF$33,0,tblResultCalib[[#This Row],['#]]-1)),0)+IFERROR(IF(OFFSET($AF$66,0,tblResultCalib[[#This Row],['#]]-1)="",TREND($AC$37:OFFSET($AC$37,NumPuntosCalib2-1,0),$Z$37:OFFSET($Z$37,NumPuntosCalib2-1,0),T22),OFFSET($AF$66,0,tblResultCalib[[#This Row],['#]]-1)),0))</f>
        <v/>
      </c>
      <c r="AA22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2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2" s="68" t="s">
        <v>172</v>
      </c>
      <c r="AF22" s="120" t="str">
        <f t="shared" ref="AF22:AO22" ca="1" si="6">IFERROR(AF19+(AF17-AF18)*(AF21-AF19)/(AF20-AF18),"")</f>
        <v/>
      </c>
      <c r="AG22" s="120" t="str">
        <f t="shared" ca="1" si="6"/>
        <v/>
      </c>
      <c r="AH22" s="120" t="str">
        <f t="shared" ca="1" si="6"/>
        <v/>
      </c>
      <c r="AI22" s="120" t="str">
        <f t="shared" ca="1" si="6"/>
        <v/>
      </c>
      <c r="AJ22" s="120" t="str">
        <f t="shared" ca="1" si="6"/>
        <v/>
      </c>
      <c r="AK22" s="120" t="str">
        <f t="shared" ca="1" si="6"/>
        <v/>
      </c>
      <c r="AL22" s="120" t="str">
        <f t="shared" ca="1" si="6"/>
        <v/>
      </c>
      <c r="AM22" s="120" t="str">
        <f t="shared" ca="1" si="6"/>
        <v/>
      </c>
      <c r="AN22" s="120" t="str">
        <f t="shared" ca="1" si="6"/>
        <v/>
      </c>
      <c r="AO22" s="120" t="str">
        <f t="shared" ca="1" si="6"/>
        <v/>
      </c>
    </row>
    <row r="23" spans="2:41" x14ac:dyDescent="0.3">
      <c r="B23" s="20">
        <v>9</v>
      </c>
      <c r="C23" s="221"/>
      <c r="D23" s="221"/>
      <c r="E23" s="221"/>
      <c r="F23" s="221"/>
      <c r="G23" s="221"/>
      <c r="H23" s="221"/>
      <c r="I23" s="221"/>
      <c r="J23" s="221"/>
      <c r="K23" s="198"/>
      <c r="L23" s="198"/>
      <c r="M23" s="198"/>
      <c r="N23" s="198"/>
      <c r="O23" s="199">
        <f t="shared" si="2"/>
        <v>0</v>
      </c>
      <c r="P23" s="200" t="e">
        <f t="shared" si="3"/>
        <v>#DIV/0!</v>
      </c>
      <c r="Q23" s="212">
        <f t="shared" si="4"/>
        <v>1</v>
      </c>
      <c r="S23" s="66">
        <v>9</v>
      </c>
      <c r="T23" s="45" t="str">
        <f t="shared" ca="1" si="5"/>
        <v/>
      </c>
      <c r="U23" s="46" t="str">
        <f ca="1">IF(tblResultCalib[[#This Row],[Promedio Patrón]]="","",IFERROR(IF(OFFSET($AF$11,0,tblResultCalib[[#This Row],['#]]-1)="",TREND($U$37:OFFSET($U$37,NumPuntosCalib-1,0),$T$37:OFFSET($T$37,NumPuntosCalib-1,0),T23),OFFSET($AF$11,0,tblResultCalib[[#This Row],['#]]-1)),0)+IFERROR(IF(OFFSET($AF$44,0,tblResultCalib[[#This Row],['#]]-1)="",TREND($AA$37:OFFSET($AA$37,NumPuntosCalib2-1,0),$Z$37:OFFSET($Z$37,NumPuntosCalib2-1,0),T23),OFFSET($AF$44,0,tblResultCalib[[#This Row],['#]]-1)),0))</f>
        <v/>
      </c>
      <c r="V23" s="149" t="str">
        <f ca="1">IFERROR(tblResultCalib[[#This Row],[Promedio Patrón]]+tblResultCalib[[#This Row],[Corrección patrón]],"")</f>
        <v/>
      </c>
      <c r="W23" s="149" t="str">
        <f t="shared" ca="1" si="1"/>
        <v/>
      </c>
      <c r="X23" s="143" t="str">
        <f ca="1">IFERROR(tblResultCalib[[#This Row],[Patrón corregido]]-tblResultCalib[[#This Row],[Promedio equipo]],"")</f>
        <v/>
      </c>
      <c r="Y23" s="143" t="str">
        <f ca="1">IF(tblResultCalib[[#This Row],[Promedio Patrón]]="","",SQRT(SUMSQ(IFERROR(IF(OFFSET($AF$22,0,tblResultCalib[[#This Row],['#]]-1)="",TREND($V$37:OFFSET($V$37,NumPuntosCalib-1,0),$T$37:OFFSET($T$37,NumPuntosCalib-1,0),T23),OFFSET($AF$22,0,tblResultCalib[[#This Row],['#]]-1)),0),IFERROR(IF(OFFSET($AF$55,0,tblResultCalib[[#This Row],['#]]-1)="",TREND($AB$37:OFFSET($AB$37,NumPuntosCalib2-1,0),$Z$37:OFFSET($Z$37,NumPuntosCalib2-1,0),T23),OFFSET($AF$55,0,tblResultCalib[[#This Row],['#]]-1)),0))))</f>
        <v/>
      </c>
      <c r="Z23" s="144" t="str">
        <f ca="1">IF(tblResultCalib[[#This Row],[Promedio Patrón]]="","",IFERROR(IF(OFFSET($AF$33,0,tblResultCalib[[#This Row],['#]]-1)="",TREND($W$37:OFFSET($W$37,NumPuntosCalib-1,0),$T$37:OFFSET($T$37,NumPuntosCalib-1,0),T23),OFFSET($AF$33,0,tblResultCalib[[#This Row],['#]]-1)),0)+IFERROR(IF(OFFSET($AF$66,0,tblResultCalib[[#This Row],['#]]-1)="",TREND($AC$37:OFFSET($AC$37,NumPuntosCalib2-1,0),$Z$37:OFFSET($Z$37,NumPuntosCalib2-1,0),T23),OFFSET($AF$66,0,tblResultCalib[[#This Row],['#]]-1)),0))</f>
        <v/>
      </c>
      <c r="AA23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3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4" spans="2:41" x14ac:dyDescent="0.3">
      <c r="B24" s="20">
        <v>10</v>
      </c>
      <c r="C24" s="221"/>
      <c r="D24" s="221"/>
      <c r="E24" s="221"/>
      <c r="F24" s="221"/>
      <c r="G24" s="221"/>
      <c r="H24" s="221"/>
      <c r="I24" s="198"/>
      <c r="J24" s="198"/>
      <c r="K24" s="198"/>
      <c r="L24" s="198"/>
      <c r="M24" s="198"/>
      <c r="N24" s="198"/>
      <c r="O24" s="199">
        <f t="shared" si="2"/>
        <v>0</v>
      </c>
      <c r="P24" s="200" t="e">
        <f t="shared" si="3"/>
        <v>#DIV/0!</v>
      </c>
      <c r="Q24" s="212">
        <f t="shared" si="4"/>
        <v>1</v>
      </c>
      <c r="S24" s="66">
        <v>10</v>
      </c>
      <c r="T24" s="45" t="str">
        <f t="shared" ca="1" si="5"/>
        <v/>
      </c>
      <c r="U24" s="46" t="str">
        <f ca="1">IF(tblResultCalib[[#This Row],[Promedio Patrón]]="","",IFERROR(IF(OFFSET($AF$11,0,tblResultCalib[[#This Row],['#]]-1)="",TREND($U$37:OFFSET($U$37,NumPuntosCalib-1,0),$T$37:OFFSET($T$37,NumPuntosCalib-1,0),T24),OFFSET($AF$11,0,tblResultCalib[[#This Row],['#]]-1)),0)+IFERROR(IF(OFFSET($AF$44,0,tblResultCalib[[#This Row],['#]]-1)="",TREND($AA$37:OFFSET($AA$37,NumPuntosCalib2-1,0),$Z$37:OFFSET($Z$37,NumPuntosCalib2-1,0),T24),OFFSET($AF$44,0,tblResultCalib[[#This Row],['#]]-1)),0))</f>
        <v/>
      </c>
      <c r="V24" s="150" t="str">
        <f ca="1">IFERROR(tblResultCalib[[#This Row],[Promedio Patrón]]+tblResultCalib[[#This Row],[Corrección patrón]],"")</f>
        <v/>
      </c>
      <c r="W24" s="150" t="str">
        <f t="shared" ca="1" si="1"/>
        <v/>
      </c>
      <c r="X24" s="145" t="str">
        <f ca="1">IFERROR(tblResultCalib[[#This Row],[Patrón corregido]]-tblResultCalib[[#This Row],[Promedio equipo]],"")</f>
        <v/>
      </c>
      <c r="Y24" s="145" t="str">
        <f ca="1">IF(tblResultCalib[[#This Row],[Promedio Patrón]]="","",SQRT(SUMSQ(IFERROR(IF(OFFSET($AF$22,0,tblResultCalib[[#This Row],['#]]-1)="",TREND($V$37:OFFSET($V$37,NumPuntosCalib-1,0),$T$37:OFFSET($T$37,NumPuntosCalib-1,0),T24),OFFSET($AF$22,0,tblResultCalib[[#This Row],['#]]-1)),0),IFERROR(IF(OFFSET($AF$55,0,tblResultCalib[[#This Row],['#]]-1)="",TREND($AB$37:OFFSET($AB$37,NumPuntosCalib2-1,0),$Z$37:OFFSET($Z$37,NumPuntosCalib2-1,0),T24),OFFSET($AF$55,0,tblResultCalib[[#This Row],['#]]-1)),0))))</f>
        <v/>
      </c>
      <c r="Z24" s="143" t="str">
        <f ca="1">IF(tblResultCalib[[#This Row],[Promedio Patrón]]="","",IFERROR(IF(OFFSET($AF$33,0,tblResultCalib[[#This Row],['#]]-1)="",TREND($W$37:OFFSET($W$37,NumPuntosCalib-1,0),$T$37:OFFSET($T$37,NumPuntosCalib-1,0),T24),OFFSET($AF$33,0,tblResultCalib[[#This Row],['#]]-1)),0)+IFERROR(IF(OFFSET($AF$66,0,tblResultCalib[[#This Row],['#]]-1)="",TREND($AC$37:OFFSET($AC$37,NumPuntosCalib2-1,0),$Z$37:OFFSET($Z$37,NumPuntosCalib2-1,0),T24),OFFSET($AF$66,0,tblResultCalib[[#This Row],['#]]-1)),0))</f>
        <v/>
      </c>
      <c r="AA24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4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5" spans="2:41" x14ac:dyDescent="0.3">
      <c r="B25" s="20">
        <v>11</v>
      </c>
      <c r="C25" s="242"/>
      <c r="D25" s="242"/>
      <c r="E25" s="242"/>
      <c r="F25" s="242"/>
      <c r="G25" s="242"/>
      <c r="H25" s="221"/>
      <c r="I25" s="198"/>
      <c r="J25" s="198"/>
      <c r="K25" s="198"/>
      <c r="L25" s="198"/>
      <c r="M25" s="198"/>
      <c r="N25" s="198"/>
      <c r="O25" s="199">
        <f t="shared" si="2"/>
        <v>0</v>
      </c>
      <c r="P25" s="200" t="e">
        <f t="shared" si="3"/>
        <v>#DIV/0!</v>
      </c>
      <c r="Q25" s="212">
        <f t="shared" si="4"/>
        <v>1</v>
      </c>
      <c r="S25" s="66">
        <v>11</v>
      </c>
      <c r="T25" s="45" t="str">
        <f t="shared" ca="1" si="5"/>
        <v/>
      </c>
      <c r="U25" s="46" t="str">
        <f ca="1">IF(tblResultCalib[[#This Row],[Promedio Patrón]]="","",IFERROR(IF(OFFSET($AF$11,0,tblResultCalib[[#This Row],['#]]-1)="",TREND($U$37:OFFSET($U$37,NumPuntosCalib-1,0),$T$37:OFFSET($T$37,NumPuntosCalib-1,0),T25),OFFSET($AF$11,0,tblResultCalib[[#This Row],['#]]-1)),0)+IFERROR(IF(OFFSET($AF$44,0,tblResultCalib[[#This Row],['#]]-1)="",TREND($AA$37:OFFSET($AA$37,NumPuntosCalib2-1,0),$Z$37:OFFSET($Z$37,NumPuntosCalib2-1,0),T25),OFFSET($AF$44,0,tblResultCalib[[#This Row],['#]]-1)),0))</f>
        <v/>
      </c>
      <c r="V25" s="45" t="str">
        <f ca="1">IFERROR(tblResultCalib[[#This Row],[Promedio Patrón]]+tblResultCalib[[#This Row],[Corrección patrón]],"")</f>
        <v/>
      </c>
      <c r="W25" s="45" t="str">
        <f t="shared" ca="1" si="1"/>
        <v/>
      </c>
      <c r="X25" s="46" t="str">
        <f ca="1">IFERROR(tblResultCalib[[#This Row],[Patrón corregido]]-tblResultCalib[[#This Row],[Promedio equipo]],"")</f>
        <v/>
      </c>
      <c r="Y25" s="46" t="str">
        <f ca="1">IF(tblResultCalib[[#This Row],[Promedio Patrón]]="","",SQRT(SUMSQ(IFERROR(IF(OFFSET($AF$22,0,tblResultCalib[[#This Row],['#]]-1)="",TREND($V$37:OFFSET($V$37,NumPuntosCalib-1,0),$T$37:OFFSET($T$37,NumPuntosCalib-1,0),T25),OFFSET($AF$22,0,tblResultCalib[[#This Row],['#]]-1)),0),IFERROR(IF(OFFSET($AF$55,0,tblResultCalib[[#This Row],['#]]-1)="",TREND($AB$37:OFFSET($AB$37,NumPuntosCalib2-1,0),$Z$37:OFFSET($Z$37,NumPuntosCalib2-1,0),T25),OFFSET($AF$55,0,tblResultCalib[[#This Row],['#]]-1)),0))))</f>
        <v/>
      </c>
      <c r="Z25" s="46" t="str">
        <f ca="1">IF(tblResultCalib[[#This Row],[Promedio Patrón]]="","",IFERROR(IF(OFFSET($AF$33,0,tblResultCalib[[#This Row],['#]]-1)="",TREND($W$37:OFFSET($W$37,NumPuntosCalib-1,0),$T$37:OFFSET($T$37,NumPuntosCalib-1,0),T25),OFFSET($AF$33,0,tblResultCalib[[#This Row],['#]]-1)),0)+IFERROR(IF(OFFSET($AF$66,0,tblResultCalib[[#This Row],['#]]-1)="",TREND($AC$37:OFFSET($AC$37,NumPuntosCalib2-1,0),$Z$37:OFFSET($Z$37,NumPuntosCalib2-1,0),T25),OFFSET($AF$66,0,tblResultCalib[[#This Row],['#]]-1)),0))</f>
        <v/>
      </c>
      <c r="AA25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5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5" s="15" t="s">
        <v>393</v>
      </c>
      <c r="AF25" s="15"/>
      <c r="AG25" s="15"/>
      <c r="AH25" s="15"/>
      <c r="AI25" s="15" t="str">
        <f>CONCATENATE("[Todo en ", unidad,"]")</f>
        <v>[Todo en psi]</v>
      </c>
      <c r="AJ25" s="15"/>
    </row>
    <row r="26" spans="2:41" x14ac:dyDescent="0.3">
      <c r="B26" s="20">
        <v>12</v>
      </c>
      <c r="C26" s="242"/>
      <c r="D26" s="242"/>
      <c r="E26" s="242"/>
      <c r="F26" s="242"/>
      <c r="G26" s="242"/>
      <c r="H26" s="221"/>
      <c r="I26" s="198"/>
      <c r="J26" s="198"/>
      <c r="K26" s="198"/>
      <c r="L26" s="198"/>
      <c r="M26" s="198"/>
      <c r="N26" s="198"/>
      <c r="O26" s="199">
        <f t="shared" si="2"/>
        <v>0</v>
      </c>
      <c r="P26" s="200" t="e">
        <f t="shared" si="3"/>
        <v>#DIV/0!</v>
      </c>
      <c r="Q26" s="212">
        <f t="shared" si="4"/>
        <v>1</v>
      </c>
      <c r="S26" s="66">
        <v>12</v>
      </c>
      <c r="T26" s="45" t="str">
        <f t="shared" ca="1" si="5"/>
        <v/>
      </c>
      <c r="U26" s="46" t="str">
        <f ca="1">IF(tblResultCalib[[#This Row],[Promedio Patrón]]="","",IFERROR(IF(OFFSET($AF$11,0,tblResultCalib[[#This Row],['#]]-1)="",TREND($U$37:OFFSET($U$37,NumPuntosCalib-1,0),$T$37:OFFSET($T$37,NumPuntosCalib-1,0),T26),OFFSET($AF$11,0,tblResultCalib[[#This Row],['#]]-1)),0)+IFERROR(IF(OFFSET($AF$44,0,tblResultCalib[[#This Row],['#]]-1)="",TREND($AA$37:OFFSET($AA$37,NumPuntosCalib2-1,0),$Z$37:OFFSET($Z$37,NumPuntosCalib2-1,0),T26),OFFSET($AF$44,0,tblResultCalib[[#This Row],['#]]-1)),0))</f>
        <v/>
      </c>
      <c r="V26" s="45" t="str">
        <f ca="1">IFERROR(tblResultCalib[[#This Row],[Promedio Patrón]]+tblResultCalib[[#This Row],[Corrección patrón]],"")</f>
        <v/>
      </c>
      <c r="W26" s="45" t="str">
        <f t="shared" ca="1" si="1"/>
        <v/>
      </c>
      <c r="X26" s="46" t="str">
        <f ca="1">IFERROR(tblResultCalib[[#This Row],[Patrón corregido]]-tblResultCalib[[#This Row],[Promedio equipo]],"")</f>
        <v/>
      </c>
      <c r="Y26" s="46" t="str">
        <f ca="1">IF(tblResultCalib[[#This Row],[Promedio Patrón]]="","",SQRT(SUMSQ(IFERROR(IF(OFFSET($AF$22,0,tblResultCalib[[#This Row],['#]]-1)="",TREND($V$37:OFFSET($V$37,NumPuntosCalib-1,0),$T$37:OFFSET($T$37,NumPuntosCalib-1,0),T26),OFFSET($AF$22,0,tblResultCalib[[#This Row],['#]]-1)),0),IFERROR(IF(OFFSET($AF$55,0,tblResultCalib[[#This Row],['#]]-1)="",TREND($AB$37:OFFSET($AB$37,NumPuntosCalib2-1,0),$Z$37:OFFSET($Z$37,NumPuntosCalib2-1,0),T26),OFFSET($AF$55,0,tblResultCalib[[#This Row],['#]]-1)),0))))</f>
        <v/>
      </c>
      <c r="Z26" s="46" t="str">
        <f ca="1">IF(tblResultCalib[[#This Row],[Promedio Patrón]]="","",IFERROR(IF(OFFSET($AF$33,0,tblResultCalib[[#This Row],['#]]-1)="",TREND($W$37:OFFSET($W$37,NumPuntosCalib-1,0),$T$37:OFFSET($T$37,NumPuntosCalib-1,0),T26),OFFSET($AF$33,0,tblResultCalib[[#This Row],['#]]-1)),0)+IFERROR(IF(OFFSET($AF$66,0,tblResultCalib[[#This Row],['#]]-1)="",TREND($AC$37:OFFSET($AC$37,NumPuntosCalib2-1,0),$Z$37:OFFSET($Z$37,NumPuntosCalib2-1,0),T26),OFFSET($AF$66,0,tblResultCalib[[#This Row],['#]]-1)),0))</f>
        <v/>
      </c>
      <c r="AA26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6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</row>
    <row r="27" spans="2:41" x14ac:dyDescent="0.3">
      <c r="B27" s="20">
        <v>13</v>
      </c>
      <c r="C27" s="242"/>
      <c r="D27" s="242"/>
      <c r="E27" s="242"/>
      <c r="F27" s="242"/>
      <c r="G27" s="242"/>
      <c r="H27" s="221"/>
      <c r="I27" s="198"/>
      <c r="J27" s="198"/>
      <c r="K27" s="198"/>
      <c r="L27" s="198"/>
      <c r="M27" s="198"/>
      <c r="N27" s="198"/>
      <c r="O27" s="199">
        <f t="shared" si="2"/>
        <v>0</v>
      </c>
      <c r="P27" s="200" t="e">
        <f t="shared" si="3"/>
        <v>#DIV/0!</v>
      </c>
      <c r="Q27" s="212">
        <f t="shared" si="4"/>
        <v>1</v>
      </c>
      <c r="S27" s="66">
        <v>13</v>
      </c>
      <c r="T27" s="45" t="str">
        <f t="shared" ca="1" si="5"/>
        <v/>
      </c>
      <c r="U27" s="46" t="str">
        <f ca="1">IF(tblResultCalib[[#This Row],[Promedio Patrón]]="","",IFERROR(IF(OFFSET($AF$11,0,tblResultCalib[[#This Row],['#]]-1)="",TREND($U$37:OFFSET($U$37,NumPuntosCalib-1,0),$T$37:OFFSET($T$37,NumPuntosCalib-1,0),T27),OFFSET($AF$11,0,tblResultCalib[[#This Row],['#]]-1)),0)+IFERROR(IF(OFFSET($AF$44,0,tblResultCalib[[#This Row],['#]]-1)="",TREND($AA$37:OFFSET($AA$37,NumPuntosCalib2-1,0),$Z$37:OFFSET($Z$37,NumPuntosCalib2-1,0),T27),OFFSET($AF$44,0,tblResultCalib[[#This Row],['#]]-1)),0))</f>
        <v/>
      </c>
      <c r="V27" s="45" t="str">
        <f ca="1">IFERROR(tblResultCalib[[#This Row],[Promedio Patrón]]+tblResultCalib[[#This Row],[Corrección patrón]],"")</f>
        <v/>
      </c>
      <c r="W27" s="45" t="str">
        <f t="shared" ca="1" si="1"/>
        <v/>
      </c>
      <c r="X27" s="46" t="str">
        <f ca="1">IFERROR(tblResultCalib[[#This Row],[Patrón corregido]]-tblResultCalib[[#This Row],[Promedio equipo]],"")</f>
        <v/>
      </c>
      <c r="Y27" s="46" t="str">
        <f ca="1">IF(tblResultCalib[[#This Row],[Promedio Patrón]]="","",SQRT(SUMSQ(IFERROR(IF(OFFSET($AF$22,0,tblResultCalib[[#This Row],['#]]-1)="",TREND($V$37:OFFSET($V$37,NumPuntosCalib-1,0),$T$37:OFFSET($T$37,NumPuntosCalib-1,0),T27),OFFSET($AF$22,0,tblResultCalib[[#This Row],['#]]-1)),0),IFERROR(IF(OFFSET($AF$55,0,tblResultCalib[[#This Row],['#]]-1)="",TREND($AB$37:OFFSET($AB$37,NumPuntosCalib2-1,0),$Z$37:OFFSET($Z$37,NumPuntosCalib2-1,0),T27),OFFSET($AF$55,0,tblResultCalib[[#This Row],['#]]-1)),0))))</f>
        <v/>
      </c>
      <c r="Z27" s="46" t="str">
        <f ca="1">IF(tblResultCalib[[#This Row],[Promedio Patrón]]="","",IFERROR(IF(OFFSET($AF$33,0,tblResultCalib[[#This Row],['#]]-1)="",TREND($W$37:OFFSET($W$37,NumPuntosCalib-1,0),$T$37:OFFSET($T$37,NumPuntosCalib-1,0),T27),OFFSET($AF$33,0,tblResultCalib[[#This Row],['#]]-1)),0)+IFERROR(IF(OFFSET($AF$66,0,tblResultCalib[[#This Row],['#]]-1)="",TREND($AC$37:OFFSET($AC$37,NumPuntosCalib2-1,0),$Z$37:OFFSET($Z$37,NumPuntosCalib2-1,0),T27),OFFSET($AF$66,0,tblResultCalib[[#This Row],['#]]-1)),0))</f>
        <v/>
      </c>
      <c r="AA27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7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7" s="47" t="s">
        <v>173</v>
      </c>
      <c r="AF27" s="47">
        <v>1</v>
      </c>
      <c r="AG27" s="47">
        <v>2</v>
      </c>
      <c r="AH27" s="47">
        <v>3</v>
      </c>
      <c r="AI27" s="47">
        <v>4</v>
      </c>
      <c r="AJ27" s="47">
        <v>5</v>
      </c>
      <c r="AK27" s="47">
        <v>6</v>
      </c>
      <c r="AL27" s="47">
        <v>7</v>
      </c>
      <c r="AM27" s="47">
        <v>8</v>
      </c>
      <c r="AN27" s="47">
        <v>9</v>
      </c>
      <c r="AO27" s="47">
        <v>10</v>
      </c>
    </row>
    <row r="28" spans="2:41" x14ac:dyDescent="0.3">
      <c r="B28" s="20">
        <v>14</v>
      </c>
      <c r="C28" s="242"/>
      <c r="D28" s="242"/>
      <c r="E28" s="242"/>
      <c r="F28" s="242"/>
      <c r="G28" s="242"/>
      <c r="H28" s="221"/>
      <c r="I28" s="198"/>
      <c r="J28" s="198"/>
      <c r="K28" s="198"/>
      <c r="L28" s="198"/>
      <c r="M28" s="198"/>
      <c r="N28" s="198"/>
      <c r="O28" s="199">
        <f t="shared" si="2"/>
        <v>0</v>
      </c>
      <c r="P28" s="200" t="e">
        <f t="shared" si="3"/>
        <v>#DIV/0!</v>
      </c>
      <c r="Q28" s="212">
        <f t="shared" si="4"/>
        <v>1</v>
      </c>
      <c r="S28" s="66">
        <v>14</v>
      </c>
      <c r="T28" s="45" t="str">
        <f t="shared" ca="1" si="5"/>
        <v/>
      </c>
      <c r="U28" s="46" t="str">
        <f ca="1">IF(tblResultCalib[[#This Row],[Promedio Patrón]]="","",IFERROR(IF(OFFSET($AF$11,0,tblResultCalib[[#This Row],['#]]-1)="",TREND($U$37:OFFSET($U$37,NumPuntosCalib-1,0),$T$37:OFFSET($T$37,NumPuntosCalib-1,0),T28),OFFSET($AF$11,0,tblResultCalib[[#This Row],['#]]-1)),0)+IFERROR(IF(OFFSET($AF$44,0,tblResultCalib[[#This Row],['#]]-1)="",TREND($AA$37:OFFSET($AA$37,NumPuntosCalib2-1,0),$Z$37:OFFSET($Z$37,NumPuntosCalib2-1,0),T28),OFFSET($AF$44,0,tblResultCalib[[#This Row],['#]]-1)),0))</f>
        <v/>
      </c>
      <c r="V28" s="45" t="str">
        <f ca="1">IFERROR(tblResultCalib[[#This Row],[Promedio Patrón]]+tblResultCalib[[#This Row],[Corrección patrón]],"")</f>
        <v/>
      </c>
      <c r="W28" s="45" t="str">
        <f t="shared" ca="1" si="1"/>
        <v/>
      </c>
      <c r="X28" s="46" t="str">
        <f ca="1">IFERROR(tblResultCalib[[#This Row],[Patrón corregido]]-tblResultCalib[[#This Row],[Promedio equipo]],"")</f>
        <v/>
      </c>
      <c r="Y28" s="46" t="str">
        <f ca="1">IF(tblResultCalib[[#This Row],[Promedio Patrón]]="","",SQRT(SUMSQ(IFERROR(IF(OFFSET($AF$22,0,tblResultCalib[[#This Row],['#]]-1)="",TREND($V$37:OFFSET($V$37,NumPuntosCalib-1,0),$T$37:OFFSET($T$37,NumPuntosCalib-1,0),T28),OFFSET($AF$22,0,tblResultCalib[[#This Row],['#]]-1)),0),IFERROR(IF(OFFSET($AF$55,0,tblResultCalib[[#This Row],['#]]-1)="",TREND($AB$37:OFFSET($AB$37,NumPuntosCalib2-1,0),$Z$37:OFFSET($Z$37,NumPuntosCalib2-1,0),T28),OFFSET($AF$55,0,tblResultCalib[[#This Row],['#]]-1)),0))))</f>
        <v/>
      </c>
      <c r="Z28" s="46" t="str">
        <f ca="1">IF(tblResultCalib[[#This Row],[Promedio Patrón]]="","",IFERROR(IF(OFFSET($AF$33,0,tblResultCalib[[#This Row],['#]]-1)="",TREND($W$37:OFFSET($W$37,NumPuntosCalib-1,0),$T$37:OFFSET($T$37,NumPuntosCalib-1,0),T28),OFFSET($AF$33,0,tblResultCalib[[#This Row],['#]]-1)),0)+IFERROR(IF(OFFSET($AF$66,0,tblResultCalib[[#This Row],['#]]-1)="",TREND($AC$37:OFFSET($AC$37,NumPuntosCalib2-1,0),$Z$37:OFFSET($Z$37,NumPuntosCalib2-1,0),T28),OFFSET($AF$66,0,tblResultCalib[[#This Row],['#]]-1)),0))</f>
        <v/>
      </c>
      <c r="AA28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8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8" s="68" t="s">
        <v>167</v>
      </c>
      <c r="AF28" s="69" t="str">
        <f t="array" aca="1" ref="AF28:AO28" ca="1">TRANSPOSE($T$15:$T$29)</f>
        <v/>
      </c>
      <c r="AG28" s="69" t="str">
        <f ca="1"/>
        <v/>
      </c>
      <c r="AH28" s="69" t="str">
        <f ca="1"/>
        <v/>
      </c>
      <c r="AI28" s="69" t="str">
        <f ca="1"/>
        <v/>
      </c>
      <c r="AJ28" s="69" t="str">
        <f ca="1"/>
        <v/>
      </c>
      <c r="AK28" s="69" t="str">
        <f ca="1"/>
        <v/>
      </c>
      <c r="AL28" s="64" t="str">
        <f ca="1"/>
        <v/>
      </c>
      <c r="AM28" s="64" t="str">
        <f ca="1"/>
        <v/>
      </c>
      <c r="AN28" s="64" t="str">
        <f ca="1"/>
        <v/>
      </c>
      <c r="AO28" s="64" t="str">
        <f ca="1"/>
        <v/>
      </c>
    </row>
    <row r="29" spans="2:41" x14ac:dyDescent="0.3">
      <c r="B29" s="20">
        <v>15</v>
      </c>
      <c r="C29" s="219"/>
      <c r="D29" s="219"/>
      <c r="E29" s="219"/>
      <c r="F29" s="219"/>
      <c r="G29" s="219"/>
      <c r="H29" s="198"/>
      <c r="I29" s="198"/>
      <c r="J29" s="198"/>
      <c r="K29" s="198"/>
      <c r="L29" s="198"/>
      <c r="M29" s="198"/>
      <c r="N29" s="198"/>
      <c r="O29" s="199">
        <f t="shared" si="2"/>
        <v>0</v>
      </c>
      <c r="P29" s="200" t="e">
        <f t="shared" si="3"/>
        <v>#DIV/0!</v>
      </c>
      <c r="Q29" s="212">
        <f t="shared" si="4"/>
        <v>1</v>
      </c>
      <c r="S29" s="186">
        <v>15</v>
      </c>
      <c r="T29" s="45" t="str">
        <f t="shared" ca="1" si="5"/>
        <v/>
      </c>
      <c r="U29" s="188" t="str">
        <f ca="1">IF(tblResultCalib[[#This Row],[Promedio Patrón]]="","",IFERROR(IF(OFFSET($AF$11,0,tblResultCalib[[#This Row],['#]]-1)="",TREND($U$37:OFFSET($U$37,NumPuntosCalib-1,0),$T$37:OFFSET($T$37,NumPuntosCalib-1,0),T29),OFFSET($AF$11,0,tblResultCalib[[#This Row],['#]]-1)),0)+IFERROR(IF(OFFSET($AF$44,0,tblResultCalib[[#This Row],['#]]-1)="",TREND($AA$37:OFFSET($AA$37,NumPuntosCalib2-1,0),$Z$37:OFFSET($Z$37,NumPuntosCalib2-1,0),T29),OFFSET($AF$44,0,tblResultCalib[[#This Row],['#]]-1)),0))</f>
        <v/>
      </c>
      <c r="V29" s="187" t="str">
        <f ca="1">IFERROR(tblResultCalib[[#This Row],[Promedio Patrón]]+tblResultCalib[[#This Row],[Corrección patrón]],"")</f>
        <v/>
      </c>
      <c r="W29" s="187" t="str">
        <f t="shared" ca="1" si="1"/>
        <v/>
      </c>
      <c r="X29" s="188" t="str">
        <f ca="1">IFERROR(tblResultCalib[[#This Row],[Patrón corregido]]-tblResultCalib[[#This Row],[Promedio equipo]],"")</f>
        <v/>
      </c>
      <c r="Y29" s="188" t="str">
        <f ca="1">IF(tblResultCalib[[#This Row],[Promedio Patrón]]="","",SQRT(SUMSQ(IFERROR(IF(OFFSET($AF$22,0,tblResultCalib[[#This Row],['#]]-1)="",TREND($V$37:OFFSET($V$37,NumPuntosCalib-1,0),$T$37:OFFSET($T$37,NumPuntosCalib-1,0),T29),OFFSET($AF$22,0,tblResultCalib[[#This Row],['#]]-1)),0),IFERROR(IF(OFFSET($AF$55,0,tblResultCalib[[#This Row],['#]]-1)="",TREND($AB$37:OFFSET($AB$37,NumPuntosCalib2-1,0),$Z$37:OFFSET($Z$37,NumPuntosCalib2-1,0),T29),OFFSET($AF$55,0,tblResultCalib[[#This Row],['#]]-1)),0))))</f>
        <v/>
      </c>
      <c r="Z29" s="46" t="str">
        <f ca="1">IF(tblResultCalib[[#This Row],[Promedio Patrón]]="","",IFERROR(IF(OFFSET($AF$33,0,tblResultCalib[[#This Row],['#]]-1)="",TREND($W$37:OFFSET($W$37,NumPuntosCalib-1,0),$T$37:OFFSET($T$37,NumPuntosCalib-1,0),T29),OFFSET($AF$33,0,tblResultCalib[[#This Row],['#]]-1)),0)+IFERROR(IF(OFFSET($AF$66,0,tblResultCalib[[#This Row],['#]]-1)="",TREND($AC$37:OFFSET($AC$37,NumPuntosCalib2-1,0),$Z$37:OFFSET($Z$37,NumPuntosCalib2-1,0),T29),OFFSET($AF$66,0,tblResultCalib[[#This Row],['#]]-1)),0))</f>
        <v/>
      </c>
      <c r="AA29" s="147" t="str">
        <f ca="1">IFERROR(ABS(IF(OR(CertTempC&lt;INDEX($T$5:$Y$7,MATCH($I$3,$T$5:$T$7,0),4),CertTempC&gt;INDEX($T$5:$Y$7,MATCH($I$3,$T$5:$T$7,0),5)),tblResultCalib[[#This Row],[Promedio Patrón]]*INDEX($T$5:$Y$7,MATCH($I$3,$T$5:$T$7,0),6),0)),"")</f>
        <v/>
      </c>
      <c r="AB29" s="144" t="str">
        <f>IFERROR(ABS(IF(OR(CertTempC&lt;INDEX($T$5:$Y$7,MATCH($I$5,$T$5:$T$7,0),4),CertTempC&gt;INDEX($T$5:$Y$7,MATCH($I$5,$T$5:$T$7,0),5)),tblResultCalib[[#This Row],[Promedio Patrón]]*INDEX($T$5:$Y$7,MATCH($I$5,$T$5:$T$7,0),6),0)),"")</f>
        <v/>
      </c>
      <c r="AE29" s="68" t="s">
        <v>168</v>
      </c>
      <c r="AF29" s="65" t="str">
        <f ca="1">IFERROR(INDEX($T$37:$T$51,MATCH(AF$28,$T$37:OFFSET($T$37,NumPuntosCalib-1,0),1)),"")</f>
        <v/>
      </c>
      <c r="AG29" s="65" t="str">
        <f ca="1">IFERROR(INDEX($T$37:$T$51,MATCH(AG$28,$T$37:OFFSET($T$37,NumPuntosCalib-1,0),1)),"")</f>
        <v/>
      </c>
      <c r="AH29" s="65" t="str">
        <f ca="1">IFERROR(INDEX($T$37:$T$51,MATCH(AH$28,$T$37:OFFSET($T$37,NumPuntosCalib-1,0),1)),"")</f>
        <v/>
      </c>
      <c r="AI29" s="65" t="str">
        <f ca="1">IFERROR(INDEX($T$37:$T$51,MATCH(AI$28,$T$37:OFFSET($T$37,NumPuntosCalib-1,0),1)),"")</f>
        <v/>
      </c>
      <c r="AJ29" s="65" t="str">
        <f ca="1">IFERROR(INDEX($T$37:$T$51,MATCH(AJ$28,$T$37:OFFSET($T$37,NumPuntosCalib-1,0),1)),"")</f>
        <v/>
      </c>
      <c r="AK29" s="65" t="str">
        <f ca="1">IFERROR(INDEX($T$37:$T$51,MATCH(AK$28,$T$37:OFFSET($T$37,NumPuntosCalib-1,0),1)),"")</f>
        <v/>
      </c>
      <c r="AL29" s="65" t="str">
        <f ca="1">IFERROR(INDEX($T$37:$T$51,MATCH(AL$28,$T$37:OFFSET($T$37,NumPuntosCalib-1,0),1)),"")</f>
        <v/>
      </c>
      <c r="AM29" s="65" t="str">
        <f ca="1">IFERROR(INDEX($T$37:$T$51,MATCH(AM$28,$T$37:OFFSET($T$37,NumPuntosCalib-1,0),1)),"")</f>
        <v/>
      </c>
      <c r="AN29" s="65" t="str">
        <f ca="1">IFERROR(INDEX($T$37:$T$51,MATCH(AN$28,$T$37:OFFSET($T$37,NumPuntosCalib-1,0),1)),"")</f>
        <v/>
      </c>
      <c r="AO29" s="65" t="str">
        <f ca="1">IFERROR(INDEX($T$37:$T$51,MATCH(AO$28,$T$37:OFFSET($T$37,NumPuntosCalib-1,0),1)),"")</f>
        <v/>
      </c>
    </row>
    <row r="30" spans="2:41" x14ac:dyDescent="0.3"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AE30" s="68" t="s">
        <v>170</v>
      </c>
      <c r="AF30" s="65" t="str">
        <f ca="1">IFERROR(INDEX($W$37:$W$51,MATCH(AF$28,$T$37:OFFSET($T$37,NumPuntosCalib-1,0),1)),"")</f>
        <v/>
      </c>
      <c r="AG30" s="65" t="str">
        <f ca="1">IFERROR(INDEX($W$37:$W$51,MATCH(AG$28,$T$37:OFFSET($T$37,NumPuntosCalib-1,0),1)),"")</f>
        <v/>
      </c>
      <c r="AH30" s="65" t="str">
        <f ca="1">IFERROR(INDEX($W$37:$W$51,MATCH(AH$28,$T$37:OFFSET($T$37,NumPuntosCalib-1,0),1)),"")</f>
        <v/>
      </c>
      <c r="AI30" s="65" t="str">
        <f ca="1">IFERROR(INDEX($W$37:$W$51,MATCH(AI$28,$T$37:OFFSET($T$37,NumPuntosCalib-1,0),1)),"")</f>
        <v/>
      </c>
      <c r="AJ30" s="65" t="str">
        <f ca="1">IFERROR(INDEX($W$37:$W$51,MATCH(AJ$28,$T$37:OFFSET($T$37,NumPuntosCalib-1,0),1)),"")</f>
        <v/>
      </c>
      <c r="AK30" s="65" t="str">
        <f ca="1">IFERROR(INDEX($W$37:$W$51,MATCH(AK$28,$T$37:OFFSET($T$37,NumPuntosCalib-1,0),1)),"")</f>
        <v/>
      </c>
      <c r="AL30" s="65" t="str">
        <f ca="1">IFERROR(INDEX($W$37:$W$51,MATCH(AL$28,$T$37:OFFSET($T$37,NumPuntosCalib-1,0),1)),"")</f>
        <v/>
      </c>
      <c r="AM30" s="65" t="str">
        <f ca="1">IFERROR(INDEX($W$37:$W$51,MATCH(AM$28,$T$37:OFFSET($T$37,NumPuntosCalib-1,0),1)),"")</f>
        <v/>
      </c>
      <c r="AN30" s="65" t="str">
        <f ca="1">IFERROR(INDEX($W$37:$W$51,MATCH(AN$28,$T$37:OFFSET($T$37,NumPuntosCalib-1,0),1)),"")</f>
        <v/>
      </c>
      <c r="AO30" s="65" t="str">
        <f ca="1">IFERROR(INDEX($W$37:$W$51,MATCH(AO$28,$T$37:OFFSET($T$37,NumPuntosCalib-1,0),1)),"")</f>
        <v/>
      </c>
    </row>
    <row r="31" spans="2:41" x14ac:dyDescent="0.3"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  <c r="N31" s="3"/>
      <c r="O31" s="3"/>
      <c r="P31" s="3"/>
      <c r="Q31" s="3"/>
      <c r="AE31" s="68" t="s">
        <v>169</v>
      </c>
      <c r="AF31" s="65" t="str">
        <f ca="1">IFERROR(INDEX($T$37:$T$51,MATCH(AF$28,$T$37:OFFSET($T$37,NumPuntosCalib-1,0),1)+1),"")</f>
        <v/>
      </c>
      <c r="AG31" s="65" t="str">
        <f ca="1">IFERROR(INDEX($T$37:$T$51,MATCH(AG$28,$T$37:OFFSET($T$37,NumPuntosCalib-1,0),1)+1),"")</f>
        <v/>
      </c>
      <c r="AH31" s="65" t="str">
        <f ca="1">IFERROR(INDEX($T$37:$T$51,MATCH(AH$28,$T$37:OFFSET($T$37,NumPuntosCalib-1,0),1)+1),"")</f>
        <v/>
      </c>
      <c r="AI31" s="65" t="str">
        <f ca="1">IFERROR(INDEX($T$37:$T$51,MATCH(AI$28,$T$37:OFFSET($T$37,NumPuntosCalib-1,0),1)+1),"")</f>
        <v/>
      </c>
      <c r="AJ31" s="65" t="str">
        <f ca="1">IFERROR(INDEX($T$37:$T$51,MATCH(AJ$28,$T$37:OFFSET($T$37,NumPuntosCalib-1,0),1)+1),"")</f>
        <v/>
      </c>
      <c r="AK31" s="65" t="str">
        <f ca="1">IFERROR(INDEX($T$37:$T$51,MATCH(AK$28,$T$37:OFFSET($T$37,NumPuntosCalib-1,0),1)+1),"")</f>
        <v/>
      </c>
      <c r="AL31" s="65" t="str">
        <f ca="1">IFERROR(INDEX($T$37:$T$51,MATCH(AL$28,$T$37:OFFSET($T$37,NumPuntosCalib-1,0),1)+1),"")</f>
        <v/>
      </c>
      <c r="AM31" s="65" t="str">
        <f ca="1">IFERROR(INDEX($T$37:$T$51,MATCH(AM$28,$T$37:OFFSET($T$37,NumPuntosCalib-1,0),1)+1),"")</f>
        <v/>
      </c>
      <c r="AN31" s="65" t="str">
        <f ca="1">IFERROR(INDEX($T$37:$T$51,MATCH(AN$28,$T$37:OFFSET($T$37,NumPuntosCalib-1,0),1)+1),"")</f>
        <v/>
      </c>
      <c r="AO31" s="65" t="str">
        <f ca="1">IFERROR(INDEX($T$37:$T$51,MATCH(AO$28,$T$37:OFFSET($T$37,NumPuntosCalib-1,0),1)+1),"")</f>
        <v/>
      </c>
    </row>
    <row r="32" spans="2:41" x14ac:dyDescent="0.3">
      <c r="AE32" s="68" t="s">
        <v>171</v>
      </c>
      <c r="AF32" s="65" t="str">
        <f ca="1">IFERROR(INDEX($W$37:$W$51,MATCH(AF$28,$T$37:OFFSET($T$37,NumPuntosCalib-1,0),1)+1),"")</f>
        <v/>
      </c>
      <c r="AG32" s="65" t="str">
        <f ca="1">IFERROR(INDEX($W$37:$W$51,MATCH(AG$28,$T$37:OFFSET($T$37,NumPuntosCalib-1,0),1)+1),"")</f>
        <v/>
      </c>
      <c r="AH32" s="65" t="str">
        <f ca="1">IFERROR(INDEX($W$37:$W$51,MATCH(AH$28,$T$37:OFFSET($T$37,NumPuntosCalib-1,0),1)+1),"")</f>
        <v/>
      </c>
      <c r="AI32" s="65" t="str">
        <f ca="1">IFERROR(INDEX($W$37:$W$51,MATCH(AI$28,$T$37:OFFSET($T$37,NumPuntosCalib-1,0),1)+1),"")</f>
        <v/>
      </c>
      <c r="AJ32" s="65" t="str">
        <f ca="1">IFERROR(INDEX($W$37:$W$51,MATCH(AJ$28,$T$37:OFFSET($T$37,NumPuntosCalib-1,0),1)+1),"")</f>
        <v/>
      </c>
      <c r="AK32" s="65" t="str">
        <f ca="1">IFERROR(INDEX($W$37:$W$51,MATCH(AK$28,$T$37:OFFSET($T$37,NumPuntosCalib-1,0),1)+1),"")</f>
        <v/>
      </c>
      <c r="AL32" s="65" t="str">
        <f ca="1">IFERROR(INDEX($W$37:$W$51,MATCH(AL$28,$T$37:OFFSET($T$37,NumPuntosCalib-1,0),1)+1),"")</f>
        <v/>
      </c>
      <c r="AM32" s="65" t="str">
        <f ca="1">IFERROR(INDEX($W$37:$W$51,MATCH(AM$28,$T$37:OFFSET($T$37,NumPuntosCalib-1,0),1)+1),"")</f>
        <v/>
      </c>
      <c r="AN32" s="65" t="str">
        <f ca="1">IFERROR(INDEX($W$37:$W$51,MATCH(AN$28,$T$37:OFFSET($T$37,NumPuntosCalib-1,0),1)+1),"")</f>
        <v/>
      </c>
      <c r="AO32" s="65" t="str">
        <f ca="1">IFERROR(INDEX($W$37:$W$51,MATCH(AO$28,$T$37:OFFSET($T$37,NumPuntosCalib-1,0),1)+1),"")</f>
        <v/>
      </c>
    </row>
    <row r="33" spans="2:41" ht="15" x14ac:dyDescent="0.3">
      <c r="J33" s="14"/>
      <c r="K33" s="14"/>
      <c r="L33" s="209"/>
      <c r="M33" s="209"/>
      <c r="S33" s="15"/>
      <c r="T33" s="15" t="s">
        <v>378</v>
      </c>
      <c r="U33" s="15"/>
      <c r="V33" s="15"/>
      <c r="W33" s="15" t="str">
        <f>CONCATENATE("[Todo en ", unidad,"]")</f>
        <v>[Todo en psi]</v>
      </c>
      <c r="Y33" s="15" t="s">
        <v>379</v>
      </c>
      <c r="Z33" s="15"/>
      <c r="AA33" s="15"/>
      <c r="AB33" s="15" t="str">
        <f>CONCATENATE("[Todo en ", unidad,"]")</f>
        <v>[Todo en psi]</v>
      </c>
      <c r="AE33" s="68" t="s">
        <v>172</v>
      </c>
      <c r="AF33" s="120" t="str">
        <f t="shared" ref="AF33:AO33" ca="1" si="7">IFERROR(AF30+(AF28-AF29)*(AF32-AF30)/(AF31-AF29),"")</f>
        <v/>
      </c>
      <c r="AG33" s="120" t="str">
        <f t="shared" ca="1" si="7"/>
        <v/>
      </c>
      <c r="AH33" s="120" t="str">
        <f t="shared" ca="1" si="7"/>
        <v/>
      </c>
      <c r="AI33" s="120" t="str">
        <f t="shared" ca="1" si="7"/>
        <v/>
      </c>
      <c r="AJ33" s="120" t="str">
        <f t="shared" ca="1" si="7"/>
        <v/>
      </c>
      <c r="AK33" s="120" t="str">
        <f t="shared" ca="1" si="7"/>
        <v/>
      </c>
      <c r="AL33" s="120" t="str">
        <f t="shared" ca="1" si="7"/>
        <v/>
      </c>
      <c r="AM33" s="120" t="str">
        <f t="shared" ca="1" si="7"/>
        <v/>
      </c>
      <c r="AN33" s="120" t="str">
        <f t="shared" ca="1" si="7"/>
        <v/>
      </c>
      <c r="AO33" s="120" t="str">
        <f t="shared" ca="1" si="7"/>
        <v/>
      </c>
    </row>
    <row r="35" spans="2:41" x14ac:dyDescent="0.3">
      <c r="C35" s="15" t="s">
        <v>95</v>
      </c>
      <c r="D35" s="15"/>
      <c r="E35" s="15"/>
      <c r="M35" s="15" t="s">
        <v>350</v>
      </c>
      <c r="N35" s="15"/>
      <c r="O35" s="15"/>
      <c r="T35" s="27" t="s">
        <v>121</v>
      </c>
      <c r="U35" s="26" t="str">
        <f>I3</f>
        <v>NI-MCPP-05</v>
      </c>
      <c r="Z35" s="27" t="s">
        <v>121</v>
      </c>
      <c r="AA35" s="26">
        <f>I5</f>
        <v>0</v>
      </c>
    </row>
    <row r="36" spans="2:41" ht="44.4" x14ac:dyDescent="0.3">
      <c r="C36" s="70" t="s">
        <v>360</v>
      </c>
      <c r="D36" s="70" t="s">
        <v>361</v>
      </c>
      <c r="E36" s="70" t="s">
        <v>96</v>
      </c>
      <c r="F36" s="99" t="s">
        <v>174</v>
      </c>
      <c r="G36" s="96" t="s">
        <v>360</v>
      </c>
      <c r="H36" s="70" t="s">
        <v>361</v>
      </c>
      <c r="I36" s="70" t="s">
        <v>96</v>
      </c>
      <c r="J36" s="70" t="s">
        <v>174</v>
      </c>
      <c r="K36" s="70" t="s">
        <v>270</v>
      </c>
      <c r="M36" s="70" t="s">
        <v>141</v>
      </c>
      <c r="N36" s="49" t="s">
        <v>396</v>
      </c>
      <c r="O36" s="70" t="s">
        <v>275</v>
      </c>
      <c r="P36" s="70" t="s">
        <v>276</v>
      </c>
      <c r="Q36" s="70" t="s">
        <v>338</v>
      </c>
      <c r="S36" s="29" t="s">
        <v>102</v>
      </c>
      <c r="T36" s="47" t="s">
        <v>380</v>
      </c>
      <c r="U36" s="47" t="s">
        <v>240</v>
      </c>
      <c r="V36" s="47" t="s">
        <v>241</v>
      </c>
      <c r="W36" s="47" t="s">
        <v>160</v>
      </c>
      <c r="Y36" s="29" t="s">
        <v>102</v>
      </c>
      <c r="Z36" s="47" t="s">
        <v>380</v>
      </c>
      <c r="AA36" s="47" t="s">
        <v>240</v>
      </c>
      <c r="AB36" s="47" t="s">
        <v>241</v>
      </c>
      <c r="AC36" s="47" t="s">
        <v>160</v>
      </c>
      <c r="AE36" s="15" t="s">
        <v>394</v>
      </c>
      <c r="AF36" s="15"/>
      <c r="AG36" s="15"/>
      <c r="AH36" s="15"/>
      <c r="AI36" s="15" t="str">
        <f>CONCATENATE("[Todo en ", unidad,"]")</f>
        <v>[Todo en psi]</v>
      </c>
      <c r="AJ36" s="15"/>
    </row>
    <row r="37" spans="2:41" x14ac:dyDescent="0.3">
      <c r="C37" s="48" t="str">
        <f>unidad</f>
        <v>psi</v>
      </c>
      <c r="D37" s="48" t="str">
        <f>unidad</f>
        <v>psi</v>
      </c>
      <c r="E37" s="48" t="str">
        <f>unidad</f>
        <v>psi</v>
      </c>
      <c r="F37" s="100" t="str">
        <f>unidad</f>
        <v>psi</v>
      </c>
      <c r="G37" s="97" t="s">
        <v>338</v>
      </c>
      <c r="H37" s="48" t="s">
        <v>338</v>
      </c>
      <c r="I37" s="48" t="s">
        <v>338</v>
      </c>
      <c r="J37" s="48" t="s">
        <v>338</v>
      </c>
      <c r="K37" s="48" t="str">
        <f>unidad</f>
        <v>psi</v>
      </c>
      <c r="M37" s="201" t="s">
        <v>275</v>
      </c>
      <c r="N37" s="197">
        <v>1</v>
      </c>
      <c r="O37" s="197">
        <v>1</v>
      </c>
      <c r="P37" s="197">
        <v>6.8947599999999998E-2</v>
      </c>
      <c r="Q37" s="27">
        <v>6.8947570000000002</v>
      </c>
      <c r="S37" s="20">
        <v>1</v>
      </c>
      <c r="T37" s="195">
        <f>INDEX(Cert_patrones[[#All],[Código Patrón]:[Deriva]],MATCH($U$35,Cert_patrones[Código Patrón],0)+S37,3)*coef_unidad</f>
        <v>-12</v>
      </c>
      <c r="U37" s="195">
        <f>INDEX(Cert_patrones[[#All],[Código Patrón]:[Deriva]],MATCH($U$35,Cert_patrones[Código Patrón],0)+S37,4)*coef_unidad</f>
        <v>-1E-3</v>
      </c>
      <c r="V37" s="195">
        <f>INDEX(Cert_patrones[[#All],[Código Patrón]:[Deriva]],MATCH($U$35,Cert_patrones[Código Patrón],0)+S37,5)*coef_unidad</f>
        <v>2.1000000000000001E-2</v>
      </c>
      <c r="W37" s="195">
        <f>INDEX(Cert_patrones[[#All],[Código Patrón]:[Deriva]],MATCH($U$35,Cert_patrones[Código Patrón],0)+S37,9)*coef_unidad</f>
        <v>0</v>
      </c>
      <c r="Y37" s="20">
        <v>1</v>
      </c>
      <c r="Z37" s="195" t="str">
        <f>IFERROR(INDEX(Cert_patrones[[#All],[Código Patrón]:[Deriva]],MATCH($AA$35,Cert_patrones[Código Patrón],0)+Y37,3)*coef_unidad,"")</f>
        <v/>
      </c>
      <c r="AA37" s="195" t="str">
        <f>IFERROR(INDEX(Cert_patrones[[#All],[Código Patrón]:[Deriva]],MATCH($AA$35,Cert_patrones[Código Patrón],0)+Y37,4)*coef_unidad,"")</f>
        <v/>
      </c>
      <c r="AB37" s="195" t="str">
        <f>IFERROR(INDEX(Cert_patrones[[#All],[Código Patrón]:[Deriva]],MATCH($AA$35,Cert_patrones[Código Patrón],0)+Y37,5)*coef_unidad,"")</f>
        <v/>
      </c>
      <c r="AC37" s="195" t="str">
        <f>IFERROR(INDEX(Cert_patrones[[#All],[Código Patrón]:[Deriva]],MATCH($AA$35,Cert_patrones[Código Patrón],0)+Y37,9)*coef_unidad,"")</f>
        <v/>
      </c>
    </row>
    <row r="38" spans="2:41" x14ac:dyDescent="0.3">
      <c r="B38">
        <v>1</v>
      </c>
      <c r="C38" s="95" t="str">
        <f ca="1">V15</f>
        <v/>
      </c>
      <c r="D38" s="95" t="str">
        <f t="shared" ref="D38:D52" ca="1" si="8">W15</f>
        <v/>
      </c>
      <c r="E38" s="95" t="str">
        <f t="shared" ref="E38:E52" ca="1" si="9">X15</f>
        <v/>
      </c>
      <c r="F38" s="98" t="str">
        <f ca="1">IFERROR(IF(C38&lt;&gt;"",'kU(E)'!$G$19*'kU(E)'!G56,""),"")</f>
        <v/>
      </c>
      <c r="G38" s="250" t="str">
        <f t="shared" ref="G38:G52" ca="1" si="10">IFERROR(V15*INDEX($M$37:$Q$51,MATCH(unidad,$M$37:$M$51,0),5),"")</f>
        <v/>
      </c>
      <c r="H38" s="95" t="str">
        <f t="shared" ref="H38:H52" ca="1" si="11">IFERROR(W15*INDEX($M$37:$Q$51,MATCH(unidad,$M$37:$M$51,0),5),"")</f>
        <v/>
      </c>
      <c r="I38" s="95" t="str">
        <f t="shared" ref="I38:I52" ca="1" si="12">IFERROR(X15*INDEX($M$37:$Q$51,MATCH(unidad,$M$37:$M$51,0),5),"")</f>
        <v/>
      </c>
      <c r="J38" s="98" t="str">
        <f t="shared" ref="J38:J52" ca="1" si="13">IFERROR(F38*INDEX($M$37:$Q$51,MATCH(unidad,$M$37:$M$51,0),5),"")</f>
        <v/>
      </c>
      <c r="K38" s="213" t="str">
        <f ca="1">IFERROR(IF(C38="","",#REF!),"")</f>
        <v/>
      </c>
      <c r="M38" s="201" t="s">
        <v>276</v>
      </c>
      <c r="N38" s="197">
        <v>6.8947999999999995E-2</v>
      </c>
      <c r="O38" s="197">
        <v>6.8947999999999995E-2</v>
      </c>
      <c r="P38" s="197">
        <v>1</v>
      </c>
      <c r="Q38" s="27">
        <v>100</v>
      </c>
      <c r="S38" s="20">
        <v>2</v>
      </c>
      <c r="T38" s="196">
        <f>INDEX(Cert_patrones[[#All],[Código Patrón]:[Deriva]],MATCH($U$35,Cert_patrones[Código Patrón],0)+S38,3)*coef_unidad</f>
        <v>-6</v>
      </c>
      <c r="U38" s="196">
        <f>INDEX(Cert_patrones[[#All],[Código Patrón]:[Deriva]],MATCH($U$35,Cert_patrones[Código Patrón],0)+S38,4)*coef_unidad</f>
        <v>-2E-3</v>
      </c>
      <c r="V38" s="196">
        <f>INDEX(Cert_patrones[[#All],[Código Patrón]:[Deriva]],MATCH($U$35,Cert_patrones[Código Patrón],0)+S38,5)*coef_unidad</f>
        <v>2.1000000000000001E-2</v>
      </c>
      <c r="W38" s="196">
        <f>INDEX(Cert_patrones[[#All],[Código Patrón]:[Deriva]],MATCH($U$35,Cert_patrones[Código Patrón],0)+S38,9)*coef_unidad</f>
        <v>5.1999999999999998E-2</v>
      </c>
      <c r="Y38" s="20">
        <v>2</v>
      </c>
      <c r="Z38" s="196" t="str">
        <f>IFERROR(INDEX(Cert_patrones[[#All],[Código Patrón]:[Deriva]],MATCH($AA$35,Cert_patrones[Código Patrón],0)+Y38,3)*coef_unidad,"")</f>
        <v/>
      </c>
      <c r="AA38" s="196" t="str">
        <f>IFERROR(INDEX(Cert_patrones[[#All],[Código Patrón]:[Deriva]],MATCH($AA$35,Cert_patrones[Código Patrón],0)+Y38,4)*coef_unidad,"")</f>
        <v/>
      </c>
      <c r="AB38" s="196" t="str">
        <f>IFERROR(INDEX(Cert_patrones[[#All],[Código Patrón]:[Deriva]],MATCH($AA$35,Cert_patrones[Código Patrón],0)+Y38,5)*coef_unidad,"")</f>
        <v/>
      </c>
      <c r="AC38" s="196" t="str">
        <f>IFERROR(INDEX(Cert_patrones[[#All],[Código Patrón]:[Deriva]],MATCH($AA$35,Cert_patrones[Código Patrón],0)+Y38,9)*coef_unidad,"")</f>
        <v/>
      </c>
      <c r="AE38" s="47" t="s">
        <v>173</v>
      </c>
      <c r="AF38" s="47">
        <v>1</v>
      </c>
      <c r="AG38" s="47">
        <v>2</v>
      </c>
      <c r="AH38" s="47">
        <v>3</v>
      </c>
      <c r="AI38" s="47">
        <v>4</v>
      </c>
      <c r="AJ38" s="47">
        <v>5</v>
      </c>
      <c r="AK38" s="47">
        <v>6</v>
      </c>
      <c r="AL38" s="47">
        <v>7</v>
      </c>
      <c r="AM38" s="47">
        <v>8</v>
      </c>
      <c r="AN38" s="47">
        <v>9</v>
      </c>
      <c r="AO38" s="47">
        <v>10</v>
      </c>
    </row>
    <row r="39" spans="2:41" x14ac:dyDescent="0.3">
      <c r="B39">
        <v>2</v>
      </c>
      <c r="C39" s="95" t="str">
        <f t="shared" ref="C39:C52" ca="1" si="14">V16</f>
        <v/>
      </c>
      <c r="D39" s="95" t="str">
        <f t="shared" ca="1" si="8"/>
        <v/>
      </c>
      <c r="E39" s="95" t="str">
        <f t="shared" ca="1" si="9"/>
        <v/>
      </c>
      <c r="F39" s="98" t="str">
        <f ca="1">IFERROR(IF(C39&lt;&gt;"",'kU(E)'!$H$19*'kU(E)'!G57,""),"")</f>
        <v/>
      </c>
      <c r="G39" s="250" t="str">
        <f t="shared" ca="1" si="10"/>
        <v/>
      </c>
      <c r="H39" s="95" t="str">
        <f t="shared" ca="1" si="11"/>
        <v/>
      </c>
      <c r="I39" s="95" t="str">
        <f t="shared" ca="1" si="12"/>
        <v/>
      </c>
      <c r="J39" s="98" t="str">
        <f t="shared" ca="1" si="13"/>
        <v/>
      </c>
      <c r="K39" s="213" t="str">
        <f ca="1">IFERROR(IF(C39="","",#REF!),"")</f>
        <v/>
      </c>
      <c r="M39" s="201" t="s">
        <v>277</v>
      </c>
      <c r="N39" s="197">
        <v>6894.7573000000002</v>
      </c>
      <c r="O39" s="197">
        <v>6894.7573000000002</v>
      </c>
      <c r="P39" s="197">
        <v>1.0000000000000001E-5</v>
      </c>
      <c r="Q39" s="27">
        <v>1E-3</v>
      </c>
      <c r="S39" s="20">
        <v>3</v>
      </c>
      <c r="T39" s="196">
        <f>INDEX(Cert_patrones[[#All],[Código Patrón]:[Deriva]],MATCH($U$35,Cert_patrones[Código Patrón],0)+S39,3)*coef_unidad</f>
        <v>0</v>
      </c>
      <c r="U39" s="196">
        <f>INDEX(Cert_patrones[[#All],[Código Patrón]:[Deriva]],MATCH($U$35,Cert_patrones[Código Patrón],0)+S39,4)*coef_unidad</f>
        <v>1E-3</v>
      </c>
      <c r="V39" s="196">
        <f>INDEX(Cert_patrones[[#All],[Código Patrón]:[Deriva]],MATCH($U$35,Cert_patrones[Código Patrón],0)+S39,5)*coef_unidad</f>
        <v>2.1000000000000001E-2</v>
      </c>
      <c r="W39" s="196">
        <f>INDEX(Cert_patrones[[#All],[Código Patrón]:[Deriva]],MATCH($U$35,Cert_patrones[Código Patrón],0)+S39,9)*coef_unidad</f>
        <v>9.9999999999999985E-3</v>
      </c>
      <c r="Y39" s="20">
        <v>3</v>
      </c>
      <c r="Z39" s="196" t="str">
        <f>IFERROR(INDEX(Cert_patrones[[#All],[Código Patrón]:[Deriva]],MATCH($AA$35,Cert_patrones[Código Patrón],0)+Y39,3)*coef_unidad,"")</f>
        <v/>
      </c>
      <c r="AA39" s="196" t="str">
        <f>IFERROR(INDEX(Cert_patrones[[#All],[Código Patrón]:[Deriva]],MATCH($AA$35,Cert_patrones[Código Patrón],0)+Y39,4)*coef_unidad,"")</f>
        <v/>
      </c>
      <c r="AB39" s="196" t="str">
        <f>IFERROR(INDEX(Cert_patrones[[#All],[Código Patrón]:[Deriva]],MATCH($AA$35,Cert_patrones[Código Patrón],0)+Y39,5)*coef_unidad,"")</f>
        <v/>
      </c>
      <c r="AC39" s="196" t="str">
        <f>IFERROR(INDEX(Cert_patrones[[#All],[Código Patrón]:[Deriva]],MATCH($AA$35,Cert_patrones[Código Patrón],0)+Y39,9)*coef_unidad,"")</f>
        <v/>
      </c>
      <c r="AE39" s="68" t="s">
        <v>167</v>
      </c>
      <c r="AF39" s="69" t="str">
        <f t="array" aca="1" ref="AF39:AO39" ca="1">TRANSPOSE($T$15:$T$29)</f>
        <v/>
      </c>
      <c r="AG39" s="69" t="str">
        <f ca="1"/>
        <v/>
      </c>
      <c r="AH39" s="69" t="str">
        <f ca="1"/>
        <v/>
      </c>
      <c r="AI39" s="69" t="str">
        <f ca="1"/>
        <v/>
      </c>
      <c r="AJ39" s="69" t="str">
        <f ca="1"/>
        <v/>
      </c>
      <c r="AK39" s="69" t="str">
        <f ca="1"/>
        <v/>
      </c>
      <c r="AL39" s="64" t="str">
        <f ca="1"/>
        <v/>
      </c>
      <c r="AM39" s="64" t="str">
        <f ca="1"/>
        <v/>
      </c>
      <c r="AN39" s="64" t="str">
        <f ca="1"/>
        <v/>
      </c>
      <c r="AO39" s="64" t="str">
        <f ca="1"/>
        <v/>
      </c>
    </row>
    <row r="40" spans="2:41" x14ac:dyDescent="0.3">
      <c r="B40">
        <v>3</v>
      </c>
      <c r="C40" s="95" t="str">
        <f t="shared" ca="1" si="14"/>
        <v/>
      </c>
      <c r="D40" s="95" t="str">
        <f t="shared" ca="1" si="8"/>
        <v/>
      </c>
      <c r="E40" s="95" t="str">
        <f t="shared" ca="1" si="9"/>
        <v/>
      </c>
      <c r="F40" s="98" t="str">
        <f ca="1">IFERROR(IF(C40&lt;&gt;"",'kU(E)'!$I$19*'kU(E)'!G58,""),"")</f>
        <v/>
      </c>
      <c r="G40" s="250" t="str">
        <f t="shared" ca="1" si="10"/>
        <v/>
      </c>
      <c r="H40" s="95" t="str">
        <f t="shared" ca="1" si="11"/>
        <v/>
      </c>
      <c r="I40" s="95" t="str">
        <f t="shared" ca="1" si="12"/>
        <v/>
      </c>
      <c r="J40" s="98" t="str">
        <f t="shared" ca="1" si="13"/>
        <v/>
      </c>
      <c r="K40" s="213" t="str">
        <f ca="1">IFERROR(IF(C40="","",#REF!),"")</f>
        <v/>
      </c>
      <c r="M40" s="201" t="s">
        <v>338</v>
      </c>
      <c r="N40" s="197">
        <v>6.8948</v>
      </c>
      <c r="O40" s="197">
        <v>6.8948</v>
      </c>
      <c r="P40" s="197">
        <v>0.01</v>
      </c>
      <c r="Q40" s="27">
        <v>1</v>
      </c>
      <c r="S40" s="20">
        <v>4</v>
      </c>
      <c r="T40" s="196">
        <f>INDEX(Cert_patrones[[#All],[Código Patrón]:[Deriva]],MATCH($U$35,Cert_patrones[Código Patrón],0)+S40,3)*coef_unidad</f>
        <v>50</v>
      </c>
      <c r="U40" s="196">
        <f>INDEX(Cert_patrones[[#All],[Código Patrón]:[Deriva]],MATCH($U$35,Cert_patrones[Código Patrón],0)+S40,4)*coef_unidad</f>
        <v>4.0000000000000001E-3</v>
      </c>
      <c r="V40" s="196">
        <f>INDEX(Cert_patrones[[#All],[Código Patrón]:[Deriva]],MATCH($U$35,Cert_patrones[Código Patrón],0)+S40,5)*coef_unidad</f>
        <v>2.1000000000000001E-2</v>
      </c>
      <c r="W40" s="196">
        <f>INDEX(Cert_patrones[[#All],[Código Patrón]:[Deriva]],MATCH($U$35,Cert_patrones[Código Patrón],0)+S40,9)*coef_unidad</f>
        <v>3.7000000000000005E-2</v>
      </c>
      <c r="Y40" s="20">
        <v>4</v>
      </c>
      <c r="Z40" s="196" t="str">
        <f>IFERROR(INDEX(Cert_patrones[[#All],[Código Patrón]:[Deriva]],MATCH($AA$35,Cert_patrones[Código Patrón],0)+Y40,3)*coef_unidad,"")</f>
        <v/>
      </c>
      <c r="AA40" s="196" t="str">
        <f>IFERROR(INDEX(Cert_patrones[[#All],[Código Patrón]:[Deriva]],MATCH($AA$35,Cert_patrones[Código Patrón],0)+Y40,4)*coef_unidad,"")</f>
        <v/>
      </c>
      <c r="AB40" s="196" t="str">
        <f>IFERROR(INDEX(Cert_patrones[[#All],[Código Patrón]:[Deriva]],MATCH($AA$35,Cert_patrones[Código Patrón],0)+Y40,5)*coef_unidad,"")</f>
        <v/>
      </c>
      <c r="AC40" s="196" t="str">
        <f>IFERROR(INDEX(Cert_patrones[[#All],[Código Patrón]:[Deriva]],MATCH($AA$35,Cert_patrones[Código Patrón],0)+Y40,9)*coef_unidad,"")</f>
        <v/>
      </c>
      <c r="AE40" s="68" t="s">
        <v>168</v>
      </c>
      <c r="AF40" s="65" t="str">
        <f ca="1">IFERROR(INDEX($Z$37:$Z$51,MATCH(AF$39,$Z$37:OFFSET($Z$37,NumPuntosCalib2-1,0),1)),"")</f>
        <v/>
      </c>
      <c r="AG40" s="65" t="str">
        <f ca="1">IFERROR(INDEX($Z$37:$Z$51,MATCH(AG$39,$Z$37:OFFSET($Z$37,NumPuntosCalib2-1,0),1)),"")</f>
        <v/>
      </c>
      <c r="AH40" s="65" t="str">
        <f ca="1">IFERROR(INDEX($Z$37:$Z$51,MATCH(AH$39,$Z$37:OFFSET($Z$37,NumPuntosCalib2-1,0),1)),"")</f>
        <v/>
      </c>
      <c r="AI40" s="65" t="str">
        <f ca="1">IFERROR(INDEX($Z$37:$Z$51,MATCH(AI$39,$Z$37:OFFSET($Z$37,NumPuntosCalib2-1,0),1)),"")</f>
        <v/>
      </c>
      <c r="AJ40" s="65" t="str">
        <f ca="1">IFERROR(INDEX($Z$37:$Z$51,MATCH(AJ$39,$Z$37:OFFSET($Z$37,NumPuntosCalib2-1,0),1)),"")</f>
        <v/>
      </c>
      <c r="AK40" s="65" t="str">
        <f ca="1">IFERROR(INDEX($Z$37:$Z$51,MATCH(AK$39,$Z$37:OFFSET($Z$37,NumPuntosCalib2-1,0),1)),"")</f>
        <v/>
      </c>
      <c r="AL40" s="65" t="str">
        <f ca="1">IFERROR(INDEX($Z$37:$Z$51,MATCH(AL$39,$Z$37:OFFSET($Z$37,NumPuntosCalib2-1,0),1)),"")</f>
        <v/>
      </c>
      <c r="AM40" s="65" t="str">
        <f ca="1">IFERROR(INDEX($Z$37:$Z$51,MATCH(AM$39,$Z$37:OFFSET($Z$37,NumPuntosCalib2-1,0),1)),"")</f>
        <v/>
      </c>
      <c r="AN40" s="65" t="str">
        <f ca="1">IFERROR(INDEX($Z$37:$Z$51,MATCH(AN$39,$Z$37:OFFSET($Z$37,NumPuntosCalib2-1,0),1)),"")</f>
        <v/>
      </c>
      <c r="AO40" s="65" t="str">
        <f ca="1">IFERROR(INDEX($Z$37:$Z$51,MATCH(AO$39,$Z$37:OFFSET($Z$37,NumPuntosCalib2-1,0),1)),"")</f>
        <v/>
      </c>
    </row>
    <row r="41" spans="2:41" x14ac:dyDescent="0.3">
      <c r="B41">
        <v>4</v>
      </c>
      <c r="C41" s="95" t="str">
        <f t="shared" ca="1" si="14"/>
        <v/>
      </c>
      <c r="D41" s="95" t="str">
        <f t="shared" ca="1" si="8"/>
        <v/>
      </c>
      <c r="E41" s="95" t="str">
        <f t="shared" ca="1" si="9"/>
        <v/>
      </c>
      <c r="F41" s="98" t="str">
        <f ca="1">IFERROR(IF(C41&lt;&gt;"",'kU(E)'!$J$19*'kU(E)'!G59,""),"")</f>
        <v/>
      </c>
      <c r="G41" s="250" t="str">
        <f t="shared" ca="1" si="10"/>
        <v/>
      </c>
      <c r="H41" s="95" t="str">
        <f t="shared" ca="1" si="11"/>
        <v/>
      </c>
      <c r="I41" s="95" t="str">
        <f t="shared" ca="1" si="12"/>
        <v/>
      </c>
      <c r="J41" s="98" t="str">
        <f t="shared" ca="1" si="13"/>
        <v/>
      </c>
      <c r="K41" s="213" t="str">
        <f ca="1">IFERROR(IF(C41="","",#REF!),"")</f>
        <v/>
      </c>
      <c r="M41" s="201" t="s">
        <v>278</v>
      </c>
      <c r="N41" s="197">
        <v>68.947999999999993</v>
      </c>
      <c r="O41" s="197">
        <v>68.947999999999993</v>
      </c>
      <c r="P41" s="197">
        <v>1E-3</v>
      </c>
      <c r="Q41" s="27">
        <v>0.01</v>
      </c>
      <c r="S41" s="20">
        <v>5</v>
      </c>
      <c r="T41" s="196">
        <f>INDEX(Cert_patrones[[#All],[Código Patrón]:[Deriva]],MATCH($U$35,Cert_patrones[Código Patrón],0)+S41,3)*coef_unidad</f>
        <v>150</v>
      </c>
      <c r="U41" s="196">
        <f>INDEX(Cert_patrones[[#All],[Código Patrón]:[Deriva]],MATCH($U$35,Cert_patrones[Código Patrón],0)+S41,4)*coef_unidad</f>
        <v>-5.0000000000000001E-3</v>
      </c>
      <c r="V41" s="196">
        <f>INDEX(Cert_patrones[[#All],[Código Patrón]:[Deriva]],MATCH($U$35,Cert_patrones[Código Patrón],0)+S41,5)*coef_unidad</f>
        <v>2.5000000000000001E-2</v>
      </c>
      <c r="W41" s="196">
        <f>INDEX(Cert_patrones[[#All],[Código Patrón]:[Deriva]],MATCH($U$35,Cert_patrones[Código Patrón],0)+S41,9)*coef_unidad</f>
        <v>5.1000000000000004E-2</v>
      </c>
      <c r="Y41" s="20">
        <v>5</v>
      </c>
      <c r="Z41" s="196" t="str">
        <f>IFERROR(INDEX(Cert_patrones[[#All],[Código Patrón]:[Deriva]],MATCH($AA$35,Cert_patrones[Código Patrón],0)+Y41,3)*coef_unidad,"")</f>
        <v/>
      </c>
      <c r="AA41" s="196" t="str">
        <f>IFERROR(INDEX(Cert_patrones[[#All],[Código Patrón]:[Deriva]],MATCH($AA$35,Cert_patrones[Código Patrón],0)+Y41,4)*coef_unidad,"")</f>
        <v/>
      </c>
      <c r="AB41" s="196" t="str">
        <f>IFERROR(INDEX(Cert_patrones[[#All],[Código Patrón]:[Deriva]],MATCH($AA$35,Cert_patrones[Código Patrón],0)+Y41,5)*coef_unidad,"")</f>
        <v/>
      </c>
      <c r="AC41" s="196" t="str">
        <f>IFERROR(INDEX(Cert_patrones[[#All],[Código Patrón]:[Deriva]],MATCH($AA$35,Cert_patrones[Código Patrón],0)+Y41,9)*coef_unidad,"")</f>
        <v/>
      </c>
      <c r="AE41" s="68" t="s">
        <v>170</v>
      </c>
      <c r="AF41" s="65" t="str">
        <f ca="1">IFERROR(INDEX($AA$37:$AA$51,MATCH(AF$39,$Z$37:OFFSET($Z$37,NumPuntosCalib2-1,0),1)),"")</f>
        <v/>
      </c>
      <c r="AG41" s="65" t="str">
        <f ca="1">IFERROR(INDEX($AA$37:$AA$51,MATCH(AG$39,$Z$37:OFFSET($Z$37,NumPuntosCalib2-1,0),1)),"")</f>
        <v/>
      </c>
      <c r="AH41" s="65" t="str">
        <f ca="1">IFERROR(INDEX($AA$37:$AA$51,MATCH(AH$39,$Z$37:OFFSET($Z$37,NumPuntosCalib2-1,0),1)),"")</f>
        <v/>
      </c>
      <c r="AI41" s="65" t="str">
        <f ca="1">IFERROR(INDEX($AA$37:$AA$51,MATCH(AI$39,$Z$37:OFFSET($Z$37,NumPuntosCalib2-1,0),1)),"")</f>
        <v/>
      </c>
      <c r="AJ41" s="65" t="str">
        <f ca="1">IFERROR(INDEX($AA$37:$AA$51,MATCH(AJ$39,$Z$37:OFFSET($Z$37,NumPuntosCalib2-1,0),1)),"")</f>
        <v/>
      </c>
      <c r="AK41" s="65" t="str">
        <f ca="1">IFERROR(INDEX($AA$37:$AA$51,MATCH(AK$39,$Z$37:OFFSET($Z$37,NumPuntosCalib2-1,0),1)),"")</f>
        <v/>
      </c>
      <c r="AL41" s="65" t="str">
        <f ca="1">IFERROR(INDEX($AA$37:$AA$51,MATCH(AL$39,$Z$37:OFFSET($Z$37,NumPuntosCalib2-1,0),1)),"")</f>
        <v/>
      </c>
      <c r="AM41" s="65" t="str">
        <f ca="1">IFERROR(INDEX($AA$37:$AA$51,MATCH(AM$39,$Z$37:OFFSET($Z$37,NumPuntosCalib2-1,0),1)),"")</f>
        <v/>
      </c>
      <c r="AN41" s="65" t="str">
        <f ca="1">IFERROR(INDEX($AA$37:$AA$51,MATCH(AN$39,$Z$37:OFFSET($Z$37,NumPuntosCalib2-1,0),1)),"")</f>
        <v/>
      </c>
      <c r="AO41" s="65" t="str">
        <f ca="1">IFERROR(INDEX($AA$37:$AA$51,MATCH(AO$39,$Z$37:OFFSET($Z$37,NumPuntosCalib2-1,0),1)),"")</f>
        <v/>
      </c>
    </row>
    <row r="42" spans="2:41" x14ac:dyDescent="0.3">
      <c r="B42">
        <v>5</v>
      </c>
      <c r="C42" s="95" t="str">
        <f t="shared" ca="1" si="14"/>
        <v/>
      </c>
      <c r="D42" s="95" t="str">
        <f t="shared" ca="1" si="8"/>
        <v/>
      </c>
      <c r="E42" s="95" t="str">
        <f t="shared" ca="1" si="9"/>
        <v/>
      </c>
      <c r="F42" s="98" t="str">
        <f ca="1">IFERROR(IF(C42&lt;&gt;"",'kU(E)'!$K$19*'kU(E)'!G60,""),"")</f>
        <v/>
      </c>
      <c r="G42" s="250" t="str">
        <f t="shared" ca="1" si="10"/>
        <v/>
      </c>
      <c r="H42" s="95" t="str">
        <f t="shared" ca="1" si="11"/>
        <v/>
      </c>
      <c r="I42" s="95" t="str">
        <f t="shared" ca="1" si="12"/>
        <v/>
      </c>
      <c r="J42" s="98" t="str">
        <f t="shared" ca="1" si="13"/>
        <v/>
      </c>
      <c r="K42" s="213" t="str">
        <f ca="1">IFERROR(IF(C42="","",#REF!),"")</f>
        <v/>
      </c>
      <c r="M42" s="201" t="s">
        <v>506</v>
      </c>
      <c r="N42" s="197">
        <v>6.8948000000000004E-3</v>
      </c>
      <c r="O42" s="197">
        <v>6.8948000000000004E-3</v>
      </c>
      <c r="P42" s="197">
        <v>10</v>
      </c>
      <c r="Q42" s="27">
        <v>1000</v>
      </c>
      <c r="S42" s="20">
        <v>6</v>
      </c>
      <c r="T42" s="196">
        <f>INDEX(Cert_patrones[[#All],[Código Patrón]:[Deriva]],MATCH($U$35,Cert_patrones[Código Patrón],0)+S42,3)*coef_unidad</f>
        <v>250</v>
      </c>
      <c r="U42" s="196">
        <f>INDEX(Cert_patrones[[#All],[Código Patrón]:[Deriva]],MATCH($U$35,Cert_patrones[Código Patrón],0)+S42,4)*coef_unidad</f>
        <v>-3.0000000000000001E-3</v>
      </c>
      <c r="V42" s="196">
        <f>INDEX(Cert_patrones[[#All],[Código Patrón]:[Deriva]],MATCH($U$35,Cert_patrones[Código Patrón],0)+S42,5)*coef_unidad</f>
        <v>2.1000000000000001E-2</v>
      </c>
      <c r="W42" s="196">
        <f>INDEX(Cert_patrones[[#All],[Código Patrón]:[Deriva]],MATCH($U$35,Cert_patrones[Código Patrón],0)+S42,9)*coef_unidad</f>
        <v>4.7E-2</v>
      </c>
      <c r="Y42" s="20">
        <v>6</v>
      </c>
      <c r="Z42" s="196" t="str">
        <f>IFERROR(INDEX(Cert_patrones[[#All],[Código Patrón]:[Deriva]],MATCH($AA$35,Cert_patrones[Código Patrón],0)+Y42,3)*coef_unidad,"")</f>
        <v/>
      </c>
      <c r="AA42" s="196" t="str">
        <f>IFERROR(INDEX(Cert_patrones[[#All],[Código Patrón]:[Deriva]],MATCH($AA$35,Cert_patrones[Código Patrón],0)+Y42,4)*coef_unidad,"")</f>
        <v/>
      </c>
      <c r="AB42" s="196" t="str">
        <f>IFERROR(INDEX(Cert_patrones[[#All],[Código Patrón]:[Deriva]],MATCH($AA$35,Cert_patrones[Código Patrón],0)+Y42,5)*coef_unidad,"")</f>
        <v/>
      </c>
      <c r="AC42" s="196" t="str">
        <f>IFERROR(INDEX(Cert_patrones[[#All],[Código Patrón]:[Deriva]],MATCH($AA$35,Cert_patrones[Código Patrón],0)+Y42,9)*coef_unidad,"")</f>
        <v/>
      </c>
      <c r="AE42" s="68" t="s">
        <v>169</v>
      </c>
      <c r="AF42" s="65" t="str">
        <f ca="1">IFERROR(INDEX($Z$37:$Z$51,MATCH(AF$39,$Z$37:OFFSET($Z$37,NumPuntosCalib-1,0),1)+1),"")</f>
        <v/>
      </c>
      <c r="AG42" s="65" t="str">
        <f ca="1">IFERROR(INDEX($Z$37:$Z$51,MATCH(AG$39,$Z$37:OFFSET($Z$37,NumPuntosCalib-1,0),1)+1),"")</f>
        <v/>
      </c>
      <c r="AH42" s="65" t="str">
        <f ca="1">IFERROR(INDEX($Z$37:$Z$51,MATCH(AH$39,$Z$37:OFFSET($Z$37,NumPuntosCalib-1,0),1)+1),"")</f>
        <v/>
      </c>
      <c r="AI42" s="65" t="str">
        <f ca="1">IFERROR(INDEX($Z$37:$Z$51,MATCH(AI$39,$Z$37:OFFSET($Z$37,NumPuntosCalib-1,0),1)+1),"")</f>
        <v/>
      </c>
      <c r="AJ42" s="65" t="str">
        <f ca="1">IFERROR(INDEX($Z$37:$Z$51,MATCH(AJ$39,$Z$37:OFFSET($Z$37,NumPuntosCalib-1,0),1)+1),"")</f>
        <v/>
      </c>
      <c r="AK42" s="65" t="str">
        <f ca="1">IFERROR(INDEX($Z$37:$Z$51,MATCH(AK$39,$Z$37:OFFSET($Z$37,NumPuntosCalib-1,0),1)+1),"")</f>
        <v/>
      </c>
      <c r="AL42" s="65" t="str">
        <f ca="1">IFERROR(INDEX($Z$37:$Z$51,MATCH(AL$39,$Z$37:OFFSET($Z$37,NumPuntosCalib-1,0),1)+1),"")</f>
        <v/>
      </c>
      <c r="AM42" s="65" t="str">
        <f ca="1">IFERROR(INDEX($Z$37:$Z$51,MATCH(AM$39,$Z$37:OFFSET($Z$37,NumPuntosCalib-1,0),1)+1),"")</f>
        <v/>
      </c>
      <c r="AN42" s="65" t="str">
        <f ca="1">IFERROR(INDEX($Z$37:$Z$51,MATCH(AN$39,$Z$37:OFFSET($Z$37,NumPuntosCalib-1,0),1)+1),"")</f>
        <v/>
      </c>
      <c r="AO42" s="65" t="str">
        <f ca="1">IFERROR(INDEX($Z$37:$Z$51,MATCH(AO$39,$Z$37:OFFSET($Z$37,NumPuntosCalib-1,0),1)+1),"")</f>
        <v/>
      </c>
    </row>
    <row r="43" spans="2:41" x14ac:dyDescent="0.3">
      <c r="B43">
        <v>6</v>
      </c>
      <c r="C43" s="95" t="str">
        <f t="shared" ca="1" si="14"/>
        <v/>
      </c>
      <c r="D43" s="95" t="str">
        <f t="shared" ca="1" si="8"/>
        <v/>
      </c>
      <c r="E43" s="95" t="str">
        <f t="shared" ca="1" si="9"/>
        <v/>
      </c>
      <c r="F43" s="98" t="str">
        <f ca="1">IFERROR(IF(C43&lt;&gt;"",'kU(E)'!$L$19*'kU(E)'!G61,""),"")</f>
        <v/>
      </c>
      <c r="G43" s="250" t="str">
        <f t="shared" ca="1" si="10"/>
        <v/>
      </c>
      <c r="H43" s="95" t="str">
        <f t="shared" ca="1" si="11"/>
        <v/>
      </c>
      <c r="I43" s="95" t="str">
        <f t="shared" ca="1" si="12"/>
        <v/>
      </c>
      <c r="J43" s="98" t="str">
        <f t="shared" ca="1" si="13"/>
        <v/>
      </c>
      <c r="K43" s="95" t="str">
        <f ca="1">IFERROR(IF(C43="","",#REF!),"")</f>
        <v/>
      </c>
      <c r="M43" s="201" t="s">
        <v>521</v>
      </c>
      <c r="N43" s="197">
        <v>7.0309999999999997E-2</v>
      </c>
      <c r="O43" s="197">
        <v>7.0309999999999997E-2</v>
      </c>
      <c r="P43" s="197">
        <v>0.98066500000000001</v>
      </c>
      <c r="Q43" s="27">
        <v>98.066500000000005</v>
      </c>
      <c r="S43" s="20">
        <v>7</v>
      </c>
      <c r="T43" s="196">
        <f>INDEX(Cert_patrones[[#All],[Código Patrón]:[Deriva]],MATCH($U$35,Cert_patrones[Código Patrón],0)+S43,3)*coef_unidad</f>
        <v>300</v>
      </c>
      <c r="U43" s="196">
        <f>INDEX(Cert_patrones[[#All],[Código Patrón]:[Deriva]],MATCH($U$35,Cert_patrones[Código Patrón],0)+S43,4)*coef_unidad</f>
        <v>-3.0000000000000001E-3</v>
      </c>
      <c r="V43" s="196">
        <f>INDEX(Cert_patrones[[#All],[Código Patrón]:[Deriva]],MATCH($U$35,Cert_patrones[Código Patrón],0)+S43,5)*coef_unidad</f>
        <v>2.1999999999999999E-2</v>
      </c>
      <c r="W43" s="196">
        <f>INDEX(Cert_patrones[[#All],[Código Patrón]:[Deriva]],MATCH($U$35,Cert_patrones[Código Patrón],0)+S43,9)*coef_unidad</f>
        <v>4.8999999999999995E-2</v>
      </c>
      <c r="Y43" s="20">
        <v>7</v>
      </c>
      <c r="Z43" s="196" t="str">
        <f>IFERROR(INDEX(Cert_patrones[[#All],[Código Patrón]:[Deriva]],MATCH($AA$35,Cert_patrones[Código Patrón],0)+Y43,3)*coef_unidad,"")</f>
        <v/>
      </c>
      <c r="AA43" s="196" t="str">
        <f>IFERROR(INDEX(Cert_patrones[[#All],[Código Patrón]:[Deriva]],MATCH($AA$35,Cert_patrones[Código Patrón],0)+Y43,4)*coef_unidad,"")</f>
        <v/>
      </c>
      <c r="AB43" s="196" t="str">
        <f>IFERROR(INDEX(Cert_patrones[[#All],[Código Patrón]:[Deriva]],MATCH($AA$35,Cert_patrones[Código Patrón],0)+Y43,5)*coef_unidad,"")</f>
        <v/>
      </c>
      <c r="AC43" s="196" t="str">
        <f>IFERROR(INDEX(Cert_patrones[[#All],[Código Patrón]:[Deriva]],MATCH($AA$35,Cert_patrones[Código Patrón],0)+Y43,9)*coef_unidad,"")</f>
        <v/>
      </c>
      <c r="AE43" s="68" t="s">
        <v>171</v>
      </c>
      <c r="AF43" s="65" t="str">
        <f ca="1">IFERROR(INDEX($AA$37:$AA$51,MATCH(AF$39,$Z$37:OFFSET($Z$37,NumPuntosCalib2-1,0),1)+1),"")</f>
        <v/>
      </c>
      <c r="AG43" s="65" t="str">
        <f ca="1">IFERROR(INDEX($AA$37:$AA$51,MATCH(AG$39,$Z$37:OFFSET($Z$37,NumPuntosCalib2-1,0),1)+1),"")</f>
        <v/>
      </c>
      <c r="AH43" s="65" t="str">
        <f ca="1">IFERROR(INDEX($AA$37:$AA$51,MATCH(AH$39,$Z$37:OFFSET($Z$37,NumPuntosCalib2-1,0),1)+1),"")</f>
        <v/>
      </c>
      <c r="AI43" s="65" t="str">
        <f ca="1">IFERROR(INDEX($AA$37:$AA$51,MATCH(AI$39,$Z$37:OFFSET($Z$37,NumPuntosCalib2-1,0),1)+1),"")</f>
        <v/>
      </c>
      <c r="AJ43" s="65" t="str">
        <f ca="1">IFERROR(INDEX($AA$37:$AA$51,MATCH(AJ$39,$Z$37:OFFSET($Z$37,NumPuntosCalib2-1,0),1)+1),"")</f>
        <v/>
      </c>
      <c r="AK43" s="65" t="str">
        <f ca="1">IFERROR(INDEX($AA$37:$AA$51,MATCH(AK$39,$Z$37:OFFSET($Z$37,NumPuntosCalib2-1,0),1)+1),"")</f>
        <v/>
      </c>
      <c r="AL43" s="65" t="str">
        <f ca="1">IFERROR(INDEX($AA$37:$AA$51,MATCH(AL$39,$Z$37:OFFSET($Z$37,NumPuntosCalib2-1,0),1)+1),"")</f>
        <v/>
      </c>
      <c r="AM43" s="65" t="str">
        <f ca="1">IFERROR(INDEX($AA$37:$AA$51,MATCH(AM$39,$Z$37:OFFSET($Z$37,NumPuntosCalib2-1,0),1)+1),"")</f>
        <v/>
      </c>
      <c r="AN43" s="65" t="str">
        <f ca="1">IFERROR(INDEX($AA$37:$AA$51,MATCH(AN$39,$Z$37:OFFSET($Z$37,NumPuntosCalib2-1,0),1)+1),"")</f>
        <v/>
      </c>
      <c r="AO43" s="65" t="str">
        <f ca="1">IFERROR(INDEX($AA$37:$AA$51,MATCH(AO$39,$Z$37:OFFSET($Z$37,NumPuntosCalib2-1,0),1)+1),"")</f>
        <v/>
      </c>
    </row>
    <row r="44" spans="2:41" x14ac:dyDescent="0.3">
      <c r="B44">
        <v>7</v>
      </c>
      <c r="C44" s="95" t="str">
        <f t="shared" ca="1" si="14"/>
        <v/>
      </c>
      <c r="D44" s="95" t="str">
        <f t="shared" ca="1" si="8"/>
        <v/>
      </c>
      <c r="E44" s="95" t="str">
        <f t="shared" ca="1" si="9"/>
        <v/>
      </c>
      <c r="F44" s="98" t="str">
        <f ca="1">IFERROR(IF(C44&lt;&gt;"",'kU(E)'!$M$19*'kU(E)'!G62,""),"")</f>
        <v/>
      </c>
      <c r="G44" s="250" t="str">
        <f t="shared" ca="1" si="10"/>
        <v/>
      </c>
      <c r="H44" s="95" t="str">
        <f t="shared" ca="1" si="11"/>
        <v/>
      </c>
      <c r="I44" s="95" t="str">
        <f t="shared" ca="1" si="12"/>
        <v/>
      </c>
      <c r="J44" s="98" t="str">
        <f t="shared" ca="1" si="13"/>
        <v/>
      </c>
      <c r="K44" s="95" t="str">
        <f ca="1">IFERROR(IF(C44="","",#REF!),"")</f>
        <v/>
      </c>
      <c r="M44" s="201" t="s">
        <v>352</v>
      </c>
      <c r="N44" s="197">
        <v>2.036</v>
      </c>
      <c r="O44" s="197">
        <v>2.036</v>
      </c>
      <c r="P44" s="197">
        <v>3.3863900000000002E-2</v>
      </c>
      <c r="Q44" s="27">
        <v>3.38639</v>
      </c>
      <c r="S44" s="20">
        <v>8</v>
      </c>
      <c r="T44" s="196">
        <f>INDEX(Cert_patrones[[#All],[Código Patrón]:[Deriva]],MATCH($U$35,Cert_patrones[Código Patrón],0)+S44,3)*coef_unidad</f>
        <v>300</v>
      </c>
      <c r="U44" s="196">
        <f>INDEX(Cert_patrones[[#All],[Código Patrón]:[Deriva]],MATCH($U$35,Cert_patrones[Código Patrón],0)+S44,4)*coef_unidad</f>
        <v>-2E-3</v>
      </c>
      <c r="V44" s="196">
        <f>INDEX(Cert_patrones[[#All],[Código Patrón]:[Deriva]],MATCH($U$35,Cert_patrones[Código Patrón],0)+S44,5)*coef_unidad</f>
        <v>2.3E-2</v>
      </c>
      <c r="W44" s="196">
        <f>INDEX(Cert_patrones[[#All],[Código Patrón]:[Deriva]],MATCH($U$35,Cert_patrones[Código Patrón],0)+S44,9)*coef_unidad</f>
        <v>4.0999999999999995E-2</v>
      </c>
      <c r="Y44" s="20">
        <v>8</v>
      </c>
      <c r="Z44" s="196" t="str">
        <f>IFERROR(INDEX(Cert_patrones[[#All],[Código Patrón]:[Deriva]],MATCH($AA$35,Cert_patrones[Código Patrón],0)+Y44,3)*coef_unidad,"")</f>
        <v/>
      </c>
      <c r="AA44" s="196" t="str">
        <f>IFERROR(INDEX(Cert_patrones[[#All],[Código Patrón]:[Deriva]],MATCH($AA$35,Cert_patrones[Código Patrón],0)+Y44,4)*coef_unidad,"")</f>
        <v/>
      </c>
      <c r="AB44" s="196" t="str">
        <f>IFERROR(INDEX(Cert_patrones[[#All],[Código Patrón]:[Deriva]],MATCH($AA$35,Cert_patrones[Código Patrón],0)+Y44,5)*coef_unidad,"")</f>
        <v/>
      </c>
      <c r="AC44" s="196" t="str">
        <f>IFERROR(INDEX(Cert_patrones[[#All],[Código Patrón]:[Deriva]],MATCH($AA$35,Cert_patrones[Código Patrón],0)+Y44,9)*coef_unidad,"")</f>
        <v/>
      </c>
      <c r="AE44" s="68" t="s">
        <v>172</v>
      </c>
      <c r="AF44" s="120" t="str">
        <f t="shared" ref="AF44:AO44" ca="1" si="15">IFERROR(AF41+(AF39-AF40)*(AF43-AF41)/(AF42-AF40),"")</f>
        <v/>
      </c>
      <c r="AG44" s="120" t="str">
        <f t="shared" ca="1" si="15"/>
        <v/>
      </c>
      <c r="AH44" s="120" t="str">
        <f t="shared" ca="1" si="15"/>
        <v/>
      </c>
      <c r="AI44" s="120" t="str">
        <f t="shared" ca="1" si="15"/>
        <v/>
      </c>
      <c r="AJ44" s="120" t="str">
        <f t="shared" ca="1" si="15"/>
        <v/>
      </c>
      <c r="AK44" s="120" t="str">
        <f t="shared" ca="1" si="15"/>
        <v/>
      </c>
      <c r="AL44" s="120" t="str">
        <f t="shared" ca="1" si="15"/>
        <v/>
      </c>
      <c r="AM44" s="120" t="str">
        <f t="shared" ca="1" si="15"/>
        <v/>
      </c>
      <c r="AN44" s="120" t="str">
        <f t="shared" ca="1" si="15"/>
        <v/>
      </c>
      <c r="AO44" s="120" t="str">
        <f t="shared" ca="1" si="15"/>
        <v/>
      </c>
    </row>
    <row r="45" spans="2:41" x14ac:dyDescent="0.3">
      <c r="B45">
        <v>8</v>
      </c>
      <c r="C45" s="95" t="str">
        <f t="shared" ca="1" si="14"/>
        <v/>
      </c>
      <c r="D45" s="95" t="str">
        <f t="shared" ca="1" si="8"/>
        <v/>
      </c>
      <c r="E45" s="95" t="str">
        <f t="shared" ca="1" si="9"/>
        <v/>
      </c>
      <c r="F45" s="98" t="str">
        <f ca="1">IFERROR(IF(C45&lt;&gt;"",'kU(E)'!$N$19*'kU(E)'!G63,""),"")</f>
        <v/>
      </c>
      <c r="G45" s="250" t="str">
        <f t="shared" ca="1" si="10"/>
        <v/>
      </c>
      <c r="H45" s="95" t="str">
        <f t="shared" ca="1" si="11"/>
        <v/>
      </c>
      <c r="I45" s="95" t="str">
        <f t="shared" ca="1" si="12"/>
        <v/>
      </c>
      <c r="J45" s="98" t="str">
        <f t="shared" ca="1" si="13"/>
        <v/>
      </c>
      <c r="K45" s="95" t="str">
        <f ca="1">IFERROR(IF(C45="","",#REF!),"")</f>
        <v/>
      </c>
      <c r="M45" s="201" t="s">
        <v>353</v>
      </c>
      <c r="N45" s="197">
        <v>51.7149</v>
      </c>
      <c r="O45" s="197">
        <v>51.7149</v>
      </c>
      <c r="P45" s="197">
        <v>1.333E-3</v>
      </c>
      <c r="Q45" s="27">
        <v>0.133322</v>
      </c>
      <c r="S45" s="20">
        <v>9</v>
      </c>
      <c r="T45" s="196">
        <f>INDEX(Cert_patrones[[#All],[Código Patrón]:[Deriva]],MATCH($U$35,Cert_patrones[Código Patrón],0)+S45,3)*coef_unidad</f>
        <v>250</v>
      </c>
      <c r="U45" s="196">
        <f>INDEX(Cert_patrones[[#All],[Código Patrón]:[Deriva]],MATCH($U$35,Cert_patrones[Código Patrón],0)+S45,4)*coef_unidad</f>
        <v>-8.9999999999999993E-3</v>
      </c>
      <c r="V45" s="196">
        <f>INDEX(Cert_patrones[[#All],[Código Patrón]:[Deriva]],MATCH($U$35,Cert_patrones[Código Patrón],0)+S45,5)*coef_unidad</f>
        <v>2.5000000000000001E-2</v>
      </c>
      <c r="W45" s="196">
        <f>INDEX(Cert_patrones[[#All],[Código Patrón]:[Deriva]],MATCH($U$35,Cert_patrones[Código Patrón],0)+S45,9)*coef_unidad</f>
        <v>0.03</v>
      </c>
      <c r="Y45" s="20">
        <v>9</v>
      </c>
      <c r="Z45" s="196" t="str">
        <f>IFERROR(INDEX(Cert_patrones[[#All],[Código Patrón]:[Deriva]],MATCH($AA$35,Cert_patrones[Código Patrón],0)+Y45,3)*coef_unidad,"")</f>
        <v/>
      </c>
      <c r="AA45" s="196" t="str">
        <f>IFERROR(INDEX(Cert_patrones[[#All],[Código Patrón]:[Deriva]],MATCH($AA$35,Cert_patrones[Código Patrón],0)+Y45,4)*coef_unidad,"")</f>
        <v/>
      </c>
      <c r="AB45" s="196" t="str">
        <f>IFERROR(INDEX(Cert_patrones[[#All],[Código Patrón]:[Deriva]],MATCH($AA$35,Cert_patrones[Código Patrón],0)+Y45,5)*coef_unidad,"")</f>
        <v/>
      </c>
      <c r="AC45" s="196" t="str">
        <f>IFERROR(INDEX(Cert_patrones[[#All],[Código Patrón]:[Deriva]],MATCH($AA$35,Cert_patrones[Código Patrón],0)+Y45,9)*coef_unidad,"")</f>
        <v/>
      </c>
      <c r="AE45" s="28"/>
      <c r="AF45" s="3"/>
      <c r="AG45" s="3"/>
      <c r="AH45" s="3"/>
      <c r="AI45" s="3"/>
      <c r="AJ45" s="3"/>
      <c r="AK45" s="3"/>
    </row>
    <row r="46" spans="2:41" x14ac:dyDescent="0.3">
      <c r="B46">
        <v>9</v>
      </c>
      <c r="C46" s="95" t="str">
        <f t="shared" ca="1" si="14"/>
        <v/>
      </c>
      <c r="D46" s="95" t="str">
        <f t="shared" ca="1" si="8"/>
        <v/>
      </c>
      <c r="E46" s="95" t="str">
        <f t="shared" ca="1" si="9"/>
        <v/>
      </c>
      <c r="F46" s="98" t="str">
        <f ca="1">IFERROR(IF(C46&lt;&gt;"",'kU(E)'!$O$19*'kU(E)'!G64,""),"")</f>
        <v/>
      </c>
      <c r="G46" s="250" t="str">
        <f t="shared" ca="1" si="10"/>
        <v/>
      </c>
      <c r="H46" s="95" t="str">
        <f t="shared" ca="1" si="11"/>
        <v/>
      </c>
      <c r="I46" s="95" t="str">
        <f t="shared" ca="1" si="12"/>
        <v/>
      </c>
      <c r="J46" s="98" t="str">
        <f t="shared" ca="1" si="13"/>
        <v/>
      </c>
      <c r="K46" s="95" t="str">
        <f ca="1">IFERROR(IF(C46="","",#REF!),"")</f>
        <v/>
      </c>
      <c r="M46" s="201" t="s">
        <v>354</v>
      </c>
      <c r="N46" s="197">
        <v>5.1710000000000003</v>
      </c>
      <c r="O46" s="197">
        <v>5.1710000000000003</v>
      </c>
      <c r="P46" s="27">
        <v>1.333E-2</v>
      </c>
      <c r="Q46" s="27">
        <v>1.3332200000000001</v>
      </c>
      <c r="S46" s="20">
        <v>10</v>
      </c>
      <c r="T46" s="196">
        <f>INDEX(Cert_patrones[[#All],[Código Patrón]:[Deriva]],MATCH($U$35,Cert_patrones[Código Patrón],0)+S46,3)*coef_unidad</f>
        <v>150</v>
      </c>
      <c r="U46" s="196">
        <f>INDEX(Cert_patrones[[#All],[Código Patrón]:[Deriva]],MATCH($U$35,Cert_patrones[Código Patrón],0)+S46,4)*coef_unidad</f>
        <v>-1.7000000000000001E-2</v>
      </c>
      <c r="V46" s="196">
        <f>INDEX(Cert_patrones[[#All],[Código Patrón]:[Deriva]],MATCH($U$35,Cert_patrones[Código Patrón],0)+S46,5)*coef_unidad</f>
        <v>2.1999999999999999E-2</v>
      </c>
      <c r="W46" s="196">
        <f>INDEX(Cert_patrones[[#All],[Código Patrón]:[Deriva]],MATCH($U$35,Cert_patrones[Código Patrón],0)+S46,9)*coef_unidad</f>
        <v>2.8999999999999998E-2</v>
      </c>
      <c r="Y46" s="20">
        <v>10</v>
      </c>
      <c r="Z46" s="196" t="str">
        <f>IFERROR(INDEX(Cert_patrones[[#All],[Código Patrón]:[Deriva]],MATCH($AA$35,Cert_patrones[Código Patrón],0)+Y46,3)*coef_unidad,"")</f>
        <v/>
      </c>
      <c r="AA46" s="196" t="str">
        <f>IFERROR(INDEX(Cert_patrones[[#All],[Código Patrón]:[Deriva]],MATCH($AA$35,Cert_patrones[Código Patrón],0)+Y46,4)*coef_unidad,"")</f>
        <v/>
      </c>
      <c r="AB46" s="196" t="str">
        <f>IFERROR(INDEX(Cert_patrones[[#All],[Código Patrón]:[Deriva]],MATCH($AA$35,Cert_patrones[Código Patrón],0)+Y46,5)*coef_unidad,"")</f>
        <v/>
      </c>
      <c r="AC46" s="196" t="str">
        <f>IFERROR(INDEX(Cert_patrones[[#All],[Código Patrón]:[Deriva]],MATCH($AA$35,Cert_patrones[Código Patrón],0)+Y46,9)*coef_unidad,"")</f>
        <v/>
      </c>
    </row>
    <row r="47" spans="2:41" x14ac:dyDescent="0.3">
      <c r="B47">
        <v>10</v>
      </c>
      <c r="C47" s="95" t="str">
        <f t="shared" ca="1" si="14"/>
        <v/>
      </c>
      <c r="D47" s="95" t="str">
        <f t="shared" ca="1" si="8"/>
        <v/>
      </c>
      <c r="E47" s="95" t="str">
        <f t="shared" ca="1" si="9"/>
        <v/>
      </c>
      <c r="F47" s="98" t="str">
        <f ca="1">IFERROR(IF(C47&lt;&gt;"",'kU(E)'!$P$19*'kU(E)'!G65,""),"")</f>
        <v/>
      </c>
      <c r="G47" s="250" t="str">
        <f t="shared" ca="1" si="10"/>
        <v/>
      </c>
      <c r="H47" s="95" t="str">
        <f t="shared" ca="1" si="11"/>
        <v/>
      </c>
      <c r="I47" s="95" t="str">
        <f t="shared" ca="1" si="12"/>
        <v/>
      </c>
      <c r="J47" s="98" t="str">
        <f t="shared" ca="1" si="13"/>
        <v/>
      </c>
      <c r="K47" s="95" t="str">
        <f ca="1">IFERROR(IF(C47="","",#REF!),"")</f>
        <v/>
      </c>
      <c r="M47" s="201" t="s">
        <v>520</v>
      </c>
      <c r="N47" s="197">
        <v>703.06960000000004</v>
      </c>
      <c r="O47" s="197">
        <v>703.06960000000004</v>
      </c>
      <c r="P47" s="197">
        <v>9.7999999999999997E-5</v>
      </c>
      <c r="Q47" s="27">
        <v>9.7999999999999997E-3</v>
      </c>
      <c r="S47" s="20">
        <v>11</v>
      </c>
      <c r="T47" s="196">
        <f>INDEX(Cert_patrones[[#All],[Código Patrón]:[Deriva]],MATCH($U$35,Cert_patrones[Código Patrón],0)+S47,3)*coef_unidad</f>
        <v>50</v>
      </c>
      <c r="U47" s="196">
        <f>INDEX(Cert_patrones[[#All],[Código Patrón]:[Deriva]],MATCH($U$35,Cert_patrones[Código Patrón],0)+S47,4)*coef_unidad</f>
        <v>-1.0999999999999999E-2</v>
      </c>
      <c r="V47" s="196">
        <f>INDEX(Cert_patrones[[#All],[Código Patrón]:[Deriva]],MATCH($U$35,Cert_patrones[Código Patrón],0)+S47,5)*coef_unidad</f>
        <v>2.4E-2</v>
      </c>
      <c r="W47" s="196">
        <f>INDEX(Cert_patrones[[#All],[Código Patrón]:[Deriva]],MATCH($U$35,Cert_patrones[Código Patrón],0)+S47,9)*coef_unidad</f>
        <v>6.9999999999999993E-3</v>
      </c>
      <c r="Y47" s="20">
        <v>11</v>
      </c>
      <c r="Z47" s="196" t="str">
        <f>IFERROR(INDEX(Cert_patrones[[#All],[Código Patrón]:[Deriva]],MATCH($AA$35,Cert_patrones[Código Patrón],0)+Y47,3)*coef_unidad,"")</f>
        <v/>
      </c>
      <c r="AA47" s="196" t="str">
        <f>IFERROR(INDEX(Cert_patrones[[#All],[Código Patrón]:[Deriva]],MATCH($AA$35,Cert_patrones[Código Patrón],0)+Y47,4)*coef_unidad,"")</f>
        <v/>
      </c>
      <c r="AB47" s="196" t="str">
        <f>IFERROR(INDEX(Cert_patrones[[#All],[Código Patrón]:[Deriva]],MATCH($AA$35,Cert_patrones[Código Patrón],0)+Y47,5)*coef_unidad,"")</f>
        <v/>
      </c>
      <c r="AC47" s="196" t="str">
        <f>IFERROR(INDEX(Cert_patrones[[#All],[Código Patrón]:[Deriva]],MATCH($AA$35,Cert_patrones[Código Patrón],0)+Y47,9)*coef_unidad,"")</f>
        <v/>
      </c>
      <c r="AE47" s="15" t="s">
        <v>391</v>
      </c>
      <c r="AF47" s="15"/>
      <c r="AG47" s="15"/>
      <c r="AH47" s="15"/>
      <c r="AI47" s="15" t="str">
        <f>CONCATENATE("[Todo en ", unidad,"]")</f>
        <v>[Todo en psi]</v>
      </c>
      <c r="AJ47" s="15"/>
    </row>
    <row r="48" spans="2:41" x14ac:dyDescent="0.3">
      <c r="B48">
        <v>11</v>
      </c>
      <c r="C48" s="95" t="str">
        <f t="shared" ca="1" si="14"/>
        <v/>
      </c>
      <c r="D48" s="95" t="str">
        <f t="shared" ca="1" si="8"/>
        <v/>
      </c>
      <c r="E48" s="95" t="str">
        <f t="shared" ca="1" si="9"/>
        <v/>
      </c>
      <c r="F48" s="98" t="str">
        <f ca="1">IFERROR(IF(C48&lt;&gt;"",'kU(E)'!$P$19*'kU(E)'!G66,""),"")</f>
        <v/>
      </c>
      <c r="G48" s="250" t="str">
        <f t="shared" ca="1" si="10"/>
        <v/>
      </c>
      <c r="H48" s="95" t="str">
        <f t="shared" ca="1" si="11"/>
        <v/>
      </c>
      <c r="I48" s="95" t="str">
        <f t="shared" ca="1" si="12"/>
        <v/>
      </c>
      <c r="J48" s="98" t="str">
        <f t="shared" ca="1" si="13"/>
        <v/>
      </c>
      <c r="K48" s="95" t="str">
        <f ca="1">IFERROR(IF(C48="","",#REF!),"")</f>
        <v/>
      </c>
      <c r="M48" s="201" t="s">
        <v>522</v>
      </c>
      <c r="N48" s="197">
        <v>70.306960000000004</v>
      </c>
      <c r="O48" s="197">
        <v>70.306960000000004</v>
      </c>
      <c r="P48" s="197">
        <v>9.7999999999999997E-4</v>
      </c>
      <c r="Q48" s="27">
        <v>9.8000000000000004E-2</v>
      </c>
      <c r="S48" s="20">
        <v>12</v>
      </c>
      <c r="T48" s="196">
        <f>INDEX(Cert_patrones[[#All],[Código Patrón]:[Deriva]],MATCH($U$35,Cert_patrones[Código Patrón],0)+S48,3)*coef_unidad</f>
        <v>1.4999999999999999E-2</v>
      </c>
      <c r="U48" s="196">
        <f>INDEX(Cert_patrones[[#All],[Código Patrón]:[Deriva]],MATCH($U$35,Cert_patrones[Código Patrón],0)+S48,4)*coef_unidad</f>
        <v>-1.2999999999999999E-2</v>
      </c>
      <c r="V48" s="196">
        <f>INDEX(Cert_patrones[[#All],[Código Patrón]:[Deriva]],MATCH($U$35,Cert_patrones[Código Patrón],0)+S48,5)*coef_unidad</f>
        <v>2.7E-2</v>
      </c>
      <c r="W48" s="196">
        <f>INDEX(Cert_patrones[[#All],[Código Patrón]:[Deriva]],MATCH($U$35,Cert_patrones[Código Patrón],0)+S48,9)*coef_unidad</f>
        <v>6.0000000000000001E-3</v>
      </c>
      <c r="Y48" s="20">
        <v>12</v>
      </c>
      <c r="Z48" s="196" t="str">
        <f>IFERROR(INDEX(Cert_patrones[[#All],[Código Patrón]:[Deriva]],MATCH($AA$35,Cert_patrones[Código Patrón],0)+Y48,3)*coef_unidad,"")</f>
        <v/>
      </c>
      <c r="AA48" s="196" t="str">
        <f>IFERROR(INDEX(Cert_patrones[[#All],[Código Patrón]:[Deriva]],MATCH($AA$35,Cert_patrones[Código Patrón],0)+Y48,4)*coef_unidad,"")</f>
        <v/>
      </c>
      <c r="AB48" s="196" t="str">
        <f>IFERROR(INDEX(Cert_patrones[[#All],[Código Patrón]:[Deriva]],MATCH($AA$35,Cert_patrones[Código Patrón],0)+Y48,5)*coef_unidad,"")</f>
        <v/>
      </c>
      <c r="AC48" s="196" t="str">
        <f>IFERROR(INDEX(Cert_patrones[[#All],[Código Patrón]:[Deriva]],MATCH($AA$35,Cert_patrones[Código Patrón],0)+Y48,9)*coef_unidad,"")</f>
        <v/>
      </c>
    </row>
    <row r="49" spans="2:41" x14ac:dyDescent="0.3">
      <c r="B49">
        <v>12</v>
      </c>
      <c r="C49" s="95" t="str">
        <f t="shared" ca="1" si="14"/>
        <v/>
      </c>
      <c r="D49" s="95" t="str">
        <f t="shared" ca="1" si="8"/>
        <v/>
      </c>
      <c r="E49" s="95" t="str">
        <f t="shared" ca="1" si="9"/>
        <v/>
      </c>
      <c r="F49" s="98" t="str">
        <f ca="1">IFERROR(IF(C49&lt;&gt;"",'kU(E)'!$P$19*'kU(E)'!G67,""),"")</f>
        <v/>
      </c>
      <c r="G49" s="250" t="str">
        <f t="shared" ca="1" si="10"/>
        <v/>
      </c>
      <c r="H49" s="95" t="str">
        <f t="shared" ca="1" si="11"/>
        <v/>
      </c>
      <c r="I49" s="95" t="str">
        <f t="shared" ca="1" si="12"/>
        <v/>
      </c>
      <c r="J49" s="98" t="str">
        <f t="shared" ca="1" si="13"/>
        <v/>
      </c>
      <c r="K49" s="95" t="str">
        <f ca="1">IFERROR(IF(C49="","",#REF!),"")</f>
        <v/>
      </c>
      <c r="M49" s="201" t="s">
        <v>523</v>
      </c>
      <c r="N49" s="197">
        <v>27.6799</v>
      </c>
      <c r="O49" s="197">
        <v>27.6799</v>
      </c>
      <c r="P49" s="197">
        <v>2.5000000000000001E-3</v>
      </c>
      <c r="Q49" s="27">
        <v>0.249089</v>
      </c>
      <c r="S49" s="20">
        <v>13</v>
      </c>
      <c r="T49" s="196">
        <f>INDEX(Cert_patrones[[#All],[Código Patrón]:[Deriva]],MATCH($U$35,Cert_patrones[Código Patrón],0)+S49,3)*coef_unidad</f>
        <v>-6</v>
      </c>
      <c r="U49" s="196">
        <f>INDEX(Cert_patrones[[#All],[Código Patrón]:[Deriva]],MATCH($U$35,Cert_patrones[Código Patrón],0)+S49,4)*coef_unidad</f>
        <v>-2E-3</v>
      </c>
      <c r="V49" s="196">
        <f>INDEX(Cert_patrones[[#All],[Código Patrón]:[Deriva]],MATCH($U$35,Cert_patrones[Código Patrón],0)+S49,5)*coef_unidad</f>
        <v>2.1000000000000001E-2</v>
      </c>
      <c r="W49" s="196">
        <f>INDEX(Cert_patrones[[#All],[Código Patrón]:[Deriva]],MATCH($U$35,Cert_patrones[Código Patrón],0)+S49,9)*coef_unidad</f>
        <v>4.5999999999999999E-2</v>
      </c>
      <c r="Y49" s="20">
        <v>13</v>
      </c>
      <c r="Z49" s="196" t="str">
        <f>IFERROR(INDEX(Cert_patrones[[#All],[Código Patrón]:[Deriva]],MATCH($AA$35,Cert_patrones[Código Patrón],0)+Y49,3)*coef_unidad,"")</f>
        <v/>
      </c>
      <c r="AA49" s="196" t="str">
        <f>IFERROR(INDEX(Cert_patrones[[#All],[Código Patrón]:[Deriva]],MATCH($AA$35,Cert_patrones[Código Patrón],0)+Y49,4)*coef_unidad,"")</f>
        <v/>
      </c>
      <c r="AB49" s="196" t="str">
        <f>IFERROR(INDEX(Cert_patrones[[#All],[Código Patrón]:[Deriva]],MATCH($AA$35,Cert_patrones[Código Patrón],0)+Y49,5)*coef_unidad,"")</f>
        <v/>
      </c>
      <c r="AC49" s="196" t="str">
        <f>IFERROR(INDEX(Cert_patrones[[#All],[Código Patrón]:[Deriva]],MATCH($AA$35,Cert_patrones[Código Patrón],0)+Y49,9)*coef_unidad,"")</f>
        <v/>
      </c>
      <c r="AE49" s="47" t="s">
        <v>173</v>
      </c>
      <c r="AF49" s="47">
        <v>1</v>
      </c>
      <c r="AG49" s="47">
        <v>2</v>
      </c>
      <c r="AH49" s="47">
        <v>3</v>
      </c>
      <c r="AI49" s="47">
        <v>4</v>
      </c>
      <c r="AJ49" s="47">
        <v>5</v>
      </c>
      <c r="AK49" s="47">
        <v>6</v>
      </c>
      <c r="AL49" s="47">
        <v>7</v>
      </c>
      <c r="AM49" s="47">
        <v>8</v>
      </c>
      <c r="AN49" s="47">
        <v>9</v>
      </c>
      <c r="AO49" s="47">
        <v>10</v>
      </c>
    </row>
    <row r="50" spans="2:41" x14ac:dyDescent="0.3">
      <c r="B50">
        <v>13</v>
      </c>
      <c r="C50" s="95" t="str">
        <f t="shared" ca="1" si="14"/>
        <v/>
      </c>
      <c r="D50" s="95" t="str">
        <f t="shared" ca="1" si="8"/>
        <v/>
      </c>
      <c r="E50" s="95" t="str">
        <f t="shared" ca="1" si="9"/>
        <v/>
      </c>
      <c r="F50" s="98" t="str">
        <f ca="1">IFERROR(IF(C50&lt;&gt;"",'kU(E)'!$P$19*'kU(E)'!G68,""),"")</f>
        <v/>
      </c>
      <c r="G50" s="250" t="str">
        <f t="shared" ca="1" si="10"/>
        <v/>
      </c>
      <c r="H50" s="95" t="str">
        <f t="shared" ca="1" si="11"/>
        <v/>
      </c>
      <c r="I50" s="95" t="str">
        <f t="shared" ca="1" si="12"/>
        <v/>
      </c>
      <c r="J50" s="98" t="str">
        <f t="shared" ca="1" si="13"/>
        <v/>
      </c>
      <c r="K50" s="95" t="str">
        <f ca="1">IFERROR(IF(C50="","",#REF!),"")</f>
        <v/>
      </c>
      <c r="M50" s="201" t="s">
        <v>351</v>
      </c>
      <c r="N50" s="197">
        <v>6.8049999999999999E-2</v>
      </c>
      <c r="O50" s="197">
        <v>6.8049999999999999E-2</v>
      </c>
      <c r="P50" s="197">
        <v>1.0132000000000001</v>
      </c>
      <c r="Q50" s="27">
        <v>101.325</v>
      </c>
      <c r="S50" s="20">
        <v>14</v>
      </c>
      <c r="T50" s="196">
        <f>INDEX(Cert_patrones[[#All],[Código Patrón]:[Deriva]],MATCH($U$35,Cert_patrones[Código Patrón],0)+S50,3)*coef_unidad</f>
        <v>-12</v>
      </c>
      <c r="U50" s="196">
        <f>INDEX(Cert_patrones[[#All],[Código Patrón]:[Deriva]],MATCH($U$35,Cert_patrones[Código Patrón],0)+S50,4)*coef_unidad</f>
        <v>-1E-3</v>
      </c>
      <c r="V50" s="196">
        <f>INDEX(Cert_patrones[[#All],[Código Patrón]:[Deriva]],MATCH($U$35,Cert_patrones[Código Patrón],0)+S50,5)*coef_unidad</f>
        <v>2.1000000000000001E-2</v>
      </c>
      <c r="W50" s="196">
        <f>INDEX(Cert_patrones[[#All],[Código Patrón]:[Deriva]],MATCH($U$35,Cert_patrones[Código Patrón],0)+S50,9)*coef_unidad</f>
        <v>0</v>
      </c>
      <c r="Y50" s="20">
        <v>14</v>
      </c>
      <c r="Z50" s="196" t="str">
        <f>IFERROR(INDEX(Cert_patrones[[#All],[Código Patrón]:[Deriva]],MATCH($AA$35,Cert_patrones[Código Patrón],0)+Y50,3)*coef_unidad,"")</f>
        <v/>
      </c>
      <c r="AA50" s="196" t="str">
        <f>IFERROR(INDEX(Cert_patrones[[#All],[Código Patrón]:[Deriva]],MATCH($AA$35,Cert_patrones[Código Patrón],0)+Y50,4)*coef_unidad,"")</f>
        <v/>
      </c>
      <c r="AB50" s="196" t="str">
        <f>IFERROR(INDEX(Cert_patrones[[#All],[Código Patrón]:[Deriva]],MATCH($AA$35,Cert_patrones[Código Patrón],0)+Y50,5)*coef_unidad,"")</f>
        <v/>
      </c>
      <c r="AC50" s="196" t="str">
        <f>IFERROR(INDEX(Cert_patrones[[#All],[Código Patrón]:[Deriva]],MATCH($AA$35,Cert_patrones[Código Patrón],0)+Y50,9)*coef_unidad,"")</f>
        <v/>
      </c>
      <c r="AE50" s="68" t="s">
        <v>167</v>
      </c>
      <c r="AF50" s="69" t="str">
        <f t="array" aca="1" ref="AF50:AO50" ca="1">TRANSPOSE($T$15:$T$29)</f>
        <v/>
      </c>
      <c r="AG50" s="69" t="str">
        <f ca="1"/>
        <v/>
      </c>
      <c r="AH50" s="69" t="str">
        <f ca="1"/>
        <v/>
      </c>
      <c r="AI50" s="69" t="str">
        <f ca="1"/>
        <v/>
      </c>
      <c r="AJ50" s="69" t="str">
        <f ca="1"/>
        <v/>
      </c>
      <c r="AK50" s="69" t="str">
        <f ca="1"/>
        <v/>
      </c>
      <c r="AL50" s="64" t="str">
        <f ca="1"/>
        <v/>
      </c>
      <c r="AM50" s="64" t="str">
        <f ca="1"/>
        <v/>
      </c>
      <c r="AN50" s="64" t="str">
        <f ca="1"/>
        <v/>
      </c>
      <c r="AO50" s="64" t="str">
        <f ca="1"/>
        <v/>
      </c>
    </row>
    <row r="51" spans="2:41" x14ac:dyDescent="0.3">
      <c r="B51">
        <v>14</v>
      </c>
      <c r="C51" s="95" t="str">
        <f t="shared" ca="1" si="14"/>
        <v/>
      </c>
      <c r="D51" s="95" t="str">
        <f t="shared" ca="1" si="8"/>
        <v/>
      </c>
      <c r="E51" s="95" t="str">
        <f t="shared" ca="1" si="9"/>
        <v/>
      </c>
      <c r="F51" s="98" t="str">
        <f ca="1">IFERROR(IF(C51&lt;&gt;"",'kU(E)'!$P$19*'kU(E)'!G69,""),"")</f>
        <v/>
      </c>
      <c r="G51" s="250" t="str">
        <f t="shared" ca="1" si="10"/>
        <v/>
      </c>
      <c r="H51" s="95" t="str">
        <f t="shared" ca="1" si="11"/>
        <v/>
      </c>
      <c r="I51" s="95" t="str">
        <f t="shared" ca="1" si="12"/>
        <v/>
      </c>
      <c r="J51" s="98" t="str">
        <f t="shared" ca="1" si="13"/>
        <v/>
      </c>
      <c r="K51" s="95" t="str">
        <f ca="1">IFERROR(IF(C51="","",#REF!),"")</f>
        <v/>
      </c>
      <c r="M51" s="27" t="s">
        <v>524</v>
      </c>
      <c r="N51" s="27">
        <v>0.70306000000000002</v>
      </c>
      <c r="O51" s="27">
        <v>0.70306000000000002</v>
      </c>
      <c r="P51" s="27">
        <v>9.8100000000000007E-2</v>
      </c>
      <c r="Q51" s="27">
        <v>9.81</v>
      </c>
      <c r="S51" s="20">
        <v>15</v>
      </c>
      <c r="T51" s="196">
        <f>INDEX(Cert_patrones[[#All],[Código Patrón]:[Deriva]],MATCH($U$35,Cert_patrones[Código Patrón],0)+S51,3)*coef_unidad</f>
        <v>0</v>
      </c>
      <c r="U51" s="196">
        <f>INDEX(Cert_patrones[[#All],[Código Patrón]:[Deriva]],MATCH($U$35,Cert_patrones[Código Patrón],0)+S51,4)*coef_unidad</f>
        <v>0</v>
      </c>
      <c r="V51" s="196">
        <f>INDEX(Cert_patrones[[#All],[Código Patrón]:[Deriva]],MATCH($U$35,Cert_patrones[Código Patrón],0)+S51,5)*coef_unidad</f>
        <v>0</v>
      </c>
      <c r="W51" s="196">
        <f>INDEX(Cert_patrones[[#All],[Código Patrón]:[Deriva]],MATCH($U$35,Cert_patrones[Código Patrón],0)+S51,9)*coef_unidad</f>
        <v>0</v>
      </c>
      <c r="Y51" s="20">
        <v>15</v>
      </c>
      <c r="Z51" s="196" t="str">
        <f>IFERROR(INDEX(Cert_patrones[[#All],[Código Patrón]:[Deriva]],MATCH($AA$35,Cert_patrones[Código Patrón],0)+Y51,3)*coef_unidad,"")</f>
        <v/>
      </c>
      <c r="AA51" s="196" t="str">
        <f>IFERROR(INDEX(Cert_patrones[[#All],[Código Patrón]:[Deriva]],MATCH($AA$35,Cert_patrones[Código Patrón],0)+Y51,4)*coef_unidad,"")</f>
        <v/>
      </c>
      <c r="AB51" s="196" t="str">
        <f>IFERROR(INDEX(Cert_patrones[[#All],[Código Patrón]:[Deriva]],MATCH($AA$35,Cert_patrones[Código Patrón],0)+Y51,5)*coef_unidad,"")</f>
        <v/>
      </c>
      <c r="AC51" s="196" t="str">
        <f>IFERROR(INDEX(Cert_patrones[[#All],[Código Patrón]:[Deriva]],MATCH($AA$35,Cert_patrones[Código Patrón],0)+Y51,9)*coef_unidad,"")</f>
        <v/>
      </c>
      <c r="AE51" s="68" t="s">
        <v>168</v>
      </c>
      <c r="AF51" s="65" t="str">
        <f ca="1">IFERROR(INDEX($Z$37:$Z$51,MATCH(AF$50,$Z$37:OFFSET($Z$37,NumPuntosCalib2-1,0),1)),"")</f>
        <v/>
      </c>
      <c r="AG51" s="65" t="str">
        <f ca="1">IFERROR(INDEX($Z$37:$Z$51,MATCH(AG$50,$Z$37:OFFSET($Z$37,NumPuntosCalib2-1,0),1)),"")</f>
        <v/>
      </c>
      <c r="AH51" s="65" t="str">
        <f ca="1">IFERROR(INDEX($Z$37:$Z$51,MATCH(AH$50,$Z$37:OFFSET($Z$37,NumPuntosCalib2-1,0),1)),"")</f>
        <v/>
      </c>
      <c r="AI51" s="65" t="str">
        <f ca="1">IFERROR(INDEX($Z$37:$Z$51,MATCH(AI$50,$Z$37:OFFSET($Z$37,NumPuntosCalib2-1,0),1)),"")</f>
        <v/>
      </c>
      <c r="AJ51" s="65" t="str">
        <f ca="1">IFERROR(INDEX($Z$37:$Z$51,MATCH(AJ$50,$Z$37:OFFSET($Z$37,NumPuntosCalib2-1,0),1)),"")</f>
        <v/>
      </c>
      <c r="AK51" s="65" t="str">
        <f ca="1">IFERROR(INDEX($Z$37:$Z$51,MATCH(AK$50,$Z$37:OFFSET($Z$37,NumPuntosCalib2-1,0),1)),"")</f>
        <v/>
      </c>
      <c r="AL51" s="65" t="str">
        <f ca="1">IFERROR(INDEX($Z$37:$Z$51,MATCH(AL$50,$Z$37:OFFSET($Z$37,NumPuntosCalib2-1,0),1)),"")</f>
        <v/>
      </c>
      <c r="AM51" s="65" t="str">
        <f ca="1">IFERROR(INDEX($Z$37:$Z$51,MATCH(AM$50,$Z$37:OFFSET($Z$37,NumPuntosCalib2-1,0),1)),"")</f>
        <v/>
      </c>
      <c r="AN51" s="65" t="str">
        <f ca="1">IFERROR(INDEX($Z$37:$Z$51,MATCH(AN$50,$Z$37:OFFSET($Z$37,NumPuntosCalib2-1,0),1)),"")</f>
        <v/>
      </c>
      <c r="AO51" s="65" t="str">
        <f ca="1">IFERROR(INDEX($Z$37:$Z$51,MATCH(AO$50,$Z$37:OFFSET($Z$37,NumPuntosCalib2-1,0),1)),"")</f>
        <v/>
      </c>
    </row>
    <row r="52" spans="2:41" x14ac:dyDescent="0.3">
      <c r="B52">
        <v>15</v>
      </c>
      <c r="C52" s="95" t="str">
        <f t="shared" ca="1" si="14"/>
        <v/>
      </c>
      <c r="D52" s="95" t="str">
        <f t="shared" ca="1" si="8"/>
        <v/>
      </c>
      <c r="E52" s="95" t="str">
        <f t="shared" ca="1" si="9"/>
        <v/>
      </c>
      <c r="F52" s="98" t="str">
        <f ca="1">IFERROR(IF(C52&lt;&gt;"",'kU(E)'!$P$19*'kU(E)'!G70,""),"")</f>
        <v/>
      </c>
      <c r="G52" s="250" t="str">
        <f t="shared" ca="1" si="10"/>
        <v/>
      </c>
      <c r="H52" s="95" t="str">
        <f t="shared" ca="1" si="11"/>
        <v/>
      </c>
      <c r="I52" s="95" t="str">
        <f t="shared" ca="1" si="12"/>
        <v/>
      </c>
      <c r="J52" s="98" t="str">
        <f t="shared" ca="1" si="13"/>
        <v/>
      </c>
      <c r="K52" s="95" t="str">
        <f ca="1">IFERROR(IF(C52="","",#REF!),"")</f>
        <v/>
      </c>
      <c r="S52" s="20"/>
      <c r="T52" s="20" t="s">
        <v>162</v>
      </c>
      <c r="U52" s="20"/>
      <c r="V52" s="48">
        <f>COUNTIF(V37:V51,"&lt;&gt;0")</f>
        <v>14</v>
      </c>
      <c r="W52" s="20"/>
      <c r="Y52" s="20"/>
      <c r="Z52" s="20" t="s">
        <v>162</v>
      </c>
      <c r="AA52" s="20"/>
      <c r="AB52" s="48">
        <f>COUNTIF(AB37:AB51,"&lt;&gt;0")</f>
        <v>15</v>
      </c>
      <c r="AC52" s="20"/>
      <c r="AE52" s="68" t="s">
        <v>170</v>
      </c>
      <c r="AF52" s="65" t="str">
        <f ca="1">IFERROR(INDEX($AB$37:$AB$51,MATCH(AF$50,$Z$37:OFFSET($Z$37,NumPuntosCalib2-1,0),1)),"")</f>
        <v/>
      </c>
      <c r="AG52" s="65" t="str">
        <f ca="1">IFERROR(INDEX($AB$37:$AB$51,MATCH(AG$50,$Z$37:OFFSET($Z$37,NumPuntosCalib2-1,0),1)),"")</f>
        <v/>
      </c>
      <c r="AH52" s="65" t="str">
        <f ca="1">IFERROR(INDEX($AB$37:$AB$51,MATCH(AH$50,$Z$37:OFFSET($Z$37,NumPuntosCalib2-1,0),1)),"")</f>
        <v/>
      </c>
      <c r="AI52" s="65" t="str">
        <f ca="1">IFERROR(INDEX($AB$37:$AB$51,MATCH(AI$50,$Z$37:OFFSET($Z$37,NumPuntosCalib2-1,0),1)),"")</f>
        <v/>
      </c>
      <c r="AJ52" s="65" t="str">
        <f ca="1">IFERROR(INDEX($AB$37:$AB$51,MATCH(AJ$50,$Z$37:OFFSET($Z$37,NumPuntosCalib2-1,0),1)),"")</f>
        <v/>
      </c>
      <c r="AK52" s="65" t="str">
        <f ca="1">IFERROR(INDEX($AB$37:$AB$51,MATCH(AK$50,$Z$37:OFFSET($Z$37,NumPuntosCalib2-1,0),1)),"")</f>
        <v/>
      </c>
      <c r="AL52" s="65" t="str">
        <f ca="1">IFERROR(INDEX($AB$37:$AB$51,MATCH(AL$50,$Z$37:OFFSET($Z$37,NumPuntosCalib2-1,0),1)),"")</f>
        <v/>
      </c>
      <c r="AM52" s="65" t="str">
        <f ca="1">IFERROR(INDEX($AB$37:$AB$51,MATCH(AM$50,$Z$37:OFFSET($Z$37,NumPuntosCalib2-1,0),1)),"")</f>
        <v/>
      </c>
      <c r="AN52" s="65" t="str">
        <f ca="1">IFERROR(INDEX($AB$37:$AB$51,MATCH(AN$50,$Z$37:OFFSET($Z$37,NumPuntosCalib2-1,0),1)),"")</f>
        <v/>
      </c>
      <c r="AO52" s="65" t="str">
        <f ca="1">IFERROR(INDEX($AB$37:$AB$51,MATCH(AO$50,$Z$37:OFFSET($Z$37,NumPuntosCalib2-1,0),1)),"")</f>
        <v/>
      </c>
    </row>
    <row r="53" spans="2:41" ht="16.2" x14ac:dyDescent="0.3">
      <c r="T53" s="117" t="s">
        <v>238</v>
      </c>
      <c r="U53" s="124">
        <f t="array" aca="1" ref="U53" ca="1">RSQ($U$37:OFFSET($U$37,MATCH(TRUE,$V$37:$V$51&lt;&gt;0,1)-1,0),$T$37:OFFSET($T$37,MATCH(TRUE,$V$37:$V$51&lt;&gt;0,1)-1,0))</f>
        <v>2.2252786215472806E-2</v>
      </c>
      <c r="V53" s="124">
        <f t="array" aca="1" ref="V53" ca="1">RSQ($V$37:OFFSET($V$37,MATCH(TRUE,$V$37:$V$51&lt;&gt;0,1)-1,0),$T$37:OFFSET($T$37,MATCH(TRUE,$V$37:$V$51&lt;&gt;0,1)-1,0))</f>
        <v>3.503035141458858E-2</v>
      </c>
      <c r="W53" s="124">
        <f t="array" aca="1" ref="W53" ca="1">IFERROR(RSQ($W$37:OFFSET($V$37,MATCH(TRUE,$V$37:$V$51&lt;&gt;0,1)-1,0),$T$37:OFFSET($T$37,MATCH(TRUE,$V$37:$V$51&lt;&gt;0,1)-1,0)),1)</f>
        <v>1</v>
      </c>
      <c r="Z53" s="117" t="s">
        <v>238</v>
      </c>
      <c r="AA53" s="124">
        <f t="array" aca="1" ref="AA53" ca="1">IFERROR(RSQ($AA$37:OFFSET($AA$37,MATCH(TRUE,$AB$37:$AB$51&lt;&gt;0,1)-1,0),$Z$37:OFFSET($Z$37,MATCH(TRUE,$AB$37:$AB$51&lt;&gt;0,1)-1,0)),0)</f>
        <v>0</v>
      </c>
      <c r="AB53" s="124">
        <f t="array" aca="1" ref="AB53" ca="1">IFERROR(RSQ($AB$37:OFFSET($AB$37,MATCH(TRUE,$AA$37:$AA$51&lt;&gt;0,1)-1,0),$Z$37:OFFSET($Z$37,MATCH(TRUE,$AA$37:$AA$51&lt;&gt;0,1)-1,0)),0)</f>
        <v>0</v>
      </c>
      <c r="AC53" s="124">
        <f t="array" aca="1" ref="AC53" ca="1">IFERROR(RSQ($AC$37:OFFSET($AC$37,MATCH(TRUE,$AA$37:$AA$51&lt;&gt;0,1)-1,0),$Z$37:OFFSET($Z$37,MATCH(TRUE,$AA$37:$AA$51&lt;&gt;0,1)-1,0)),0)</f>
        <v>0</v>
      </c>
      <c r="AE53" s="68" t="s">
        <v>169</v>
      </c>
      <c r="AF53" s="65" t="str">
        <f ca="1">IFERROR(INDEX($Z$37:$Z$51,MATCH(AF$50,$Z$37:OFFSET($Z$37,NumPuntosCalib2-1,0),1)+1),"")</f>
        <v/>
      </c>
      <c r="AG53" s="65" t="str">
        <f ca="1">IFERROR(INDEX($Z$37:$Z$51,MATCH(AG$50,$Z$37:OFFSET($Z$37,NumPuntosCalib2-1,0),1)+1),"")</f>
        <v/>
      </c>
      <c r="AH53" s="65" t="str">
        <f ca="1">IFERROR(INDEX($Z$37:$Z$51,MATCH(AH$50,$Z$37:OFFSET($Z$37,NumPuntosCalib2-1,0),1)+1),"")</f>
        <v/>
      </c>
      <c r="AI53" s="65" t="str">
        <f ca="1">IFERROR(INDEX($Z$37:$Z$51,MATCH(AI$50,$Z$37:OFFSET($Z$37,NumPuntosCalib2-1,0),1)+1),"")</f>
        <v/>
      </c>
      <c r="AJ53" s="65" t="str">
        <f ca="1">IFERROR(INDEX($Z$37:$Z$51,MATCH(AJ$50,$Z$37:OFFSET($Z$37,NumPuntosCalib2-1,0),1)+1),"")</f>
        <v/>
      </c>
      <c r="AK53" s="65" t="str">
        <f ca="1">IFERROR(INDEX($Z$37:$Z$51,MATCH(AK$50,$Z$37:OFFSET($Z$37,NumPuntosCalib2-1,0),1)+1),"")</f>
        <v/>
      </c>
      <c r="AL53" s="65" t="str">
        <f ca="1">IFERROR(INDEX($Z$37:$Z$51,MATCH(AL$50,$Z$37:OFFSET($Z$37,NumPuntosCalib2-1,0),1)+1),"")</f>
        <v/>
      </c>
      <c r="AM53" s="65" t="str">
        <f ca="1">IFERROR(INDEX($Z$37:$Z$51,MATCH(AM$50,$Z$37:OFFSET($Z$37,NumPuntosCalib2-1,0),1)+1),"")</f>
        <v/>
      </c>
      <c r="AN53" s="65" t="str">
        <f ca="1">IFERROR(INDEX($Z$37:$Z$51,MATCH(AN$50,$Z$37:OFFSET($Z$37,NumPuntosCalib2-1,0),1)+1),"")</f>
        <v/>
      </c>
      <c r="AO53" s="65" t="str">
        <f ca="1">IFERROR(INDEX($Z$37:$Z$51,MATCH(AO$50,$Z$37:OFFSET($Z$37,NumPuntosCalib2-1,0),1)+1),"")</f>
        <v/>
      </c>
    </row>
    <row r="54" spans="2:41" x14ac:dyDescent="0.3">
      <c r="M54" t="s">
        <v>355</v>
      </c>
      <c r="AE54" s="68" t="s">
        <v>171</v>
      </c>
      <c r="AF54" s="65" t="str">
        <f ca="1">IFERROR(INDEX($AB$37:$AB$51,MATCH(AF$50,$Z$37:OFFSET($Z$37,NumPuntosCalib2-1,0),1)+1),"")</f>
        <v/>
      </c>
      <c r="AG54" s="65" t="str">
        <f ca="1">IFERROR(INDEX($AB$37:$AB$51,MATCH(AG$50,$Z$37:OFFSET($Z$37,NumPuntosCalib2-1,0),1)+1),"")</f>
        <v/>
      </c>
      <c r="AH54" s="65" t="str">
        <f ca="1">IFERROR(INDEX($AB$37:$AB$51,MATCH(AH$50,$Z$37:OFFSET($Z$37,NumPuntosCalib2-1,0),1)+1),"")</f>
        <v/>
      </c>
      <c r="AI54" s="65" t="str">
        <f ca="1">IFERROR(INDEX($AB$37:$AB$51,MATCH(AI$50,$Z$37:OFFSET($Z$37,NumPuntosCalib2-1,0),1)+1),"")</f>
        <v/>
      </c>
      <c r="AJ54" s="65" t="str">
        <f ca="1">IFERROR(INDEX($AB$37:$AB$51,MATCH(AJ$50,$Z$37:OFFSET($Z$37,NumPuntosCalib2-1,0),1)+1),"")</f>
        <v/>
      </c>
      <c r="AK54" s="65" t="str">
        <f ca="1">IFERROR(INDEX($AB$37:$AB$51,MATCH(AK$50,$Z$37:OFFSET($Z$37,NumPuntosCalib2-1,0),1)+1),"")</f>
        <v/>
      </c>
      <c r="AL54" s="65" t="str">
        <f ca="1">IFERROR(INDEX($AB$37:$AB$51,MATCH(AL$50,$Z$37:OFFSET($Z$37,NumPuntosCalib2-1,0),1)+1),"")</f>
        <v/>
      </c>
      <c r="AM54" s="65" t="str">
        <f ca="1">IFERROR(INDEX($AB$37:$AB$51,MATCH(AM$50,$Z$37:OFFSET($Z$37,NumPuntosCalib2-1,0),1)+1),"")</f>
        <v/>
      </c>
      <c r="AN54" s="65" t="str">
        <f ca="1">IFERROR(INDEX($AB$37:$AB$51,MATCH(AN$50,$Z$37:OFFSET($Z$37,NumPuntosCalib2-1,0),1)+1),"")</f>
        <v/>
      </c>
      <c r="AO54" s="65" t="str">
        <f ca="1">IFERROR(INDEX($AB$37:$AB$51,MATCH(AO$50,$Z$37:OFFSET($Z$37,NumPuntosCalib2-1,0),1)+1),"")</f>
        <v/>
      </c>
    </row>
    <row r="55" spans="2:41" x14ac:dyDescent="0.3">
      <c r="AE55" s="68" t="s">
        <v>172</v>
      </c>
      <c r="AF55" s="120" t="str">
        <f t="shared" ref="AF55:AO55" ca="1" si="16">IFERROR(AF52+(AF50-AF51)*(AF54-AF52)/(AF53-AF51),"")</f>
        <v/>
      </c>
      <c r="AG55" s="120" t="str">
        <f t="shared" ca="1" si="16"/>
        <v/>
      </c>
      <c r="AH55" s="120" t="str">
        <f t="shared" ca="1" si="16"/>
        <v/>
      </c>
      <c r="AI55" s="120" t="str">
        <f t="shared" ca="1" si="16"/>
        <v/>
      </c>
      <c r="AJ55" s="120" t="str">
        <f t="shared" ca="1" si="16"/>
        <v/>
      </c>
      <c r="AK55" s="120" t="str">
        <f t="shared" ca="1" si="16"/>
        <v/>
      </c>
      <c r="AL55" s="120" t="str">
        <f t="shared" ca="1" si="16"/>
        <v/>
      </c>
      <c r="AM55" s="120" t="str">
        <f t="shared" ca="1" si="16"/>
        <v/>
      </c>
      <c r="AN55" s="120" t="str">
        <f t="shared" ca="1" si="16"/>
        <v/>
      </c>
      <c r="AO55" s="120" t="str">
        <f t="shared" ca="1" si="16"/>
        <v/>
      </c>
    </row>
    <row r="58" spans="2:41" x14ac:dyDescent="0.3">
      <c r="AE58" s="15" t="s">
        <v>395</v>
      </c>
      <c r="AF58" s="15"/>
      <c r="AG58" s="15"/>
      <c r="AH58" s="15"/>
      <c r="AI58" s="15" t="str">
        <f>CONCATENATE("[Todo en ", unidad,"]")</f>
        <v>[Todo en psi]</v>
      </c>
      <c r="AJ58" s="15"/>
    </row>
    <row r="60" spans="2:41" x14ac:dyDescent="0.3">
      <c r="AE60" s="47" t="s">
        <v>173</v>
      </c>
      <c r="AF60" s="47">
        <v>1</v>
      </c>
      <c r="AG60" s="47">
        <v>2</v>
      </c>
      <c r="AH60" s="47">
        <v>3</v>
      </c>
      <c r="AI60" s="47">
        <v>4</v>
      </c>
      <c r="AJ60" s="47">
        <v>5</v>
      </c>
      <c r="AK60" s="47">
        <v>6</v>
      </c>
      <c r="AL60" s="47">
        <v>7</v>
      </c>
      <c r="AM60" s="47">
        <v>8</v>
      </c>
      <c r="AN60" s="47">
        <v>9</v>
      </c>
      <c r="AO60" s="47">
        <v>10</v>
      </c>
    </row>
    <row r="61" spans="2:41" x14ac:dyDescent="0.3">
      <c r="AE61" s="68" t="s">
        <v>167</v>
      </c>
      <c r="AF61" s="69" t="str">
        <f t="array" aca="1" ref="AF61:AO61" ca="1">TRANSPOSE($T$15:$T$29)</f>
        <v/>
      </c>
      <c r="AG61" s="69" t="str">
        <f ca="1"/>
        <v/>
      </c>
      <c r="AH61" s="69" t="str">
        <f ca="1"/>
        <v/>
      </c>
      <c r="AI61" s="69" t="str">
        <f ca="1"/>
        <v/>
      </c>
      <c r="AJ61" s="69" t="str">
        <f ca="1"/>
        <v/>
      </c>
      <c r="AK61" s="69" t="str">
        <f ca="1"/>
        <v/>
      </c>
      <c r="AL61" s="64" t="str">
        <f ca="1"/>
        <v/>
      </c>
      <c r="AM61" s="64" t="str">
        <f ca="1"/>
        <v/>
      </c>
      <c r="AN61" s="64" t="str">
        <f ca="1"/>
        <v/>
      </c>
      <c r="AO61" s="64" t="str">
        <f ca="1"/>
        <v/>
      </c>
    </row>
    <row r="62" spans="2:41" x14ac:dyDescent="0.3">
      <c r="AE62" s="68" t="s">
        <v>168</v>
      </c>
      <c r="AF62" s="65" t="str">
        <f ca="1">IFERROR(INDEX($Z$37:$Z$51,MATCH(AF$61,$Z$37:OFFSET($Z$37,NumPuntosCalib2-1,0),1)),"")</f>
        <v/>
      </c>
      <c r="AG62" s="65" t="str">
        <f ca="1">IFERROR(INDEX($Z$37:$Z$51,MATCH(AG$61,$Z$37:OFFSET($Z$37,NumPuntosCalib2-1,0),1)),"")</f>
        <v/>
      </c>
      <c r="AH62" s="65" t="str">
        <f ca="1">IFERROR(INDEX($Z$37:$Z$51,MATCH(AH$61,$Z$37:OFFSET($Z$37,NumPuntosCalib2-1,0),1)),"")</f>
        <v/>
      </c>
      <c r="AI62" s="65" t="str">
        <f ca="1">IFERROR(INDEX($Z$37:$Z$51,MATCH(AI$61,$Z$37:OFFSET($Z$37,NumPuntosCalib2-1,0),1)),"")</f>
        <v/>
      </c>
      <c r="AJ62" s="65" t="str">
        <f ca="1">IFERROR(INDEX($Z$37:$Z$51,MATCH(AJ$61,$Z$37:OFFSET($Z$37,NumPuntosCalib2-1,0),1)),"")</f>
        <v/>
      </c>
      <c r="AK62" s="65" t="str">
        <f ca="1">IFERROR(INDEX($Z$37:$Z$51,MATCH(AK$61,$Z$37:OFFSET($Z$37,NumPuntosCalib2-1,0),1)),"")</f>
        <v/>
      </c>
      <c r="AL62" s="65" t="str">
        <f ca="1">IFERROR(INDEX($Z$37:$Z$51,MATCH(AL$61,$Z$37:OFFSET($Z$37,NumPuntosCalib2-1,0),1)),"")</f>
        <v/>
      </c>
      <c r="AM62" s="65" t="str">
        <f ca="1">IFERROR(INDEX($Z$37:$Z$51,MATCH(AM$61,$Z$37:OFFSET($Z$37,NumPuntosCalib2-1,0),1)),"")</f>
        <v/>
      </c>
      <c r="AN62" s="65" t="str">
        <f ca="1">IFERROR(INDEX($Z$37:$Z$51,MATCH(AN$61,$Z$37:OFFSET($Z$37,NumPuntosCalib2-1,0),1)),"")</f>
        <v/>
      </c>
      <c r="AO62" s="65" t="str">
        <f ca="1">IFERROR(INDEX($Z$37:$Z$51,MATCH(AO$61,$Z$37:OFFSET($Z$37,NumPuntosCalib2-1,0),1)),"")</f>
        <v/>
      </c>
    </row>
    <row r="63" spans="2:41" x14ac:dyDescent="0.3">
      <c r="AE63" s="68" t="s">
        <v>170</v>
      </c>
      <c r="AF63" s="65" t="str">
        <f ca="1">IFERROR(INDEX($AC$37:$AC$51,MATCH(AF$61,$Z$37:OFFSET($Z$37,NumPuntosCalib2-1,0),1)),"")</f>
        <v/>
      </c>
      <c r="AG63" s="65" t="str">
        <f ca="1">IFERROR(INDEX($AC$37:$AC$51,MATCH(AG$61,$Z$37:OFFSET($Z$37,NumPuntosCalib2-1,0),1)),"")</f>
        <v/>
      </c>
      <c r="AH63" s="65" t="str">
        <f ca="1">IFERROR(INDEX($AC$37:$AC$51,MATCH(AH$61,$Z$37:OFFSET($Z$37,NumPuntosCalib2-1,0),1)),"")</f>
        <v/>
      </c>
      <c r="AI63" s="65" t="str">
        <f ca="1">IFERROR(INDEX($AC$37:$AC$51,MATCH(AI$61,$Z$37:OFFSET($Z$37,NumPuntosCalib2-1,0),1)),"")</f>
        <v/>
      </c>
      <c r="AJ63" s="65" t="str">
        <f ca="1">IFERROR(INDEX($AC$37:$AC$51,MATCH(AJ$61,$Z$37:OFFSET($Z$37,NumPuntosCalib2-1,0),1)),"")</f>
        <v/>
      </c>
      <c r="AK63" s="65" t="str">
        <f ca="1">IFERROR(INDEX($AC$37:$AC$51,MATCH(AK$61,$Z$37:OFFSET($Z$37,NumPuntosCalib2-1,0),1)),"")</f>
        <v/>
      </c>
      <c r="AL63" s="65" t="str">
        <f ca="1">IFERROR(INDEX($AC$37:$AC$51,MATCH(AL$61,$Z$37:OFFSET($Z$37,NumPuntosCalib2-1,0),1)),"")</f>
        <v/>
      </c>
      <c r="AM63" s="65" t="str">
        <f ca="1">IFERROR(INDEX($AC$37:$AC$51,MATCH(AM$61,$Z$37:OFFSET($Z$37,NumPuntosCalib2-1,0),1)),"")</f>
        <v/>
      </c>
      <c r="AN63" s="65" t="str">
        <f ca="1">IFERROR(INDEX($AC$37:$AC$51,MATCH(AN$61,$Z$37:OFFSET($Z$37,NumPuntosCalib2-1,0),1)),"")</f>
        <v/>
      </c>
      <c r="AO63" s="65" t="str">
        <f ca="1">IFERROR(INDEX($AC$37:$AC$51,MATCH(AO$61,$Z$37:OFFSET($Z$37,NumPuntosCalib2-1,0),1)),"")</f>
        <v/>
      </c>
    </row>
    <row r="64" spans="2:41" x14ac:dyDescent="0.3">
      <c r="AE64" s="68" t="s">
        <v>169</v>
      </c>
      <c r="AF64" s="65" t="str">
        <f ca="1">IFERROR(INDEX($Z$37:$Z$51,MATCH(AF$61,$Z$37:OFFSET($Z$37,NumPuntosCalib2-1,0),1)+1),"")</f>
        <v/>
      </c>
      <c r="AG64" s="65" t="str">
        <f ca="1">IFERROR(INDEX($Z$37:$Z$51,MATCH(AG$61,$Z$37:OFFSET($Z$37,NumPuntosCalib2-1,0),1)+1),"")</f>
        <v/>
      </c>
      <c r="AH64" s="65" t="str">
        <f ca="1">IFERROR(INDEX($Z$37:$Z$51,MATCH(AH$61,$Z$37:OFFSET($Z$37,NumPuntosCalib2-1,0),1)+1),"")</f>
        <v/>
      </c>
      <c r="AI64" s="65" t="str">
        <f ca="1">IFERROR(INDEX($Z$37:$Z$51,MATCH(AI$61,$Z$37:OFFSET($Z$37,NumPuntosCalib2-1,0),1)+1),"")</f>
        <v/>
      </c>
      <c r="AJ64" s="65" t="str">
        <f ca="1">IFERROR(INDEX($Z$37:$Z$51,MATCH(AJ$61,$Z$37:OFFSET($Z$37,NumPuntosCalib2-1,0),1)+1),"")</f>
        <v/>
      </c>
      <c r="AK64" s="65" t="str">
        <f ca="1">IFERROR(INDEX($Z$37:$Z$51,MATCH(AK$61,$Z$37:OFFSET($Z$37,NumPuntosCalib2-1,0),1)+1),"")</f>
        <v/>
      </c>
      <c r="AL64" s="65" t="str">
        <f ca="1">IFERROR(INDEX($Z$37:$Z$51,MATCH(AL$61,$Z$37:OFFSET($Z$37,NumPuntosCalib2-1,0),1)+1),"")</f>
        <v/>
      </c>
      <c r="AM64" s="65" t="str">
        <f ca="1">IFERROR(INDEX($Z$37:$Z$51,MATCH(AM$61,$Z$37:OFFSET($Z$37,NumPuntosCalib2-1,0),1)+1),"")</f>
        <v/>
      </c>
      <c r="AN64" s="65" t="str">
        <f ca="1">IFERROR(INDEX($Z$37:$Z$51,MATCH(AN$61,$Z$37:OFFSET($Z$37,NumPuntosCalib2-1,0),1)+1),"")</f>
        <v/>
      </c>
      <c r="AO64" s="65" t="str">
        <f ca="1">IFERROR(INDEX($Z$37:$Z$51,MATCH(AO$61,$Z$37:OFFSET($Z$37,NumPuntosCalib2-1,0),1)+1),"")</f>
        <v/>
      </c>
    </row>
    <row r="65" spans="31:41" x14ac:dyDescent="0.3">
      <c r="AE65" s="68" t="s">
        <v>171</v>
      </c>
      <c r="AF65" s="65" t="str">
        <f ca="1">IFERROR(INDEX($AC$37:$AC$51,MATCH(AF$61,$Z$37:OFFSET($Z$37,NumPuntosCalib2-1,0),1)+1),"")</f>
        <v/>
      </c>
      <c r="AG65" s="65" t="str">
        <f ca="1">IFERROR(INDEX($AC$37:$AC$51,MATCH(AG$61,$Z$37:OFFSET($Z$37,NumPuntosCalib2-1,0),1)+1),"")</f>
        <v/>
      </c>
      <c r="AH65" s="65" t="str">
        <f ca="1">IFERROR(INDEX($AC$37:$AC$51,MATCH(AH$61,$Z$37:OFFSET($Z$37,NumPuntosCalib2-1,0),1)+1),"")</f>
        <v/>
      </c>
      <c r="AI65" s="65" t="str">
        <f ca="1">IFERROR(INDEX($AC$37:$AC$51,MATCH(AI$61,$Z$37:OFFSET($Z$37,NumPuntosCalib2-1,0),1)+1),"")</f>
        <v/>
      </c>
      <c r="AJ65" s="65" t="str">
        <f ca="1">IFERROR(INDEX($AC$37:$AC$51,MATCH(AJ$61,$Z$37:OFFSET($Z$37,NumPuntosCalib2-1,0),1)+1),"")</f>
        <v/>
      </c>
      <c r="AK65" s="65" t="str">
        <f ca="1">IFERROR(INDEX($AC$37:$AC$51,MATCH(AK$61,$Z$37:OFFSET($Z$37,NumPuntosCalib2-1,0),1)+1),"")</f>
        <v/>
      </c>
      <c r="AL65" s="65" t="str">
        <f ca="1">IFERROR(INDEX($AC$37:$AC$51,MATCH(AL$61,$Z$37:OFFSET($Z$37,NumPuntosCalib2-1,0),1)+1),"")</f>
        <v/>
      </c>
      <c r="AM65" s="65" t="str">
        <f ca="1">IFERROR(INDEX($AC$37:$AC$51,MATCH(AM$61,$Z$37:OFFSET($Z$37,NumPuntosCalib2-1,0),1)+1),"")</f>
        <v/>
      </c>
      <c r="AN65" s="65" t="str">
        <f ca="1">IFERROR(INDEX($AC$37:$AC$51,MATCH(AN$61,$Z$37:OFFSET($Z$37,NumPuntosCalib2-1,0),1)+1),"")</f>
        <v/>
      </c>
      <c r="AO65" s="65" t="str">
        <f ca="1">IFERROR(INDEX($AC$37:$AC$51,MATCH(AO$61,$Z$37:OFFSET($Z$37,NumPuntosCalib2-1,0),1)+1),"")</f>
        <v/>
      </c>
    </row>
    <row r="66" spans="31:41" x14ac:dyDescent="0.3">
      <c r="AE66" s="68" t="s">
        <v>172</v>
      </c>
      <c r="AF66" s="120" t="str">
        <f t="shared" ref="AF66:AO66" ca="1" si="17">IFERROR(AF63+(AF61-AF62)*(AF65-AF63)/(AF64-AF62),"")</f>
        <v/>
      </c>
      <c r="AG66" s="120" t="str">
        <f t="shared" ca="1" si="17"/>
        <v/>
      </c>
      <c r="AH66" s="120" t="str">
        <f t="shared" ca="1" si="17"/>
        <v/>
      </c>
      <c r="AI66" s="120" t="str">
        <f t="shared" ca="1" si="17"/>
        <v/>
      </c>
      <c r="AJ66" s="120" t="str">
        <f t="shared" ca="1" si="17"/>
        <v/>
      </c>
      <c r="AK66" s="120" t="str">
        <f t="shared" ca="1" si="17"/>
        <v/>
      </c>
      <c r="AL66" s="120" t="str">
        <f t="shared" ca="1" si="17"/>
        <v/>
      </c>
      <c r="AM66" s="120" t="str">
        <f t="shared" ca="1" si="17"/>
        <v/>
      </c>
      <c r="AN66" s="120" t="str">
        <f t="shared" ca="1" si="17"/>
        <v/>
      </c>
      <c r="AO66" s="120" t="str">
        <f t="shared" ca="1" si="17"/>
        <v/>
      </c>
    </row>
    <row r="124" spans="59:59" x14ac:dyDescent="0.3">
      <c r="BG124" s="67" t="s">
        <v>42</v>
      </c>
    </row>
    <row r="125" spans="59:59" x14ac:dyDescent="0.3">
      <c r="BG125" s="67" t="s">
        <v>43</v>
      </c>
    </row>
    <row r="128" spans="59:59" x14ac:dyDescent="0.3">
      <c r="BG128" s="67" t="s">
        <v>369</v>
      </c>
    </row>
    <row r="129" spans="59:59" x14ac:dyDescent="0.3">
      <c r="BG129" s="67" t="s">
        <v>370</v>
      </c>
    </row>
  </sheetData>
  <sheetProtection formatCells="0" formatColumns="0"/>
  <mergeCells count="9">
    <mergeCell ref="K13:L13"/>
    <mergeCell ref="M13:N13"/>
    <mergeCell ref="C12:F12"/>
    <mergeCell ref="G12:J12"/>
    <mergeCell ref="K12:N12"/>
    <mergeCell ref="C13:D13"/>
    <mergeCell ref="E13:F13"/>
    <mergeCell ref="G13:H13"/>
    <mergeCell ref="I13:J13"/>
  </mergeCells>
  <conditionalFormatting sqref="C15:C24">
    <cfRule type="cellIs" dxfId="41" priority="29" operator="notBetween">
      <formula>MAX($U$5:$U$6)</formula>
      <formula>MIN($V$5:$V$6)</formula>
    </cfRule>
  </conditionalFormatting>
  <conditionalFormatting sqref="C20:C21">
    <cfRule type="cellIs" dxfId="40" priority="31" operator="between">
      <formula>"max($U$4:$U$5)"</formula>
      <formula>"min($V$4:$V$5)"</formula>
    </cfRule>
  </conditionalFormatting>
  <conditionalFormatting sqref="D15:D19">
    <cfRule type="cellIs" dxfId="39" priority="43" operator="notBetween">
      <formula>MAX($U$5:$U$6)</formula>
      <formula>MIN($V$5:$V$6)</formula>
    </cfRule>
  </conditionalFormatting>
  <conditionalFormatting sqref="E15:E24">
    <cfRule type="cellIs" dxfId="38" priority="3" operator="notBetween">
      <formula>MAX($U$5:$U$6)</formula>
      <formula>MIN($V$5:$V$6)</formula>
    </cfRule>
  </conditionalFormatting>
  <conditionalFormatting sqref="E20:E21">
    <cfRule type="cellIs" dxfId="37" priority="20" operator="between">
      <formula>"max($U$4:$U$5)"</formula>
      <formula>"min($V$4:$V$5)"</formula>
    </cfRule>
  </conditionalFormatting>
  <conditionalFormatting sqref="E24">
    <cfRule type="cellIs" dxfId="36" priority="82" operator="between">
      <formula>"max($U$4:$U$5)"</formula>
      <formula>"min($V$4:$V$5)"</formula>
    </cfRule>
  </conditionalFormatting>
  <conditionalFormatting sqref="F15:F19">
    <cfRule type="cellIs" dxfId="35" priority="22" operator="notBetween">
      <formula>MAX($U$5:$U$6)</formula>
      <formula>MIN($V$5:$V$6)</formula>
    </cfRule>
  </conditionalFormatting>
  <conditionalFormatting sqref="F38:F52">
    <cfRule type="cellIs" dxfId="34" priority="62" operator="lessThan">
      <formula>K38</formula>
    </cfRule>
  </conditionalFormatting>
  <conditionalFormatting sqref="G15:G24">
    <cfRule type="cellIs" dxfId="33" priority="2" operator="notBetween">
      <formula>MAX($U$5:$U$6)</formula>
      <formula>MIN($V$5:$V$6)</formula>
    </cfRule>
  </conditionalFormatting>
  <conditionalFormatting sqref="G20:G21">
    <cfRule type="cellIs" dxfId="32" priority="13" operator="between">
      <formula>"max($U$4:$U$5)"</formula>
      <formula>"min($V$4:$V$5)"</formula>
    </cfRule>
  </conditionalFormatting>
  <conditionalFormatting sqref="G24">
    <cfRule type="cellIs" dxfId="31" priority="80" operator="between">
      <formula>"max($U$4:$U$5)"</formula>
      <formula>"min($V$4:$V$5)"</formula>
    </cfRule>
  </conditionalFormatting>
  <conditionalFormatting sqref="H15:H19">
    <cfRule type="cellIs" dxfId="30" priority="15" operator="notBetween">
      <formula>MAX($U$5:$U$6)</formula>
      <formula>MIN($V$5:$V$6)</formula>
    </cfRule>
  </conditionalFormatting>
  <conditionalFormatting sqref="I15:I23">
    <cfRule type="cellIs" dxfId="29" priority="1" operator="notBetween">
      <formula>MAX($U$5:$U$6)</formula>
      <formula>MIN($V$5:$V$6)</formula>
    </cfRule>
  </conditionalFormatting>
  <conditionalFormatting sqref="I20:I21">
    <cfRule type="cellIs" dxfId="28" priority="6" operator="between">
      <formula>"max($U$4:$U$5)"</formula>
      <formula>"min($V$4:$V$5)"</formula>
    </cfRule>
  </conditionalFormatting>
  <conditionalFormatting sqref="J15:J19">
    <cfRule type="cellIs" dxfId="27" priority="8" operator="notBetween">
      <formula>MAX($U$5:$U$6)</formula>
      <formula>MIN($V$5:$V$6)</formula>
    </cfRule>
  </conditionalFormatting>
  <conditionalFormatting sqref="K15:N23 H24:N29">
    <cfRule type="cellIs" dxfId="26" priority="55" operator="notBetween">
      <formula>MAX($U$5:$U$6)</formula>
      <formula>MIN($V$5:$V$6)</formula>
    </cfRule>
  </conditionalFormatting>
  <conditionalFormatting sqref="O15:O29">
    <cfRule type="expression" dxfId="25" priority="57">
      <formula>$C15&lt;&gt;0</formula>
    </cfRule>
  </conditionalFormatting>
  <conditionalFormatting sqref="T14">
    <cfRule type="duplicateValues" dxfId="24" priority="90"/>
  </conditionalFormatting>
  <conditionalFormatting sqref="T15:Z29">
    <cfRule type="expression" dxfId="23" priority="98">
      <formula>$T15&lt;&gt;0</formula>
    </cfRule>
  </conditionalFormatting>
  <conditionalFormatting sqref="W5:W7">
    <cfRule type="expression" dxfId="22" priority="60">
      <formula>CertTempC&lt;W5</formula>
    </cfRule>
  </conditionalFormatting>
  <conditionalFormatting sqref="X5:X7">
    <cfRule type="expression" dxfId="21" priority="61">
      <formula>CertTempC&gt;X5</formula>
    </cfRule>
  </conditionalFormatting>
  <dataValidations count="2">
    <dataValidation allowBlank="1" showInputMessage="1" showErrorMessage="1" errorTitle="Error metrológico" error="Las temperaturas de calibración no pueden salir de las trazables, establecidas por el certificado de calibración de los patrones." sqref="G15:G28 C15:C28 E15:E28 I15:I23" xr:uid="{00000000-0002-0000-0100-000000000000}"/>
    <dataValidation type="list" allowBlank="1" showInputMessage="1" showErrorMessage="1" sqref="M5" xr:uid="{00000000-0002-0000-0100-000001000000}">
      <formula1>$BG$128:$BG$129</formula1>
    </dataValidation>
  </dataValidations>
  <pageMargins left="0.7" right="0.7" top="0.75" bottom="0.75" header="0.3" footer="0.3"/>
  <pageSetup orientation="portrait" horizontalDpi="1200" verticalDpi="1200" r:id="rId1"/>
  <ignoredErrors>
    <ignoredError sqref="T15:T29 W15:W29" formulaRange="1"/>
  </ignoredError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00000000-0002-0000-0100-000002000000}">
          <x14:formula1>
            <xm:f>'BD Patron'!$C$15:$C$18</xm:f>
          </x14:formula1>
          <xm:sqref>I5</xm:sqref>
        </x14:dataValidation>
        <x14:dataValidation type="list" allowBlank="1" showInputMessage="1" showErrorMessage="1" xr:uid="{00000000-0002-0000-0100-000003000000}">
          <x14:formula1>
            <xm:f>'BD Patron'!$C$15:$C$17</xm:f>
          </x14:formula1>
          <xm:sqref>I3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AI70"/>
  <sheetViews>
    <sheetView zoomScale="70" zoomScaleNormal="70" workbookViewId="0">
      <selection activeCell="L14" sqref="L14"/>
    </sheetView>
  </sheetViews>
  <sheetFormatPr baseColWidth="10" defaultColWidth="9.109375" defaultRowHeight="14.4" x14ac:dyDescent="0.3"/>
  <cols>
    <col min="1" max="1" width="2.5546875" customWidth="1"/>
    <col min="2" max="2" width="37" customWidth="1"/>
    <col min="3" max="3" width="11.5546875" customWidth="1"/>
    <col min="4" max="4" width="11.33203125" customWidth="1"/>
    <col min="5" max="5" width="9" bestFit="1" customWidth="1"/>
    <col min="6" max="6" width="8.5546875" bestFit="1" customWidth="1"/>
    <col min="7" max="16" width="9.6640625" customWidth="1"/>
    <col min="21" max="30" width="11.44140625" bestFit="1" customWidth="1"/>
    <col min="33" max="33" width="11.88671875" hidden="1" customWidth="1"/>
    <col min="34" max="35" width="0" hidden="1" customWidth="1"/>
  </cols>
  <sheetData>
    <row r="2" spans="2:35" x14ac:dyDescent="0.3">
      <c r="B2" s="82" t="s">
        <v>139</v>
      </c>
      <c r="C2" s="15"/>
      <c r="G2" s="92" t="s">
        <v>242</v>
      </c>
      <c r="H2" s="92"/>
      <c r="I2" s="92"/>
      <c r="J2" s="92"/>
      <c r="K2" s="92"/>
      <c r="L2" s="92"/>
      <c r="M2" s="92"/>
      <c r="N2" s="92"/>
      <c r="O2" s="92"/>
      <c r="P2" s="92"/>
      <c r="U2" s="339" t="s">
        <v>364</v>
      </c>
      <c r="V2" s="339"/>
      <c r="W2" s="339"/>
      <c r="X2" s="339"/>
      <c r="Y2" s="339"/>
      <c r="Z2" s="339"/>
      <c r="AA2" s="339"/>
      <c r="AB2" s="339"/>
      <c r="AC2" s="339"/>
      <c r="AD2" s="290" t="s">
        <v>277</v>
      </c>
      <c r="AG2" s="287" t="s">
        <v>141</v>
      </c>
      <c r="AH2" s="287" t="s">
        <v>338</v>
      </c>
      <c r="AI2" s="287" t="s">
        <v>277</v>
      </c>
    </row>
    <row r="3" spans="2:35" x14ac:dyDescent="0.3">
      <c r="B3" s="49" t="s">
        <v>140</v>
      </c>
      <c r="C3" s="49" t="s">
        <v>179</v>
      </c>
      <c r="D3" s="49" t="s">
        <v>141</v>
      </c>
      <c r="E3" s="49" t="s">
        <v>142</v>
      </c>
      <c r="G3" s="92" t="s">
        <v>243</v>
      </c>
      <c r="H3" s="92"/>
      <c r="I3" s="92"/>
      <c r="J3" s="92"/>
      <c r="K3" s="92"/>
      <c r="L3" s="92"/>
      <c r="M3" s="92"/>
      <c r="N3" s="92"/>
      <c r="O3" s="92"/>
      <c r="P3" s="92"/>
      <c r="U3" s="291">
        <f ca="1">IFERROR(IF(G10=0,0,SQRT(POWER(9.807*0.002*dif_alt,2)+POWER(-9.807*dif_alt*Calibración!$P$7,2)+POWER((IF(medio="Aire",Calibración!$P$3,100)-Calibración!$P$3)*dif_alt*0.025,2)+POWER((IF(medio="Aire",Calibración!$P$3,100)-Calibración!$P$3)*9.807*Calibración!$M$6/2,2))),0)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V3" s="291">
        <f ca="1">IFERROR(IF(H10=0,0,SQRT(POWER(9.807*0.002*dif_alt,2)+POWER(-9.807*dif_alt*Calibración!$P$7,2)+POWER((IF(medio="Aire",Calibración!$P$3,100)-Calibración!$P$3)*dif_alt*0.025,2)+POWER((IF(medio="Aire",Calibración!$P$3,100)-Calibración!$P$3)*9.807*Calibración!$M$6/2,2))),0)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W3" s="291">
        <f ca="1">IFERROR(IF(I10=0,0,SQRT(POWER(9.807*0.002*dif_alt,2)+POWER(-9.807*dif_alt*Calibración!$P$7,2)+POWER((IF(medio="Aire",Calibración!$P$3,100)-Calibración!$P$3)*dif_alt*0.025,2)+POWER((IF(medio="Aire",Calibración!$P$3,100)-Calibración!$P$3)*9.807*Calibración!$M$6/2,2))),0)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X3" s="291">
        <f ca="1">IFERROR(IF(J10=0,0,SQRT(POWER(9.807*0.002*dif_alt,2)+POWER(-9.807*dif_alt*Calibración!$P$7,2)+POWER((IF(medio="Aire",Calibración!$P$3,100)-Calibración!$P$3)*dif_alt*0.025,2)+POWER((IF(medio="Aire",Calibración!$P$3,100)-Calibración!$P$3)*9.807*Calibración!$M$6/2,2))),0)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Y3" s="291">
        <f ca="1">IFERROR(IF(K10=0,0,SQRT(POWER(9.807*0.002*dif_alt,2)+POWER(-9.807*dif_alt*Calibración!$P$7,2)+POWER((IF(medio="Aire",Calibración!$P$3,100)-Calibración!$P$3)*dif_alt*0.025,2)+POWER((IF(medio="Aire",Calibración!$P$3,100)-Calibración!$P$3)*9.807*Calibración!$M$6/2,2))),0)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Z3" s="291">
        <f ca="1">IFERROR(IF(L10=0,0,SQRT(POWER(9.807*0.002*dif_alt,2)+POWER(-9.807*dif_alt*Calibración!$P$7,2)+POWER((IF(medio="Aire",Calibración!$P$3,100)-Calibración!$P$3)*dif_alt*0.025,2)+POWER((IF(medio="Aire",Calibración!$P$3,100)-Calibración!$P$3)*9.807*Calibración!$M$6/2,2))),0)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A3" s="291">
        <f ca="1">IFERROR(IF(M10=0,0,SQRT(POWER(9.807*0.002*dif_alt,2)+POWER(-9.807*dif_alt*Calibración!$P$7,2)+POWER((IF(medio="Aire",Calibración!$P$3,100)-Calibración!$P$3)*dif_alt*0.025,2)+POWER((IF(medio="Aire",Calibración!$P$3,100)-Calibración!$P$3)*9.807*Calibración!$M$6/2,2))),0)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B3" s="291">
        <f ca="1">IFERROR(IF(N10=0,0,SQRT(POWER(9.807*0.002*dif_alt,2)+POWER(-9.807*dif_alt*Calibración!$P$7,2)+POWER((IF(medio="Aire",Calibración!$P$3,100)-Calibración!$P$3)*dif_alt*0.025,2)+POWER((IF(medio="Aire",Calibración!$P$3,100)-Calibración!$P$3)*9.807*Calibración!$M$6/2,2))),0)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C3" s="291">
        <f ca="1">IFERROR(IF(O10=0,0,SQRT(POWER(9.807*0.002*dif_alt,2)+POWER(-9.807*dif_alt*Calibración!$P$7,2)+POWER((IF(medio="Aire",Calibración!$P$3,100)-Calibración!$P$3)*dif_alt*0.025,2)+POWER((IF(medio="Aire",Calibración!$P$3,100)-Calibración!$P$3)*9.807*Calibración!$M$6/2,2))),0)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D3" s="291">
        <f ca="1">IFERROR(IF(P10=0,0,SQRT(POWER(9.807*0.002*dif_alt,2)+POWER(-9.807*dif_alt*Calibración!$P$7,2)+POWER((IF(medio="Aire",Calibración!$P$3,100)-Calibración!$P$3)*dif_alt*0.025,2)+POWER((IF(medio="Aire",Calibración!$P$3,100)-Calibración!$P$3)*9.807*Calibración!$M$6/2,2))),0)</f>
        <v>0</v>
      </c>
      <c r="AG3" s="288" t="s">
        <v>275</v>
      </c>
      <c r="AH3" s="288">
        <v>6.8947570000000002</v>
      </c>
      <c r="AI3" s="289">
        <f>AH3*1000</f>
        <v>6894.7570000000005</v>
      </c>
    </row>
    <row r="4" spans="2:35" x14ac:dyDescent="0.3">
      <c r="B4" s="73" t="s">
        <v>180</v>
      </c>
      <c r="C4" s="76" t="s">
        <v>181</v>
      </c>
      <c r="D4" s="50" t="s">
        <v>97</v>
      </c>
      <c r="E4" s="74">
        <v>0</v>
      </c>
      <c r="G4" s="92" t="s">
        <v>244</v>
      </c>
      <c r="H4" s="92"/>
      <c r="I4" s="92"/>
      <c r="J4" s="92"/>
      <c r="K4" s="92"/>
      <c r="L4" s="92"/>
      <c r="M4" s="92"/>
      <c r="N4" s="92"/>
      <c r="O4" s="92"/>
      <c r="P4" s="92"/>
      <c r="AG4" s="288" t="s">
        <v>276</v>
      </c>
      <c r="AH4" s="288">
        <v>100</v>
      </c>
      <c r="AI4" s="289">
        <f t="shared" ref="AI4:AI17" si="0">AH4*1000</f>
        <v>100000</v>
      </c>
    </row>
    <row r="5" spans="2:35" ht="15.6" x14ac:dyDescent="0.3">
      <c r="B5" s="73" t="s">
        <v>143</v>
      </c>
      <c r="C5" s="76" t="s">
        <v>182</v>
      </c>
      <c r="D5" s="50" t="s">
        <v>144</v>
      </c>
      <c r="E5" s="75">
        <v>30</v>
      </c>
      <c r="U5" s="339" t="s">
        <v>364</v>
      </c>
      <c r="V5" s="339"/>
      <c r="W5" s="339"/>
      <c r="X5" s="339"/>
      <c r="Y5" s="339"/>
      <c r="Z5" s="339"/>
      <c r="AA5" s="339"/>
      <c r="AB5" s="339"/>
      <c r="AC5" s="340" t="str">
        <f>CONCATENATE("Todo en [",unidad,"]")</f>
        <v>Todo en [psi]</v>
      </c>
      <c r="AD5" s="340"/>
      <c r="AG5" s="288" t="s">
        <v>277</v>
      </c>
      <c r="AH5" s="288">
        <v>1E-3</v>
      </c>
      <c r="AI5" s="289">
        <f t="shared" si="0"/>
        <v>1</v>
      </c>
    </row>
    <row r="6" spans="2:35" x14ac:dyDescent="0.3">
      <c r="U6" s="292">
        <f ca="1">IF(unidad="Pa",U3*1,(U3/INDEX($AG$3:$AI$17,MATCH(General!$F$16,$AG$3:$AG$17,0),3)))</f>
        <v>0</v>
      </c>
      <c r="V6" s="292">
        <f ca="1">IF(unidad="Pa",V3*1,(V3/INDEX($AG$3:$AI$17,MATCH(General!$F$16,$AG$3:$AG$17,0),3)))</f>
        <v>0</v>
      </c>
      <c r="W6" s="292">
        <f ca="1">IF(unidad="Pa",W3*1,(W3/INDEX($AG$3:$AI$17,MATCH(General!$F$16,$AG$3:$AG$17,0),3)))</f>
        <v>0</v>
      </c>
      <c r="X6" s="292">
        <f ca="1">IF(unidad="Pa",X3*1,(X3/INDEX($AG$3:$AI$17,MATCH(General!$F$16,$AG$3:$AG$17,0),3)))</f>
        <v>0</v>
      </c>
      <c r="Y6" s="292">
        <f ca="1">IF(unidad="Pa",Y3*1,(Y3/INDEX($AG$3:$AI$17,MATCH(General!$F$16,$AG$3:$AG$17,0),3)))</f>
        <v>0</v>
      </c>
      <c r="Z6" s="292">
        <f ca="1">IF(unidad="Pa",Z3*1,(Z3/INDEX($AG$3:$AI$17,MATCH(General!$F$16,$AG$3:$AG$17,0),3)))</f>
        <v>0</v>
      </c>
      <c r="AA6" s="292">
        <f ca="1">IF(unidad="Pa",AA3*1,(AA3/INDEX($AG$3:$AI$17,MATCH(General!$F$16,$AG$3:$AG$17,0),3)))</f>
        <v>0</v>
      </c>
      <c r="AB6" s="292">
        <f ca="1">IF(unidad="Pa",AB3*1,(AB3/INDEX($AG$3:$AI$17,MATCH(General!$F$16,$AG$3:$AG$17,0),3)))</f>
        <v>0</v>
      </c>
      <c r="AC6" s="292">
        <f ca="1">IF(unidad="Pa",AC3*1,(AC3/INDEX($AG$3:$AI$17,MATCH(General!$F$16,$AG$3:$AG$17,0),3)))</f>
        <v>0</v>
      </c>
      <c r="AD6" s="292">
        <f ca="1">IF(unidad="Pa",AD3*1,(AD3/INDEX($AG$3:$AI$17,MATCH(General!$F$16,$AG$3:$AG$17,0),3)))</f>
        <v>0</v>
      </c>
      <c r="AG6" s="288" t="s">
        <v>338</v>
      </c>
      <c r="AH6" s="288">
        <v>1</v>
      </c>
      <c r="AI6" s="289">
        <f t="shared" si="0"/>
        <v>1000</v>
      </c>
    </row>
    <row r="7" spans="2:35" x14ac:dyDescent="0.3">
      <c r="B7" s="51" t="s">
        <v>155</v>
      </c>
      <c r="C7" s="15"/>
      <c r="D7" s="15"/>
      <c r="E7" s="15"/>
      <c r="F7" s="15"/>
      <c r="G7" s="138" t="str">
        <f ca="1">IFERROR(CONCATENATE(FIXED(Calibración!C38,decim),unidad),"")</f>
        <v/>
      </c>
      <c r="H7" s="138" t="str">
        <f ca="1">IFERROR(CONCATENATE(FIXED(Calibración!C39,decim),unidad),"")</f>
        <v/>
      </c>
      <c r="I7" s="138" t="str">
        <f ca="1">IFERROR(CONCATENATE(FIXED(Calibración!C40,decim),unidad),"")</f>
        <v/>
      </c>
      <c r="J7" s="138" t="str">
        <f ca="1">IFERROR(CONCATENATE(FIXED(Calibración!C41,decim),unidad),"")</f>
        <v/>
      </c>
      <c r="K7" s="138" t="str">
        <f ca="1">IFERROR(CONCATENATE(FIXED(Calibración!C42,decim),unidad),"")</f>
        <v/>
      </c>
      <c r="L7" s="138" t="str">
        <f ca="1">IFERROR(CONCATENATE(FIXED(Calibración!C43,decim),unidad),"")</f>
        <v/>
      </c>
      <c r="M7" s="138" t="str">
        <f ca="1">IFERROR(CONCATENATE(FIXED(Calibración!C44,decim),unidad),"")</f>
        <v/>
      </c>
      <c r="N7" s="138" t="str">
        <f ca="1">IFERROR(CONCATENATE(FIXED(Calibración!C45,decim),unidad),"")</f>
        <v/>
      </c>
      <c r="O7" s="138" t="str">
        <f ca="1">IFERROR(CONCATENATE(FIXED(Calibración!C46,decim),unidad),"")</f>
        <v/>
      </c>
      <c r="P7" s="138" t="str">
        <f ca="1">IFERROR(CONCATENATE(FIXED(Calibración!C47,decim),unidad),"")</f>
        <v/>
      </c>
      <c r="AG7" s="288" t="s">
        <v>278</v>
      </c>
      <c r="AH7" s="288">
        <v>0.01</v>
      </c>
      <c r="AI7" s="289">
        <f t="shared" si="0"/>
        <v>10</v>
      </c>
    </row>
    <row r="8" spans="2:35" ht="15" x14ac:dyDescent="0.3">
      <c r="B8" s="49" t="s">
        <v>156</v>
      </c>
      <c r="C8" s="49" t="s">
        <v>179</v>
      </c>
      <c r="D8" s="49" t="s">
        <v>178</v>
      </c>
      <c r="E8" s="49" t="s">
        <v>177</v>
      </c>
      <c r="F8" s="49" t="s">
        <v>183</v>
      </c>
      <c r="G8" s="313" t="s">
        <v>188</v>
      </c>
      <c r="H8" s="313" t="s">
        <v>189</v>
      </c>
      <c r="I8" s="313" t="s">
        <v>190</v>
      </c>
      <c r="J8" s="313" t="s">
        <v>191</v>
      </c>
      <c r="K8" s="313" t="s">
        <v>192</v>
      </c>
      <c r="L8" s="313" t="s">
        <v>193</v>
      </c>
      <c r="M8" s="313" t="s">
        <v>194</v>
      </c>
      <c r="N8" s="313" t="s">
        <v>195</v>
      </c>
      <c r="O8" s="313" t="s">
        <v>196</v>
      </c>
      <c r="P8" s="313" t="s">
        <v>197</v>
      </c>
      <c r="AG8" s="288" t="s">
        <v>506</v>
      </c>
      <c r="AH8" s="288">
        <v>1000</v>
      </c>
      <c r="AI8" s="289">
        <f t="shared" si="0"/>
        <v>1000000</v>
      </c>
    </row>
    <row r="9" spans="2:35" x14ac:dyDescent="0.3">
      <c r="B9" s="310" t="s">
        <v>159</v>
      </c>
      <c r="C9" s="55" t="s">
        <v>325</v>
      </c>
      <c r="D9" s="71" t="s">
        <v>176</v>
      </c>
      <c r="E9" s="72">
        <f>SQRT(12)</f>
        <v>3.4641016151377544</v>
      </c>
      <c r="F9" s="77">
        <v>1</v>
      </c>
      <c r="G9" s="101">
        <f ca="1">IF(G10=0,0,DivEscalaPatr*'kU(E)'!$F9/'kU(E)'!$E9)</f>
        <v>0</v>
      </c>
      <c r="H9" s="101">
        <f ca="1">IF(H10=0,0,DivEscalaPatr*'kU(E)'!$F9/'kU(E)'!$E9)</f>
        <v>0</v>
      </c>
      <c r="I9" s="101">
        <f ca="1">IF(I10=0,0,DivEscalaPatr*'kU(E)'!$F9/'kU(E)'!$E9)</f>
        <v>0</v>
      </c>
      <c r="J9" s="101">
        <f ca="1">IF(J10=0,0,DivEscalaPatr*'kU(E)'!$F9/'kU(E)'!$E9)</f>
        <v>0</v>
      </c>
      <c r="K9" s="101">
        <f ca="1">IF(K10=0,0,DivEscalaPatr*'kU(E)'!$F9/'kU(E)'!$E9)</f>
        <v>0</v>
      </c>
      <c r="L9" s="101">
        <f ca="1">IF(L10=0,0,DivEscalaPatr*'kU(E)'!$F9/'kU(E)'!$E9)</f>
        <v>0</v>
      </c>
      <c r="M9" s="101">
        <f ca="1">IF(M10=0,0,DivEscalaPatr*'kU(E)'!$F9/'kU(E)'!$E9)</f>
        <v>0</v>
      </c>
      <c r="N9" s="101">
        <f ca="1">IF(N10=0,0,DivEscalaPatr*'kU(E)'!$F9/'kU(E)'!$E9)</f>
        <v>0</v>
      </c>
      <c r="O9" s="101">
        <f ca="1">IF(O10=0,0,DivEscalaPatr*'kU(E)'!$F9/'kU(E)'!$E9)</f>
        <v>0</v>
      </c>
      <c r="P9" s="101">
        <f ca="1">IF(P10=0,0,DivEscalaPatr*'kU(E)'!$F9/'kU(E)'!$E9)</f>
        <v>0</v>
      </c>
      <c r="AG9" s="288" t="s">
        <v>521</v>
      </c>
      <c r="AH9" s="288">
        <v>98.066500000000005</v>
      </c>
      <c r="AI9" s="289">
        <f t="shared" si="0"/>
        <v>98066.5</v>
      </c>
    </row>
    <row r="10" spans="2:35" x14ac:dyDescent="0.3">
      <c r="B10" s="310" t="s">
        <v>175</v>
      </c>
      <c r="C10" s="55" t="s">
        <v>326</v>
      </c>
      <c r="D10" s="71" t="s">
        <v>202</v>
      </c>
      <c r="E10" s="77">
        <v>2</v>
      </c>
      <c r="F10" s="77">
        <v>1</v>
      </c>
      <c r="G10" s="101">
        <f ca="1">IFERROR(INDEX(tblResultCalib[Incertid. patrón],MATCH(_xlfn.NUMBERVALUE(INDIRECT(ADDRESS(8,COLUMN()))),tblResultCalib['#],0))*'kU(E)'!$F10/'kU(E)'!$E10,0)</f>
        <v>0</v>
      </c>
      <c r="H10" s="101">
        <f ca="1">IFERROR(INDEX(tblResultCalib[Incertid. patrón],MATCH(_xlfn.NUMBERVALUE(INDIRECT(ADDRESS(8,COLUMN()))),tblResultCalib['#],0))*'kU(E)'!$F10/'kU(E)'!$E10,0)</f>
        <v>0</v>
      </c>
      <c r="I10" s="101">
        <f ca="1">IFERROR(INDEX(tblResultCalib[Incertid. patrón],MATCH(_xlfn.NUMBERVALUE(INDIRECT(ADDRESS(8,COLUMN()))),tblResultCalib['#],0))*'kU(E)'!$F10/'kU(E)'!$E10,0)</f>
        <v>0</v>
      </c>
      <c r="J10" s="101">
        <f ca="1">IFERROR(INDEX(tblResultCalib[Incertid. patrón],MATCH(_xlfn.NUMBERVALUE(INDIRECT(ADDRESS(8,COLUMN()))),tblResultCalib['#],0))*'kU(E)'!$F10/'kU(E)'!$E10,0)</f>
        <v>0</v>
      </c>
      <c r="K10" s="101">
        <f ca="1">IFERROR(INDEX(tblResultCalib[Incertid. patrón],MATCH(_xlfn.NUMBERVALUE(INDIRECT(ADDRESS(8,COLUMN()))),tblResultCalib['#],0))*'kU(E)'!$F10/'kU(E)'!$E10,0)</f>
        <v>0</v>
      </c>
      <c r="L10" s="101">
        <f ca="1">IFERROR(INDEX(tblResultCalib[Incertid. patrón],MATCH(_xlfn.NUMBERVALUE(INDIRECT(ADDRESS(8,COLUMN()))),tblResultCalib['#],0))*'kU(E)'!$F10/'kU(E)'!$E10,0)</f>
        <v>0</v>
      </c>
      <c r="M10" s="101">
        <f ca="1">IFERROR(INDEX(tblResultCalib[Incertid. patrón],MATCH(_xlfn.NUMBERVALUE(INDIRECT(ADDRESS(8,COLUMN()))),tblResultCalib['#],0))*'kU(E)'!$F10/'kU(E)'!$E10,0)</f>
        <v>0</v>
      </c>
      <c r="N10" s="101">
        <f ca="1">IFERROR(INDEX(tblResultCalib[Incertid. patrón],MATCH(_xlfn.NUMBERVALUE(INDIRECT(ADDRESS(8,COLUMN()))),tblResultCalib['#],0))*'kU(E)'!$F10/'kU(E)'!$E10,0)</f>
        <v>0</v>
      </c>
      <c r="O10" s="101">
        <f ca="1">IFERROR(INDEX(tblResultCalib[Incertid. patrón],MATCH(_xlfn.NUMBERVALUE(INDIRECT(ADDRESS(8,COLUMN()))),tblResultCalib['#],0))*'kU(E)'!$F10/'kU(E)'!$E10,0)</f>
        <v>0</v>
      </c>
      <c r="P10" s="101">
        <f ca="1">IFERROR(INDEX(tblResultCalib[Incertid. patrón],MATCH(_xlfn.NUMBERVALUE(INDIRECT(ADDRESS(8,COLUMN()))),tblResultCalib['#],0))*'kU(E)'!$F10/'kU(E)'!$E10,0)</f>
        <v>0</v>
      </c>
      <c r="AG10" s="288" t="s">
        <v>352</v>
      </c>
      <c r="AH10" s="288">
        <v>3.38639</v>
      </c>
      <c r="AI10" s="289">
        <f t="shared" si="0"/>
        <v>3386.39</v>
      </c>
    </row>
    <row r="11" spans="2:35" x14ac:dyDescent="0.3">
      <c r="B11" s="310" t="s">
        <v>184</v>
      </c>
      <c r="C11" s="55" t="s">
        <v>335</v>
      </c>
      <c r="D11" s="71" t="s">
        <v>185</v>
      </c>
      <c r="E11" s="72">
        <f>SQRT(6)</f>
        <v>2.4494897427831779</v>
      </c>
      <c r="F11" s="77">
        <v>1</v>
      </c>
      <c r="G11" s="101">
        <f ca="1">IFERROR(INDEX(tblResultCalib[Corrección patrón],MATCH(_xlfn.NUMBERVALUE(INDIRECT(ADDRESS(8,COLUMN()))),tblResultCalib['#],0))*'kU(E)'!$F11/'kU(E)'!$E11,0)</f>
        <v>0</v>
      </c>
      <c r="H11" s="101">
        <f ca="1">IFERROR(INDEX(tblResultCalib[Corrección patrón],MATCH(_xlfn.NUMBERVALUE(INDIRECT(ADDRESS(8,COLUMN()))),tblResultCalib['#],0))*'kU(E)'!$F11/'kU(E)'!$E11,0)</f>
        <v>0</v>
      </c>
      <c r="I11" s="101">
        <f ca="1">IFERROR(INDEX(tblResultCalib[Corrección patrón],MATCH(_xlfn.NUMBERVALUE(INDIRECT(ADDRESS(8,COLUMN()))),tblResultCalib['#],0))*'kU(E)'!$F11/'kU(E)'!$E11,0)</f>
        <v>0</v>
      </c>
      <c r="J11" s="101">
        <f ca="1">IFERROR(INDEX(tblResultCalib[Corrección patrón],MATCH(_xlfn.NUMBERVALUE(INDIRECT(ADDRESS(8,COLUMN()))),tblResultCalib['#],0))*'kU(E)'!$F11/'kU(E)'!$E11,0)</f>
        <v>0</v>
      </c>
      <c r="K11" s="101">
        <f ca="1">IFERROR(INDEX(tblResultCalib[Corrección patrón],MATCH(_xlfn.NUMBERVALUE(INDIRECT(ADDRESS(8,COLUMN()))),tblResultCalib['#],0))*'kU(E)'!$F11/'kU(E)'!$E11,0)</f>
        <v>0</v>
      </c>
      <c r="L11" s="101">
        <f ca="1">IFERROR(INDEX(tblResultCalib[Corrección patrón],MATCH(_xlfn.NUMBERVALUE(INDIRECT(ADDRESS(8,COLUMN()))),tblResultCalib['#],0))*'kU(E)'!$F11/'kU(E)'!$E11,0)</f>
        <v>0</v>
      </c>
      <c r="M11" s="101">
        <f ca="1">IFERROR(INDEX(tblResultCalib[Corrección patrón],MATCH(_xlfn.NUMBERVALUE(INDIRECT(ADDRESS(8,COLUMN()))),tblResultCalib['#],0))*'kU(E)'!$F11/'kU(E)'!$E11,0)</f>
        <v>0</v>
      </c>
      <c r="N11" s="101">
        <f ca="1">IFERROR(INDEX(tblResultCalib[Corrección patrón],MATCH(_xlfn.NUMBERVALUE(INDIRECT(ADDRESS(8,COLUMN()))),tblResultCalib['#],0))*'kU(E)'!$F11/'kU(E)'!$E11,0)</f>
        <v>0</v>
      </c>
      <c r="O11" s="101">
        <f ca="1">IFERROR(INDEX(tblResultCalib[Corrección patrón],MATCH(_xlfn.NUMBERVALUE(INDIRECT(ADDRESS(8,COLUMN()))),tblResultCalib['#],0))*'kU(E)'!$F11/'kU(E)'!$E11,0)</f>
        <v>0</v>
      </c>
      <c r="P11" s="101">
        <f ca="1">IFERROR(INDEX(tblResultCalib[Corrección patrón],MATCH(_xlfn.NUMBERVALUE(INDIRECT(ADDRESS(8,COLUMN()))),tblResultCalib['#],0))*'kU(E)'!$F11/'kU(E)'!$E11,0)</f>
        <v>0</v>
      </c>
      <c r="AG11" s="288" t="s">
        <v>353</v>
      </c>
      <c r="AH11" s="288">
        <v>0.133322</v>
      </c>
      <c r="AI11" s="289">
        <f t="shared" si="0"/>
        <v>133.322</v>
      </c>
    </row>
    <row r="12" spans="2:35" x14ac:dyDescent="0.3">
      <c r="B12" s="310" t="s">
        <v>160</v>
      </c>
      <c r="C12" s="55" t="s">
        <v>336</v>
      </c>
      <c r="D12" s="71" t="s">
        <v>176</v>
      </c>
      <c r="E12" s="72">
        <f>SQRT(3)</f>
        <v>1.7320508075688772</v>
      </c>
      <c r="F12" s="77">
        <v>1</v>
      </c>
      <c r="G12" s="101">
        <f ca="1">IFERROR(INDEX(tblResultCalib[Deriva patrón],MATCH(_xlfn.NUMBERVALUE(INDIRECT(ADDRESS(8,COLUMN()))),tblResultCalib['#],0))*'kU(E)'!$F12/'kU(E)'!$E12,0)</f>
        <v>0</v>
      </c>
      <c r="H12" s="101">
        <f ca="1">IFERROR(INDEX(tblResultCalib[Deriva patrón],MATCH(_xlfn.NUMBERVALUE(INDIRECT(ADDRESS(8,COLUMN()))),tblResultCalib['#],0))*'kU(E)'!$F12/'kU(E)'!$E12,0)</f>
        <v>0</v>
      </c>
      <c r="I12" s="101">
        <f ca="1">IFERROR(INDEX(tblResultCalib[Deriva patrón],MATCH(_xlfn.NUMBERVALUE(INDIRECT(ADDRESS(8,COLUMN()))),tblResultCalib['#],0))*'kU(E)'!$F12/'kU(E)'!$E12,0)</f>
        <v>0</v>
      </c>
      <c r="J12" s="101">
        <f ca="1">IFERROR(INDEX(tblResultCalib[Deriva patrón],MATCH(_xlfn.NUMBERVALUE(INDIRECT(ADDRESS(8,COLUMN()))),tblResultCalib['#],0))*'kU(E)'!$F12/'kU(E)'!$E12,0)</f>
        <v>0</v>
      </c>
      <c r="K12" s="101">
        <f ca="1">IFERROR(INDEX(tblResultCalib[Deriva patrón],MATCH(_xlfn.NUMBERVALUE(INDIRECT(ADDRESS(8,COLUMN()))),tblResultCalib['#],0))*'kU(E)'!$F12/'kU(E)'!$E12,0)</f>
        <v>0</v>
      </c>
      <c r="L12" s="101">
        <f ca="1">IFERROR(INDEX(tblResultCalib[Deriva patrón],MATCH(_xlfn.NUMBERVALUE(INDIRECT(ADDRESS(8,COLUMN()))),tblResultCalib['#],0))*'kU(E)'!$F12/'kU(E)'!$E12,0)</f>
        <v>0</v>
      </c>
      <c r="M12" s="101">
        <f ca="1">IFERROR(INDEX(tblResultCalib[Deriva patrón],MATCH(_xlfn.NUMBERVALUE(INDIRECT(ADDRESS(8,COLUMN()))),tblResultCalib['#],0))*'kU(E)'!$F12/'kU(E)'!$E12,0)</f>
        <v>0</v>
      </c>
      <c r="N12" s="101">
        <f ca="1">IFERROR(INDEX(tblResultCalib[Deriva patrón],MATCH(_xlfn.NUMBERVALUE(INDIRECT(ADDRESS(8,COLUMN()))),tblResultCalib['#],0))*'kU(E)'!$F12/'kU(E)'!$E12,0)</f>
        <v>0</v>
      </c>
      <c r="O12" s="101">
        <f ca="1">IFERROR(INDEX(tblResultCalib[Deriva patrón],MATCH(_xlfn.NUMBERVALUE(INDIRECT(ADDRESS(8,COLUMN()))),tblResultCalib['#],0))*'kU(E)'!$F12/'kU(E)'!$E12,0)</f>
        <v>0</v>
      </c>
      <c r="P12" s="101">
        <f ca="1">IFERROR(INDEX(tblResultCalib[Deriva patrón],MATCH(_xlfn.NUMBERVALUE(INDIRECT(ADDRESS(8,COLUMN()))),tblResultCalib['#],0))*'kU(E)'!$F12/'kU(E)'!$E12,0)</f>
        <v>0</v>
      </c>
      <c r="AG12" s="288" t="s">
        <v>354</v>
      </c>
      <c r="AH12" s="288">
        <v>1.3332200000000001</v>
      </c>
      <c r="AI12" s="289">
        <f t="shared" si="0"/>
        <v>1333.22</v>
      </c>
    </row>
    <row r="13" spans="2:35" x14ac:dyDescent="0.3">
      <c r="B13" s="310" t="s">
        <v>363</v>
      </c>
      <c r="C13" s="55" t="s">
        <v>362</v>
      </c>
      <c r="D13" s="71" t="s">
        <v>176</v>
      </c>
      <c r="E13" s="81">
        <f>SQRT(3)</f>
        <v>1.7320508075688772</v>
      </c>
      <c r="F13" s="84">
        <v>1</v>
      </c>
      <c r="G13" s="101">
        <f ca="1">IFERROR(IF(G10=0,0,SQRT(POWER(Calibración!$AA$15*'kU(E)'!$F13/'kU(E)'!$E13,2)+POWER(Calibración!$AB$15*'kU(E)'!$F13/'kU(E)'!$E13,2))),0)</f>
        <v>0</v>
      </c>
      <c r="H13" s="101">
        <f ca="1">IFERROR(IF(H10=0,0,SQRT(POWER(Calibración!$AA$15*'kU(E)'!$F13/'kU(E)'!$E13,2)+POWER(Calibración!$AB$15*'kU(E)'!$F13/'kU(E)'!$E13,2))),0)</f>
        <v>0</v>
      </c>
      <c r="I13" s="101">
        <f ca="1">IFERROR(IF(I10=0,0,SQRT(POWER(Calibración!$AA$15*'kU(E)'!$F13/'kU(E)'!$E13,2)+POWER(Calibración!$AB$15*'kU(E)'!$F13/'kU(E)'!$E13,2))),0)</f>
        <v>0</v>
      </c>
      <c r="J13" s="101">
        <f ca="1">IFERROR(IF(J10=0,0,SQRT(POWER(Calibración!$AA$15*'kU(E)'!$F13/'kU(E)'!$E13,2)+POWER(Calibración!$AB$15*'kU(E)'!$F13/'kU(E)'!$E13,2))),0)</f>
        <v>0</v>
      </c>
      <c r="K13" s="101">
        <f ca="1">IFERROR(IF(K10=0,0,SQRT(POWER(Calibración!$AA$15*'kU(E)'!$F13/'kU(E)'!$E13,2)+POWER(Calibración!$AB$15*'kU(E)'!$F13/'kU(E)'!$E13,2))),0)</f>
        <v>0</v>
      </c>
      <c r="L13" s="101">
        <f ca="1">IFERROR(IF(L10=0,0,SQRT(POWER(Calibración!$AA$15*'kU(E)'!$F13/'kU(E)'!$E13,2)+POWER(Calibración!$AB$15*'kU(E)'!$F13/'kU(E)'!$E13,2))),0)</f>
        <v>0</v>
      </c>
      <c r="M13" s="101">
        <f ca="1">IFERROR(IF(M10=0,0,SQRT(POWER(Calibración!$AA$15*'kU(E)'!$F13/'kU(E)'!$E13,2)+POWER(Calibración!$AB$15*'kU(E)'!$F13/'kU(E)'!$E13,2))),0)</f>
        <v>0</v>
      </c>
      <c r="N13" s="101">
        <f ca="1">IFERROR(IF(N10=0,0,SQRT(POWER(Calibración!$AA$15*'kU(E)'!$F13/'kU(E)'!$E13,2)+POWER(Calibración!$AB$15*'kU(E)'!$F13/'kU(E)'!$E13,2))),0)</f>
        <v>0</v>
      </c>
      <c r="O13" s="101">
        <f ca="1">IFERROR(IF(O10=0,0,SQRT(POWER(Calibración!$AA$15*'kU(E)'!$F13/'kU(E)'!$E13,2)+POWER(Calibración!$AB$15*'kU(E)'!$F13/'kU(E)'!$E13,2))),0)</f>
        <v>0</v>
      </c>
      <c r="P13" s="101">
        <f ca="1">IFERROR(IF(P10=0,0,SQRT(POWER(Calibración!$AA$15*'kU(E)'!$F13/'kU(E)'!$E13,2)+POWER(Calibración!$AB$15*'kU(E)'!$F13/'kU(E)'!$E13,2))),0)</f>
        <v>0</v>
      </c>
      <c r="AG13" s="288" t="s">
        <v>520</v>
      </c>
      <c r="AH13" s="288">
        <v>9.7999999999999997E-3</v>
      </c>
      <c r="AI13" s="289">
        <f t="shared" si="0"/>
        <v>9.7999999999999989</v>
      </c>
    </row>
    <row r="14" spans="2:35" x14ac:dyDescent="0.3">
      <c r="B14" s="311" t="s">
        <v>364</v>
      </c>
      <c r="C14" s="203" t="s">
        <v>365</v>
      </c>
      <c r="D14" s="71" t="s">
        <v>202</v>
      </c>
      <c r="E14" s="205">
        <v>1</v>
      </c>
      <c r="F14" s="204">
        <v>1</v>
      </c>
      <c r="G14" s="101">
        <f ca="1">U6</f>
        <v>0</v>
      </c>
      <c r="H14" s="101">
        <f t="shared" ref="H14:P14" ca="1" si="1">V6</f>
        <v>0</v>
      </c>
      <c r="I14" s="101">
        <f t="shared" ca="1" si="1"/>
        <v>0</v>
      </c>
      <c r="J14" s="101">
        <f t="shared" ca="1" si="1"/>
        <v>0</v>
      </c>
      <c r="K14" s="101">
        <f t="shared" ca="1" si="1"/>
        <v>0</v>
      </c>
      <c r="L14" s="101">
        <f t="shared" ca="1" si="1"/>
        <v>0</v>
      </c>
      <c r="M14" s="101">
        <f t="shared" ca="1" si="1"/>
        <v>0</v>
      </c>
      <c r="N14" s="101">
        <f t="shared" ca="1" si="1"/>
        <v>0</v>
      </c>
      <c r="O14" s="101">
        <f t="shared" ca="1" si="1"/>
        <v>0</v>
      </c>
      <c r="P14" s="101">
        <f t="shared" ca="1" si="1"/>
        <v>0</v>
      </c>
      <c r="AG14" s="288" t="s">
        <v>522</v>
      </c>
      <c r="AH14" s="288">
        <v>9.8000000000000004E-2</v>
      </c>
      <c r="AI14" s="289">
        <f t="shared" si="0"/>
        <v>98</v>
      </c>
    </row>
    <row r="15" spans="2:35" ht="15" x14ac:dyDescent="0.3">
      <c r="B15" s="310" t="s">
        <v>158</v>
      </c>
      <c r="C15" s="55" t="s">
        <v>382</v>
      </c>
      <c r="D15" s="71" t="s">
        <v>176</v>
      </c>
      <c r="E15" s="81">
        <f>2*SQRT(3)</f>
        <v>3.4641016151377544</v>
      </c>
      <c r="F15" s="77">
        <v>1</v>
      </c>
      <c r="G15" s="101">
        <f ca="1">IF(G10=0,0,ResolInst*'kU(E)'!$F15/'kU(E)'!$E15)</f>
        <v>0</v>
      </c>
      <c r="H15" s="101">
        <f ca="1">IF(H10=0,0,ResolInst*'kU(E)'!$F15/'kU(E)'!$E15)</f>
        <v>0</v>
      </c>
      <c r="I15" s="101">
        <f ca="1">IF(I10=0,0,ResolInst*'kU(E)'!$F15/'kU(E)'!$E15)</f>
        <v>0</v>
      </c>
      <c r="J15" s="101">
        <f ca="1">IF(J10=0,0,ResolInst*'kU(E)'!$F15/'kU(E)'!$E15)</f>
        <v>0</v>
      </c>
      <c r="K15" s="101">
        <f ca="1">IF(K10=0,0,ResolInst*'kU(E)'!$F15/'kU(E)'!$E15)</f>
        <v>0</v>
      </c>
      <c r="L15" s="101">
        <f ca="1">IF(L10=0,0,ResolInst*'kU(E)'!$F15/'kU(E)'!$E15)</f>
        <v>0</v>
      </c>
      <c r="M15" s="101">
        <f ca="1">IF(M10=0,0,ResolInst*'kU(E)'!$F15/'kU(E)'!$E15)</f>
        <v>0</v>
      </c>
      <c r="N15" s="101">
        <f ca="1">IF(N10=0,0,ResolInst*'kU(E)'!$F15/'kU(E)'!$E15)</f>
        <v>0</v>
      </c>
      <c r="O15" s="101">
        <f ca="1">IF(O10=0,0,ResolInst*'kU(E)'!$F15/'kU(E)'!$E15)</f>
        <v>0</v>
      </c>
      <c r="P15" s="101">
        <f ca="1">IF(P10=0,0,ResolInst*'kU(E)'!$F15/'kU(E)'!$E15)</f>
        <v>0</v>
      </c>
      <c r="AG15" s="288" t="s">
        <v>523</v>
      </c>
      <c r="AH15" s="288">
        <v>0.249089</v>
      </c>
      <c r="AI15" s="289">
        <f t="shared" si="0"/>
        <v>249.089</v>
      </c>
    </row>
    <row r="16" spans="2:35" ht="15" x14ac:dyDescent="0.3">
      <c r="B16" s="310" t="s">
        <v>157</v>
      </c>
      <c r="C16" s="55" t="s">
        <v>383</v>
      </c>
      <c r="D16" s="71" t="s">
        <v>176</v>
      </c>
      <c r="E16" s="81">
        <f>IF(Calibración!E10="2",SQRT(4),SQRT(6))</f>
        <v>2</v>
      </c>
      <c r="F16" s="84">
        <v>1</v>
      </c>
      <c r="G16" s="101">
        <f ca="1">IFERROR(OFFSET(Calibración!$P$15,G$8-1,0)*'kU(E)'!$F16/'kU(E)'!$E16,0)</f>
        <v>0</v>
      </c>
      <c r="H16" s="101">
        <f ca="1">IFERROR(OFFSET(Calibración!$P$15,H$8-1,0)*'kU(E)'!$F16/'kU(E)'!$E16,0)</f>
        <v>0</v>
      </c>
      <c r="I16" s="101">
        <f ca="1">IFERROR(OFFSET(Calibración!$P$15,I$8-1,0)*'kU(E)'!$F16/'kU(E)'!$E16,0)</f>
        <v>0</v>
      </c>
      <c r="J16" s="101">
        <f ca="1">IFERROR(OFFSET(Calibración!$P$15,J$8-1,0)*'kU(E)'!$F16/'kU(E)'!$E16,0)</f>
        <v>0</v>
      </c>
      <c r="K16" s="101">
        <f ca="1">IFERROR(OFFSET(Calibración!$P$15,K$8-1,0)*'kU(E)'!$F16/'kU(E)'!$E16,0)</f>
        <v>0</v>
      </c>
      <c r="L16" s="101">
        <f ca="1">IFERROR(OFFSET(Calibración!$P$15,L$8-1,0)*'kU(E)'!$F16/'kU(E)'!$E16,0)</f>
        <v>0</v>
      </c>
      <c r="M16" s="101">
        <f ca="1">IFERROR(OFFSET(Calibración!$P$15,M$8-1,0)*'kU(E)'!$F16/'kU(E)'!$E16,0)</f>
        <v>0</v>
      </c>
      <c r="N16" s="101">
        <f ca="1">IFERROR(OFFSET(Calibración!$P$15,N$8-1,0)*'kU(E)'!$F16/'kU(E)'!$E16,0)</f>
        <v>0</v>
      </c>
      <c r="O16" s="101">
        <f ca="1">IFERROR(OFFSET(Calibración!$P$15,O$8-1,0)*'kU(E)'!$F16/'kU(E)'!$E16,0)</f>
        <v>0</v>
      </c>
      <c r="P16" s="101">
        <f ca="1">IFERROR(OFFSET(Calibración!$P$15,P$8-1,0)*'kU(E)'!$F16/'kU(E)'!$E16,0)</f>
        <v>0</v>
      </c>
      <c r="AG16" s="288" t="s">
        <v>351</v>
      </c>
      <c r="AH16" s="288">
        <v>101.325</v>
      </c>
      <c r="AI16" s="289">
        <f t="shared" si="0"/>
        <v>101325</v>
      </c>
    </row>
    <row r="17" spans="2:35" ht="15" x14ac:dyDescent="0.3">
      <c r="B17" s="312" t="s">
        <v>384</v>
      </c>
      <c r="C17" s="55" t="s">
        <v>385</v>
      </c>
      <c r="D17" s="71" t="s">
        <v>176</v>
      </c>
      <c r="E17" s="81">
        <f>SQRT(12)</f>
        <v>3.4641016151377544</v>
      </c>
      <c r="F17" s="84">
        <v>1</v>
      </c>
      <c r="G17" s="101">
        <f ca="1">IFERROR(IF(G10=0,0,OFFSET(Calibración!$O$15,G$8-1,0)*'kU(E)'!$F17/'kU(E)'!$E17),0)</f>
        <v>0</v>
      </c>
      <c r="H17" s="101">
        <f ca="1">IFERROR(IF(H10=0,0,OFFSET(Calibración!$O$15,H$8-1,0)*'kU(E)'!$F17/'kU(E)'!$E17),0)</f>
        <v>0</v>
      </c>
      <c r="I17" s="101">
        <f ca="1">IFERROR(IF(I10=0,0,OFFSET(Calibración!$O$15,I$8-1,0)*'kU(E)'!$F17/'kU(E)'!$E17),0)</f>
        <v>0</v>
      </c>
      <c r="J17" s="101">
        <f ca="1">IFERROR(IF(J10=0,0,OFFSET(Calibración!$O$15,J$8-1,0)*'kU(E)'!$F17/'kU(E)'!$E17),0)</f>
        <v>0</v>
      </c>
      <c r="K17" s="101">
        <f ca="1">IFERROR(IF(K10=0,0,OFFSET(Calibración!$O$15,K$8-1,0)*'kU(E)'!$F17/'kU(E)'!$E17),0)</f>
        <v>0</v>
      </c>
      <c r="L17" s="101">
        <f ca="1">IFERROR(IF(L10=0,0,OFFSET(Calibración!$O$15,L$8-1,0)*'kU(E)'!$F17/'kU(E)'!$E17),0)</f>
        <v>0</v>
      </c>
      <c r="M17" s="101">
        <f ca="1">IFERROR(IF(M10=0,0,OFFSET(Calibración!$O$15,M$8-1,0)*'kU(E)'!$F17/'kU(E)'!$E17),0)</f>
        <v>0</v>
      </c>
      <c r="N17" s="101">
        <f ca="1">IFERROR(IF(N10=0,0,OFFSET(Calibración!$O$15,N$8-1,0)*'kU(E)'!$F17/'kU(E)'!$E17),0)</f>
        <v>0</v>
      </c>
      <c r="O17" s="101">
        <f ca="1">IFERROR(IF(O10=0,0,OFFSET(Calibración!$O$15,O$8-1,0)*'kU(E)'!$F17/'kU(E)'!$E17),0)</f>
        <v>0</v>
      </c>
      <c r="P17" s="101">
        <f ca="1">IFERROR(IF(P10=0,0,OFFSET(Calibración!$O$15,P$8-1,0)*'kU(E)'!$F17/'kU(E)'!$E17),0)</f>
        <v>0</v>
      </c>
      <c r="AG17" s="288" t="s">
        <v>524</v>
      </c>
      <c r="AH17" s="288">
        <v>9.81</v>
      </c>
      <c r="AI17" s="289">
        <f t="shared" si="0"/>
        <v>9810</v>
      </c>
    </row>
    <row r="18" spans="2:35" ht="15" x14ac:dyDescent="0.3">
      <c r="B18" s="311" t="s">
        <v>386</v>
      </c>
      <c r="C18" s="55" t="s">
        <v>387</v>
      </c>
      <c r="D18" s="71" t="s">
        <v>176</v>
      </c>
      <c r="E18" s="81">
        <f>SQRT(12)</f>
        <v>3.4641016151377544</v>
      </c>
      <c r="F18" s="84">
        <v>1</v>
      </c>
      <c r="G18" s="101">
        <f ca="1">IFERROR(IF(G10=0,0,(0.04*ABS(CertTempC-20)*OFFSET(Calibración!$Q$15,G$8-1,0))/SQRT(12)),0)</f>
        <v>0</v>
      </c>
      <c r="H18" s="101">
        <f ca="1">IFERROR(IF(H10=0,0,(0.04*ABS(CertTempC-20)*OFFSET(Calibración!$Q$15,H$8-1,0))/SQRT(12)),0)</f>
        <v>0</v>
      </c>
      <c r="I18" s="101">
        <f ca="1">IFERROR(IF(I10=0,0,(0.04*ABS(CertTempC-20)*OFFSET(Calibración!$Q$15,I$8-1,0))/SQRT(12)),0)</f>
        <v>0</v>
      </c>
      <c r="J18" s="101">
        <f ca="1">IFERROR(IF(J10=0,0,(0.04*ABS(CertTempC-20)*OFFSET(Calibración!$Q$15,J$8-1,0))/SQRT(12)),0)</f>
        <v>0</v>
      </c>
      <c r="K18" s="101">
        <f ca="1">IFERROR(IF(K10=0,0,(0.04*ABS(CertTempC-20)*OFFSET(Calibración!$Q$15,K$8-1,0))/SQRT(12)),0)</f>
        <v>0</v>
      </c>
      <c r="L18" s="101">
        <f ca="1">IFERROR(IF(L10=0,0,(0.04*ABS(CertTempC-20)*OFFSET(Calibración!$Q$15,L$8-1,0))/SQRT(12)),0)</f>
        <v>0</v>
      </c>
      <c r="M18" s="101">
        <f ca="1">IFERROR(IF(M10=0,0,(0.04*ABS(CertTempC-20)*OFFSET(Calibración!$Q$15,M$8-1,0))/SQRT(12)),0)</f>
        <v>0</v>
      </c>
      <c r="N18" s="101">
        <f ca="1">IFERROR(IF(N10=0,0,(0.04*ABS(CertTempC-20)*OFFSET(Calibración!$Q$15,N$8-1,0))/SQRT(12)),0)</f>
        <v>0</v>
      </c>
      <c r="O18" s="101">
        <f ca="1">IFERROR(IF(O10=0,0,(0.04*ABS(CertTempC-20)*OFFSET(Calibración!$Q$15,O$8-1,0))/SQRT(12)),0)</f>
        <v>0</v>
      </c>
      <c r="P18" s="101">
        <f ca="1">IFERROR(IF(P10=0,0,(0.04*ABS(CertTempC-20)*OFFSET(Calibración!$Q$15,P$8-1,0))/SQRT(12)),0)</f>
        <v>0</v>
      </c>
    </row>
    <row r="19" spans="2:35" x14ac:dyDescent="0.3">
      <c r="B19" s="310" t="s">
        <v>198</v>
      </c>
      <c r="C19" s="314" t="s">
        <v>245</v>
      </c>
      <c r="D19" s="315" t="s">
        <v>246</v>
      </c>
      <c r="E19" s="316" t="str">
        <f>CONCATENATE("Todo en [psi]")</f>
        <v>Todo en [psi]</v>
      </c>
      <c r="F19" s="317"/>
      <c r="G19" s="102">
        <f t="shared" ref="G19:P19" ca="1" si="2">SQRT(SUMSQ(G9:G18))</f>
        <v>0</v>
      </c>
      <c r="H19" s="102">
        <f t="shared" ca="1" si="2"/>
        <v>0</v>
      </c>
      <c r="I19" s="102">
        <f t="shared" ca="1" si="2"/>
        <v>0</v>
      </c>
      <c r="J19" s="102">
        <f t="shared" ca="1" si="2"/>
        <v>0</v>
      </c>
      <c r="K19" s="102">
        <f t="shared" ca="1" si="2"/>
        <v>0</v>
      </c>
      <c r="L19" s="102">
        <f t="shared" ca="1" si="2"/>
        <v>0</v>
      </c>
      <c r="M19" s="102">
        <f t="shared" ca="1" si="2"/>
        <v>0</v>
      </c>
      <c r="N19" s="102">
        <f t="shared" ca="1" si="2"/>
        <v>0</v>
      </c>
      <c r="O19" s="102">
        <f t="shared" ca="1" si="2"/>
        <v>0</v>
      </c>
      <c r="P19" s="102">
        <f t="shared" ca="1" si="2"/>
        <v>0</v>
      </c>
    </row>
    <row r="22" spans="2:35" x14ac:dyDescent="0.3">
      <c r="J22" s="210" t="s">
        <v>381</v>
      </c>
    </row>
    <row r="25" spans="2:35" x14ac:dyDescent="0.3">
      <c r="B25" s="51" t="s">
        <v>155</v>
      </c>
      <c r="C25" s="15"/>
      <c r="D25" s="15"/>
      <c r="E25" s="15"/>
      <c r="F25" s="15"/>
      <c r="G25" s="138" t="str">
        <f t="shared" ref="G25:P25" ca="1" si="3">G7</f>
        <v/>
      </c>
      <c r="H25" s="138" t="str">
        <f t="shared" ca="1" si="3"/>
        <v/>
      </c>
      <c r="I25" s="138" t="str">
        <f t="shared" ca="1" si="3"/>
        <v/>
      </c>
      <c r="J25" s="138" t="str">
        <f t="shared" ca="1" si="3"/>
        <v/>
      </c>
      <c r="K25" s="138" t="str">
        <f t="shared" ca="1" si="3"/>
        <v/>
      </c>
      <c r="L25" s="138" t="str">
        <f t="shared" ca="1" si="3"/>
        <v/>
      </c>
      <c r="M25" s="138" t="str">
        <f t="shared" ca="1" si="3"/>
        <v/>
      </c>
      <c r="N25" s="138" t="str">
        <f t="shared" ca="1" si="3"/>
        <v/>
      </c>
      <c r="O25" s="138" t="str">
        <f t="shared" ca="1" si="3"/>
        <v/>
      </c>
      <c r="P25" s="138" t="str">
        <f t="shared" ca="1" si="3"/>
        <v/>
      </c>
    </row>
    <row r="26" spans="2:35" ht="15" x14ac:dyDescent="0.3">
      <c r="B26" s="49" t="s">
        <v>156</v>
      </c>
      <c r="C26" s="49" t="s">
        <v>179</v>
      </c>
      <c r="D26" s="49" t="s">
        <v>178</v>
      </c>
      <c r="E26" s="49" t="s">
        <v>177</v>
      </c>
      <c r="F26" s="49" t="s">
        <v>183</v>
      </c>
      <c r="G26" s="52" t="s">
        <v>145</v>
      </c>
      <c r="H26" s="52" t="s">
        <v>146</v>
      </c>
      <c r="I26" s="52" t="s">
        <v>147</v>
      </c>
      <c r="J26" s="52" t="s">
        <v>148</v>
      </c>
      <c r="K26" s="52" t="s">
        <v>149</v>
      </c>
      <c r="L26" s="52" t="s">
        <v>150</v>
      </c>
      <c r="M26" s="52" t="s">
        <v>151</v>
      </c>
      <c r="N26" s="52" t="s">
        <v>152</v>
      </c>
      <c r="O26" s="52" t="s">
        <v>153</v>
      </c>
      <c r="P26" s="53" t="s">
        <v>154</v>
      </c>
    </row>
    <row r="27" spans="2:35" x14ac:dyDescent="0.3">
      <c r="B27" s="54" t="s">
        <v>159</v>
      </c>
      <c r="C27" s="55" t="s">
        <v>325</v>
      </c>
      <c r="D27" s="71" t="s">
        <v>176</v>
      </c>
      <c r="E27" s="72">
        <f>SQRT(12)</f>
        <v>3.4641016151377544</v>
      </c>
      <c r="F27" s="77">
        <v>1</v>
      </c>
      <c r="G27" s="103">
        <f t="array" aca="1" ref="G27" ca="1">IFERROR(ABS(G9)/SUM(ABS('kU(E)'!$G$9:$G$18)),0)</f>
        <v>0</v>
      </c>
      <c r="H27" s="103">
        <f t="array" aca="1" ref="H27" ca="1">IFERROR(ABS(H9)/SUM(ABS('kU(E)'!$H$9:$H$18)),0)</f>
        <v>0</v>
      </c>
      <c r="I27" s="103">
        <f t="array" aca="1" ref="I27" ca="1">IFERROR(ABS(I9)/SUM(ABS('kU(E)'!$I$9:$I$18)),0)</f>
        <v>0</v>
      </c>
      <c r="J27" s="103">
        <f t="array" aca="1" ref="J27" ca="1">IFERROR(ABS(J9)/SUM(ABS('kU(E)'!$J$9:$J$18)),0)</f>
        <v>0</v>
      </c>
      <c r="K27" s="103">
        <f t="array" aca="1" ref="K27" ca="1">IFERROR(ABS(K9)/SUM(ABS('kU(E)'!$K$9:$K$18)),0)</f>
        <v>0</v>
      </c>
      <c r="L27" s="103">
        <f t="array" aca="1" ref="L27" ca="1">IFERROR(ABS(L9)/SUM(ABS('kU(E)'!$L$9:$L$18)),0)</f>
        <v>0</v>
      </c>
      <c r="M27" s="103">
        <f t="array" aca="1" ref="M27" ca="1">IFERROR(ABS(M9)/SUM(ABS('kU(E)'!$M$9:$M$18)),0)</f>
        <v>0</v>
      </c>
      <c r="N27" s="103">
        <f t="array" aca="1" ref="N27" ca="1">IFERROR(ABS(N9)/SUM(ABS('kU(E)'!$N$9:$N$18)),0)</f>
        <v>0</v>
      </c>
      <c r="O27" s="103">
        <f t="array" aca="1" ref="O27" ca="1">IFERROR(ABS(O9)/SUM(ABS('kU(E)'!$O$9:$O$18)),0)</f>
        <v>0</v>
      </c>
      <c r="P27" s="103">
        <f ca="1">IFERROR(ABS(P9)/SUM(ABS('kU(E)'!$B9:$P18)),0)</f>
        <v>0</v>
      </c>
    </row>
    <row r="28" spans="2:35" x14ac:dyDescent="0.3">
      <c r="B28" s="54" t="s">
        <v>175</v>
      </c>
      <c r="C28" s="55" t="s">
        <v>326</v>
      </c>
      <c r="D28" s="71" t="s">
        <v>202</v>
      </c>
      <c r="E28" s="77">
        <v>2</v>
      </c>
      <c r="F28" s="77">
        <v>1</v>
      </c>
      <c r="G28" s="103">
        <f t="array" aca="1" ref="G28" ca="1">IFERROR(ABS(G10)/SUM(ABS('kU(E)'!$G$9:$G$18)),0)</f>
        <v>0</v>
      </c>
      <c r="H28" s="103">
        <f t="array" aca="1" ref="H28" ca="1">IFERROR(ABS(H10)/SUM(ABS('kU(E)'!$H$9:$H$18)),0)</f>
        <v>0</v>
      </c>
      <c r="I28" s="103">
        <f t="array" aca="1" ref="I28" ca="1">IFERROR(ABS(I10)/SUM(ABS('kU(E)'!$I$9:$I$18)),0)</f>
        <v>0</v>
      </c>
      <c r="J28" s="103">
        <f t="array" aca="1" ref="J28" ca="1">IFERROR(ABS(J10)/SUM(ABS('kU(E)'!$J$9:$J$18)),0)</f>
        <v>0</v>
      </c>
      <c r="K28" s="103">
        <f t="array" aca="1" ref="K28" ca="1">IFERROR(ABS(K10)/SUM(ABS('kU(E)'!$K$9:$K$18)),0)</f>
        <v>0</v>
      </c>
      <c r="L28" s="103">
        <f t="array" aca="1" ref="L28" ca="1">IFERROR(ABS(L10)/SUM(ABS('kU(E)'!$L$9:$L$18)),0)</f>
        <v>0</v>
      </c>
      <c r="M28" s="103">
        <f t="array" aca="1" ref="M28" ca="1">IFERROR(ABS(M10)/SUM(ABS('kU(E)'!$M$9:$M$18)),0)</f>
        <v>0</v>
      </c>
      <c r="N28" s="103">
        <f t="array" aca="1" ref="N28" ca="1">IFERROR(ABS(N10)/SUM(ABS('kU(E)'!$N$9:$N$18)),0)</f>
        <v>0</v>
      </c>
      <c r="O28" s="103">
        <f t="array" aca="1" ref="O28" ca="1">IFERROR(ABS(O10)/SUM(ABS('kU(E)'!$O$9:$O$18)),0)</f>
        <v>0</v>
      </c>
      <c r="P28" s="103">
        <f ca="1">IFERROR(ABS(P10)/SUM(ABS('kU(E)'!$B9:$P18)),0)</f>
        <v>0</v>
      </c>
    </row>
    <row r="29" spans="2:35" x14ac:dyDescent="0.3">
      <c r="B29" s="54" t="s">
        <v>184</v>
      </c>
      <c r="C29" s="55" t="s">
        <v>335</v>
      </c>
      <c r="D29" s="71" t="s">
        <v>185</v>
      </c>
      <c r="E29" s="72">
        <f>SQRT(6)</f>
        <v>2.4494897427831779</v>
      </c>
      <c r="F29" s="77">
        <v>1</v>
      </c>
      <c r="G29" s="103">
        <f t="array" aca="1" ref="G29" ca="1">IFERROR(ABS(G11)/SUM(ABS('kU(E)'!$G$9:$G$18)),0)</f>
        <v>0</v>
      </c>
      <c r="H29" s="103">
        <f t="array" aca="1" ref="H29" ca="1">IFERROR(ABS(H11)/SUM(ABS('kU(E)'!$H$9:$H$18)),0)</f>
        <v>0</v>
      </c>
      <c r="I29" s="103">
        <f t="array" aca="1" ref="I29" ca="1">IFERROR(ABS(I11)/SUM(ABS('kU(E)'!$I$9:$I$18)),0)</f>
        <v>0</v>
      </c>
      <c r="J29" s="103">
        <f t="array" aca="1" ref="J29" ca="1">IFERROR(ABS(J11)/SUM(ABS('kU(E)'!$J$9:$J$18)),0)</f>
        <v>0</v>
      </c>
      <c r="K29" s="103">
        <f t="array" aca="1" ref="K29" ca="1">IFERROR(ABS(K11)/SUM(ABS('kU(E)'!$K$9:$K$18)),0)</f>
        <v>0</v>
      </c>
      <c r="L29" s="103">
        <f t="array" aca="1" ref="L29" ca="1">IFERROR(ABS(L11)/SUM(ABS('kU(E)'!$L$9:$L$18)),0)</f>
        <v>0</v>
      </c>
      <c r="M29" s="103">
        <f t="array" aca="1" ref="M29" ca="1">IFERROR(ABS(M11)/SUM(ABS('kU(E)'!$M$9:$M$18)),0)</f>
        <v>0</v>
      </c>
      <c r="N29" s="103">
        <f t="array" aca="1" ref="N29" ca="1">IFERROR(ABS(N11)/SUM(ABS('kU(E)'!$N$9:$N$18)),0)</f>
        <v>0</v>
      </c>
      <c r="O29" s="103">
        <f t="array" aca="1" ref="O29" ca="1">IFERROR(ABS(O11)/SUM(ABS('kU(E)'!$O$9:$O$18)),0)</f>
        <v>0</v>
      </c>
      <c r="P29" s="103">
        <f ca="1">IFERROR(ABS(P11)/SUM(ABS('kU(E)'!$B9:$P18)),0)</f>
        <v>0</v>
      </c>
    </row>
    <row r="30" spans="2:35" x14ac:dyDescent="0.3">
      <c r="B30" s="54" t="s">
        <v>160</v>
      </c>
      <c r="C30" s="55" t="s">
        <v>336</v>
      </c>
      <c r="D30" s="71" t="s">
        <v>176</v>
      </c>
      <c r="E30" s="72">
        <f>SQRT(3)</f>
        <v>1.7320508075688772</v>
      </c>
      <c r="F30" s="77">
        <v>1</v>
      </c>
      <c r="G30" s="103">
        <f t="array" aca="1" ref="G30" ca="1">IFERROR(ABS(G12)/SUM(ABS('kU(E)'!$G$9:$G$18)),0)</f>
        <v>0</v>
      </c>
      <c r="H30" s="103">
        <f t="array" aca="1" ref="H30" ca="1">IFERROR(ABS(H12)/SUM(ABS('kU(E)'!$H$9:$H$18)),0)</f>
        <v>0</v>
      </c>
      <c r="I30" s="103">
        <f t="array" aca="1" ref="I30" ca="1">IFERROR(ABS(I12)/SUM(ABS('kU(E)'!$I$9:$I$18)),0)</f>
        <v>0</v>
      </c>
      <c r="J30" s="103">
        <f t="array" aca="1" ref="J30" ca="1">IFERROR(ABS(J12)/SUM(ABS('kU(E)'!$J$9:$J$18)),0)</f>
        <v>0</v>
      </c>
      <c r="K30" s="103">
        <f t="array" aca="1" ref="K30" ca="1">IFERROR(ABS(K12)/SUM(ABS('kU(E)'!$K$9:$K$18)),0)</f>
        <v>0</v>
      </c>
      <c r="L30" s="103">
        <f t="array" aca="1" ref="L30" ca="1">IFERROR(ABS(L12)/SUM(ABS('kU(E)'!$L$9:$L$18)),0)</f>
        <v>0</v>
      </c>
      <c r="M30" s="103">
        <f t="array" aca="1" ref="M30" ca="1">IFERROR(ABS(M12)/SUM(ABS('kU(E)'!$M$9:$M$18)),0)</f>
        <v>0</v>
      </c>
      <c r="N30" s="103">
        <f t="array" aca="1" ref="N30" ca="1">IFERROR(ABS(N12)/SUM(ABS('kU(E)'!$N$9:$N$18)),0)</f>
        <v>0</v>
      </c>
      <c r="O30" s="103">
        <f t="array" aca="1" ref="O30" ca="1">IFERROR(ABS(O12)/SUM(ABS('kU(E)'!$O$9:$O$18)),0)</f>
        <v>0</v>
      </c>
      <c r="P30" s="103">
        <f ca="1">IFERROR(ABS(P12)/SUM(ABS('kU(E)'!$B9:$P18)),0)</f>
        <v>0</v>
      </c>
    </row>
    <row r="31" spans="2:35" x14ac:dyDescent="0.3">
      <c r="B31" s="54" t="s">
        <v>363</v>
      </c>
      <c r="C31" s="55" t="s">
        <v>362</v>
      </c>
      <c r="D31" s="71" t="s">
        <v>176</v>
      </c>
      <c r="E31" s="81">
        <f>SQRT(3)</f>
        <v>1.7320508075688772</v>
      </c>
      <c r="F31" s="84">
        <v>1</v>
      </c>
      <c r="G31" s="103">
        <f t="array" aca="1" ref="G31" ca="1">IFERROR(ABS(G13)/SUM(ABS('kU(E)'!$G$9:$G$18)),0)</f>
        <v>0</v>
      </c>
      <c r="H31" s="103">
        <f t="array" aca="1" ref="H31" ca="1">IFERROR(ABS(H13)/SUM(ABS('kU(E)'!$H$9:$H$18)),0)</f>
        <v>0</v>
      </c>
      <c r="I31" s="103">
        <f t="array" aca="1" ref="I31" ca="1">IFERROR(ABS(I13)/SUM(ABS('kU(E)'!$I$9:$I$18)),0)</f>
        <v>0</v>
      </c>
      <c r="J31" s="103">
        <f t="array" aca="1" ref="J31" ca="1">IFERROR(ABS(J13)/SUM(ABS('kU(E)'!$J$9:$J$18)),0)</f>
        <v>0</v>
      </c>
      <c r="K31" s="103">
        <f t="array" aca="1" ref="K31" ca="1">IFERROR(ABS(K13)/SUM(ABS('kU(E)'!$K$9:$K$18)),0)</f>
        <v>0</v>
      </c>
      <c r="L31" s="103">
        <f t="array" aca="1" ref="L31" ca="1">IFERROR(ABS(L13)/SUM(ABS('kU(E)'!$L$9:$L$18)),0)</f>
        <v>0</v>
      </c>
      <c r="M31" s="103">
        <f t="array" aca="1" ref="M31" ca="1">IFERROR(ABS(M13)/SUM(ABS('kU(E)'!$M$9:$M$18)),0)</f>
        <v>0</v>
      </c>
      <c r="N31" s="103">
        <f t="array" aca="1" ref="N31" ca="1">IFERROR(ABS(N13)/SUM(ABS('kU(E)'!$N$9:$N$18)),0)</f>
        <v>0</v>
      </c>
      <c r="O31" s="103">
        <f t="array" aca="1" ref="O31" ca="1">IFERROR(ABS(O13)/SUM(ABS('kU(E)'!$O$9:$O$18)),0)</f>
        <v>0</v>
      </c>
      <c r="P31" s="103">
        <f ca="1">IFERROR(ABS(P13)/SUM(ABS('kU(E)'!$B9:$P18)),0)</f>
        <v>0</v>
      </c>
    </row>
    <row r="32" spans="2:35" x14ac:dyDescent="0.3">
      <c r="B32" s="137" t="s">
        <v>364</v>
      </c>
      <c r="C32" s="203" t="s">
        <v>365</v>
      </c>
      <c r="D32" s="71" t="s">
        <v>202</v>
      </c>
      <c r="E32" s="205">
        <v>1</v>
      </c>
      <c r="F32" s="204">
        <v>1</v>
      </c>
      <c r="G32" s="103">
        <f t="array" aca="1" ref="G32" ca="1">IFERROR(ABS(G14)/SUM(ABS('kU(E)'!$G$9:$G$18)),0)</f>
        <v>0</v>
      </c>
      <c r="H32" s="103">
        <f t="array" aca="1" ref="H32" ca="1">IFERROR(ABS(H14)/SUM(ABS('kU(E)'!$H$9:$H$18)),0)</f>
        <v>0</v>
      </c>
      <c r="I32" s="103">
        <f t="array" aca="1" ref="I32" ca="1">IFERROR(ABS(I14)/SUM(ABS('kU(E)'!$I$9:$I$18)),0)</f>
        <v>0</v>
      </c>
      <c r="J32" s="103">
        <f t="array" aca="1" ref="J32" ca="1">IFERROR(ABS(J14)/SUM(ABS('kU(E)'!$J$9:$J$18)),0)</f>
        <v>0</v>
      </c>
      <c r="K32" s="103">
        <f t="array" aca="1" ref="K32" ca="1">IFERROR(ABS(K14)/SUM(ABS('kU(E)'!$K$9:$K$18)),0)</f>
        <v>0</v>
      </c>
      <c r="L32" s="103">
        <f t="array" aca="1" ref="L32" ca="1">IFERROR(ABS(L14)/SUM(ABS('kU(E)'!$L$9:$L$18)),0)</f>
        <v>0</v>
      </c>
      <c r="M32" s="103">
        <f t="array" aca="1" ref="M32" ca="1">IFERROR(ABS(M14)/SUM(ABS('kU(E)'!$M$9:$M$18)),0)</f>
        <v>0</v>
      </c>
      <c r="N32" s="103">
        <f t="array" aca="1" ref="N32" ca="1">IFERROR(ABS(N14)/SUM(ABS('kU(E)'!$N$9:$N$18)),0)</f>
        <v>0</v>
      </c>
      <c r="O32" s="103">
        <f t="array" aca="1" ref="O32" ca="1">IFERROR(ABS(O14)/SUM(ABS('kU(E)'!$O$9:$O$18)),0)</f>
        <v>0</v>
      </c>
      <c r="P32" s="103">
        <f ca="1">IFERROR(ABS(P14)/SUM(ABS('kU(E)'!$B9:$P18)),0)</f>
        <v>0</v>
      </c>
    </row>
    <row r="33" spans="2:16" ht="15" x14ac:dyDescent="0.3">
      <c r="B33" s="54" t="s">
        <v>158</v>
      </c>
      <c r="C33" s="55" t="s">
        <v>382</v>
      </c>
      <c r="D33" s="71" t="s">
        <v>176</v>
      </c>
      <c r="E33" s="81">
        <f>2*SQRT(3)</f>
        <v>3.4641016151377544</v>
      </c>
      <c r="F33" s="77">
        <v>1</v>
      </c>
      <c r="G33" s="103">
        <f t="array" aca="1" ref="G33" ca="1">IFERROR(ABS(G15)/SUM(ABS('kU(E)'!$G$9:$G$18)),0)</f>
        <v>0</v>
      </c>
      <c r="H33" s="103">
        <f t="array" aca="1" ref="H33" ca="1">IFERROR(ABS(H15)/SUM(ABS('kU(E)'!$H$9:$H$18)),0)</f>
        <v>0</v>
      </c>
      <c r="I33" s="103">
        <f t="array" aca="1" ref="I33" ca="1">IFERROR(ABS(I15)/SUM(ABS('kU(E)'!$I$9:$I$18)),0)</f>
        <v>0</v>
      </c>
      <c r="J33" s="103">
        <f t="array" aca="1" ref="J33" ca="1">IFERROR(ABS(J15)/SUM(ABS('kU(E)'!$J$9:$J$18)),0)</f>
        <v>0</v>
      </c>
      <c r="K33" s="103">
        <f t="array" aca="1" ref="K33" ca="1">IFERROR(ABS(K15)/SUM(ABS('kU(E)'!$K$9:$K$18)),0)</f>
        <v>0</v>
      </c>
      <c r="L33" s="103">
        <f t="array" aca="1" ref="L33" ca="1">IFERROR(ABS(L15)/SUM(ABS('kU(E)'!$L$9:$L$18)),0)</f>
        <v>0</v>
      </c>
      <c r="M33" s="103">
        <f t="array" aca="1" ref="M33" ca="1">IFERROR(ABS(M15)/SUM(ABS('kU(E)'!$M$9:$M$18)),0)</f>
        <v>0</v>
      </c>
      <c r="N33" s="103">
        <f t="array" aca="1" ref="N33" ca="1">IFERROR(ABS(N15)/SUM(ABS('kU(E)'!$N$9:$N$18)),0)</f>
        <v>0</v>
      </c>
      <c r="O33" s="103">
        <f t="array" aca="1" ref="O33" ca="1">IFERROR(ABS(O15)/SUM(ABS('kU(E)'!$O$9:$O$18)),0)</f>
        <v>0</v>
      </c>
      <c r="P33" s="103">
        <f ca="1">IFERROR(ABS(P15)/SUM(ABS('kU(E)'!$B9:$P18)),0)</f>
        <v>0</v>
      </c>
    </row>
    <row r="34" spans="2:16" ht="15" x14ac:dyDescent="0.3">
      <c r="B34" s="54" t="s">
        <v>157</v>
      </c>
      <c r="C34" s="55" t="s">
        <v>383</v>
      </c>
      <c r="D34" s="71" t="s">
        <v>176</v>
      </c>
      <c r="E34" s="81">
        <f>SQRT(12)</f>
        <v>3.4641016151377544</v>
      </c>
      <c r="F34" s="84">
        <v>1</v>
      </c>
      <c r="G34" s="103">
        <f t="array" aca="1" ref="G34" ca="1">IFERROR(ABS(G16)/SUM(ABS('kU(E)'!$G$9:$G$18)),0)</f>
        <v>0</v>
      </c>
      <c r="H34" s="103">
        <f t="array" aca="1" ref="H34" ca="1">IFERROR(ABS(H16)/SUM(ABS('kU(E)'!$H$9:$H$18)),0)</f>
        <v>0</v>
      </c>
      <c r="I34" s="103">
        <f t="array" aca="1" ref="I34" ca="1">IFERROR(ABS(I16)/SUM(ABS('kU(E)'!$I$9:$I$18)),0)</f>
        <v>0</v>
      </c>
      <c r="J34" s="103">
        <f t="array" aca="1" ref="J34" ca="1">IFERROR(ABS(J16)/SUM(ABS('kU(E)'!$J$9:$J$18)),0)</f>
        <v>0</v>
      </c>
      <c r="K34" s="103">
        <f t="array" aca="1" ref="K34" ca="1">IFERROR(ABS(K16)/SUM(ABS('kU(E)'!$K$9:$K$18)),0)</f>
        <v>0</v>
      </c>
      <c r="L34" s="103">
        <f t="array" aca="1" ref="L34" ca="1">IFERROR(ABS(L16)/SUM(ABS('kU(E)'!$L$9:$L$18)),0)</f>
        <v>0</v>
      </c>
      <c r="M34" s="103">
        <f t="array" aca="1" ref="M34" ca="1">IFERROR(ABS(M16)/SUM(ABS('kU(E)'!$M$9:$M$18)),0)</f>
        <v>0</v>
      </c>
      <c r="N34" s="103">
        <f t="array" aca="1" ref="N34" ca="1">IFERROR(ABS(N16)/SUM(ABS('kU(E)'!$N$9:$N$18)),0)</f>
        <v>0</v>
      </c>
      <c r="O34" s="103">
        <f t="array" aca="1" ref="O34" ca="1">IFERROR(ABS(O16)/SUM(ABS('kU(E)'!$O$9:$O$18)),0)</f>
        <v>0</v>
      </c>
      <c r="P34" s="103">
        <f ca="1">IFERROR(ABS(P16)/SUM(ABS('kU(E)'!$B9:$P18)),0)</f>
        <v>0</v>
      </c>
    </row>
    <row r="35" spans="2:16" ht="15" x14ac:dyDescent="0.3">
      <c r="B35" s="211" t="s">
        <v>384</v>
      </c>
      <c r="C35" s="55" t="s">
        <v>385</v>
      </c>
      <c r="D35" s="71" t="s">
        <v>176</v>
      </c>
      <c r="E35" s="81">
        <f>SQRT(12)</f>
        <v>3.4641016151377544</v>
      </c>
      <c r="F35" s="84">
        <v>1</v>
      </c>
      <c r="G35" s="103">
        <f t="array" aca="1" ref="G35" ca="1">IFERROR(ABS(G17)/SUM(ABS('kU(E)'!$G$9:$G$18)),0)</f>
        <v>0</v>
      </c>
      <c r="H35" s="103">
        <f t="array" aca="1" ref="H35" ca="1">IFERROR(ABS(H17)/SUM(ABS('kU(E)'!$H$9:$H$18)),0)</f>
        <v>0</v>
      </c>
      <c r="I35" s="103">
        <f t="array" aca="1" ref="I35" ca="1">IFERROR(ABS(I17)/SUM(ABS('kU(E)'!$I$9:$I$18)),0)</f>
        <v>0</v>
      </c>
      <c r="J35" s="103">
        <f t="array" aca="1" ref="J35" ca="1">IFERROR(ABS(J17)/SUM(ABS('kU(E)'!$J$9:$J$18)),0)</f>
        <v>0</v>
      </c>
      <c r="K35" s="103">
        <f t="array" aca="1" ref="K35" ca="1">IFERROR(ABS(K17)/SUM(ABS('kU(E)'!$K$9:$K$18)),0)</f>
        <v>0</v>
      </c>
      <c r="L35" s="103">
        <f t="array" aca="1" ref="L35" ca="1">IFERROR(ABS(L17)/SUM(ABS('kU(E)'!$L$9:$L$18)),0)</f>
        <v>0</v>
      </c>
      <c r="M35" s="103">
        <f t="array" aca="1" ref="M35" ca="1">IFERROR(ABS(M17)/SUM(ABS('kU(E)'!$M$9:$M$18)),0)</f>
        <v>0</v>
      </c>
      <c r="N35" s="103">
        <f t="array" aca="1" ref="N35" ca="1">IFERROR(ABS(N17)/SUM(ABS('kU(E)'!$N$9:$N$18)),0)</f>
        <v>0</v>
      </c>
      <c r="O35" s="103">
        <f t="array" aca="1" ref="O35" ca="1">IFERROR(ABS(O17)/SUM(ABS('kU(E)'!$O$9:$O$18)),0)</f>
        <v>0</v>
      </c>
      <c r="P35" s="103">
        <f ca="1">IFERROR(ABS(P17)/SUM(ABS('kU(E)'!$B9:$P18)),0)</f>
        <v>0</v>
      </c>
    </row>
    <row r="36" spans="2:16" ht="15" x14ac:dyDescent="0.3">
      <c r="B36" s="137" t="s">
        <v>386</v>
      </c>
      <c r="C36" s="55" t="s">
        <v>387</v>
      </c>
      <c r="D36" s="71" t="s">
        <v>176</v>
      </c>
      <c r="E36" s="81">
        <f>SQRT(3)</f>
        <v>1.7320508075688772</v>
      </c>
      <c r="F36" s="84">
        <v>1</v>
      </c>
      <c r="G36" s="103">
        <f t="array" aca="1" ref="G36" ca="1">IFERROR(ABS(G18)/SUM(ABS('kU(E)'!$G$9:$G$18)),0)</f>
        <v>0</v>
      </c>
      <c r="H36" s="103">
        <f t="array" aca="1" ref="H36" ca="1">IFERROR(ABS(H18)/SUM(ABS('kU(E)'!$H$9:$H$18)),0)</f>
        <v>0</v>
      </c>
      <c r="I36" s="103">
        <f t="array" aca="1" ref="I36" ca="1">IFERROR(ABS(I18)/SUM(ABS('kU(E)'!$I$9:$I$18)),0)</f>
        <v>0</v>
      </c>
      <c r="J36" s="103">
        <f t="array" aca="1" ref="J36" ca="1">IFERROR(ABS(J18)/SUM(ABS('kU(E)'!$J$9:$J$18)),0)</f>
        <v>0</v>
      </c>
      <c r="K36" s="103">
        <f t="array" aca="1" ref="K36" ca="1">IFERROR(ABS(K18)/SUM(ABS('kU(E)'!$K$9:$K$18)),0)</f>
        <v>0</v>
      </c>
      <c r="L36" s="103">
        <f t="array" aca="1" ref="L36" ca="1">IFERROR(ABS(L18)/SUM(ABS('kU(E)'!$L$9:$L$18)),0)</f>
        <v>0</v>
      </c>
      <c r="M36" s="103">
        <f t="array" aca="1" ref="M36" ca="1">IFERROR(ABS(M18)/SUM(ABS('kU(E)'!$M$9:$M$18)),0)</f>
        <v>0</v>
      </c>
      <c r="N36" s="103">
        <f t="array" aca="1" ref="N36" ca="1">IFERROR(ABS(N18)/SUM(ABS('kU(E)'!$N$9:$N$18)),0)</f>
        <v>0</v>
      </c>
      <c r="O36" s="103">
        <f t="array" aca="1" ref="O36" ca="1">IFERROR(ABS(O18)/SUM(ABS('kU(E)'!$O$9:$O$18)),0)</f>
        <v>0</v>
      </c>
      <c r="P36" s="103">
        <f ca="1">IFERROR(ABS(P18)/SUM(ABS('kU(E)'!$B9:$P18)),0)</f>
        <v>0</v>
      </c>
    </row>
    <row r="37" spans="2:16" x14ac:dyDescent="0.3">
      <c r="B37" s="85" t="s">
        <v>187</v>
      </c>
      <c r="C37" s="104"/>
      <c r="D37" s="105"/>
      <c r="E37" s="106"/>
      <c r="F37" s="105"/>
      <c r="G37" s="107">
        <f ca="1">SUBTOTAL(109,tblUcomun10[p1 (%)])</f>
        <v>0</v>
      </c>
      <c r="H37" s="107">
        <f ca="1">SUBTOTAL(109,tblUcomun10[p2 (%)])</f>
        <v>0</v>
      </c>
      <c r="I37" s="107">
        <f ca="1">SUBTOTAL(109,tblUcomun10[p3 (%)])</f>
        <v>0</v>
      </c>
      <c r="J37" s="107">
        <f ca="1">SUBTOTAL(109,tblUcomun10[p4 (%)])</f>
        <v>0</v>
      </c>
      <c r="K37" s="107">
        <f ca="1">SUBTOTAL(109,tblUcomun10[p5 (%)])</f>
        <v>0</v>
      </c>
      <c r="L37" s="107">
        <f ca="1">SUBTOTAL(109,tblUcomun10[p6 (%)])</f>
        <v>0</v>
      </c>
      <c r="M37" s="107">
        <f ca="1">SUBTOTAL(109,tblUcomun10[p7 (%)])</f>
        <v>0</v>
      </c>
      <c r="N37" s="107">
        <f ca="1">SUBTOTAL(109,tblUcomun10[p8 (%)])</f>
        <v>0</v>
      </c>
      <c r="O37" s="107">
        <f ca="1">SUBTOTAL(109,tblUcomun10[p9 (%)])</f>
        <v>0</v>
      </c>
      <c r="P37" s="107">
        <f ca="1">SUBTOTAL(109,tblUcomun10[p10 (%)])</f>
        <v>0</v>
      </c>
    </row>
    <row r="41" spans="2:16" x14ac:dyDescent="0.3">
      <c r="B41" s="15" t="s">
        <v>203</v>
      </c>
    </row>
    <row r="42" spans="2:16" x14ac:dyDescent="0.3">
      <c r="B42" s="83" t="s">
        <v>204</v>
      </c>
      <c r="C42" s="83" t="s">
        <v>208</v>
      </c>
      <c r="D42" s="112"/>
      <c r="E42" s="113" t="s">
        <v>213</v>
      </c>
      <c r="F42" s="113" t="s">
        <v>142</v>
      </c>
    </row>
    <row r="43" spans="2:16" x14ac:dyDescent="0.3">
      <c r="B43" s="87" t="s">
        <v>205</v>
      </c>
      <c r="C43" s="108" t="s">
        <v>209</v>
      </c>
      <c r="D43" s="110"/>
      <c r="E43" s="114" t="s">
        <v>214</v>
      </c>
      <c r="F43" s="65">
        <f>IF(Calibración!E10="2",4,6)</f>
        <v>4</v>
      </c>
    </row>
    <row r="44" spans="2:16" ht="15.6" x14ac:dyDescent="0.35">
      <c r="B44" s="87" t="s">
        <v>206</v>
      </c>
      <c r="C44" s="108" t="s">
        <v>210</v>
      </c>
      <c r="D44" s="110"/>
      <c r="E44" s="114" t="s">
        <v>215</v>
      </c>
      <c r="F44" s="65">
        <f>F43-1</f>
        <v>3</v>
      </c>
    </row>
    <row r="45" spans="2:16" ht="15.6" x14ac:dyDescent="0.35">
      <c r="B45" s="87" t="s">
        <v>207</v>
      </c>
      <c r="C45" s="108" t="s">
        <v>409</v>
      </c>
      <c r="D45" s="108"/>
      <c r="E45" s="114" t="s">
        <v>216</v>
      </c>
      <c r="F45" s="214" t="s">
        <v>389</v>
      </c>
      <c r="G45" s="213">
        <f ca="1">(POWER(G16,4)/$F$44)+(POWER(G17,4)/$F$44)</f>
        <v>0</v>
      </c>
      <c r="H45" s="213">
        <f t="shared" ref="H45:P45" ca="1" si="4">(POWER(H16,4)/$F$44)+(POWER(H17,4)/$F$44)</f>
        <v>0</v>
      </c>
      <c r="I45" s="213">
        <f t="shared" ca="1" si="4"/>
        <v>0</v>
      </c>
      <c r="J45" s="213">
        <f t="shared" ca="1" si="4"/>
        <v>0</v>
      </c>
      <c r="K45" s="213">
        <f t="shared" ca="1" si="4"/>
        <v>0</v>
      </c>
      <c r="L45" s="213">
        <f t="shared" ca="1" si="4"/>
        <v>0</v>
      </c>
      <c r="M45" s="213">
        <f t="shared" ca="1" si="4"/>
        <v>0</v>
      </c>
      <c r="N45" s="213">
        <f t="shared" ca="1" si="4"/>
        <v>0</v>
      </c>
      <c r="O45" s="213">
        <f t="shared" ca="1" si="4"/>
        <v>0</v>
      </c>
      <c r="P45" s="213">
        <f t="shared" ca="1" si="4"/>
        <v>0</v>
      </c>
    </row>
    <row r="46" spans="2:16" ht="16.8" x14ac:dyDescent="0.35">
      <c r="B46" s="87" t="s">
        <v>217</v>
      </c>
      <c r="C46" s="108" t="s">
        <v>211</v>
      </c>
      <c r="D46" s="110"/>
      <c r="E46" s="114"/>
      <c r="F46" s="122">
        <f ca="1">POWER('kU(E)'!$G$19,4)</f>
        <v>0</v>
      </c>
      <c r="G46" s="121" t="s">
        <v>248</v>
      </c>
      <c r="H46" s="121" t="s">
        <v>249</v>
      </c>
      <c r="I46" s="121" t="s">
        <v>250</v>
      </c>
      <c r="J46" s="121" t="s">
        <v>251</v>
      </c>
      <c r="K46" s="121" t="s">
        <v>252</v>
      </c>
      <c r="L46" s="121" t="s">
        <v>253</v>
      </c>
      <c r="M46" s="121" t="s">
        <v>254</v>
      </c>
      <c r="N46" s="121" t="s">
        <v>255</v>
      </c>
      <c r="O46" s="121" t="s">
        <v>256</v>
      </c>
      <c r="P46" s="121" t="s">
        <v>257</v>
      </c>
    </row>
    <row r="47" spans="2:16" ht="16.8" x14ac:dyDescent="0.35">
      <c r="B47" s="87" t="s">
        <v>218</v>
      </c>
      <c r="C47" s="108" t="s">
        <v>211</v>
      </c>
      <c r="D47" s="110"/>
      <c r="E47" s="114"/>
      <c r="F47" s="122">
        <f ca="1">POWER('kU(E)'!$H$19,4)</f>
        <v>0</v>
      </c>
      <c r="G47" s="122">
        <f ca="1">G45</f>
        <v>0</v>
      </c>
      <c r="H47" s="122">
        <f t="shared" ref="H47:P47" ca="1" si="5">H45</f>
        <v>0</v>
      </c>
      <c r="I47" s="122">
        <f t="shared" ca="1" si="5"/>
        <v>0</v>
      </c>
      <c r="J47" s="122">
        <f t="shared" ca="1" si="5"/>
        <v>0</v>
      </c>
      <c r="K47" s="122">
        <f t="shared" ca="1" si="5"/>
        <v>0</v>
      </c>
      <c r="L47" s="122">
        <f t="shared" ca="1" si="5"/>
        <v>0</v>
      </c>
      <c r="M47" s="122">
        <f t="shared" ca="1" si="5"/>
        <v>0</v>
      </c>
      <c r="N47" s="122">
        <f t="shared" ca="1" si="5"/>
        <v>0</v>
      </c>
      <c r="O47" s="122">
        <f t="shared" ca="1" si="5"/>
        <v>0</v>
      </c>
      <c r="P47" s="122">
        <f t="shared" ca="1" si="5"/>
        <v>0</v>
      </c>
    </row>
    <row r="48" spans="2:16" ht="16.8" x14ac:dyDescent="0.35">
      <c r="B48" s="87" t="s">
        <v>219</v>
      </c>
      <c r="C48" s="108" t="s">
        <v>211</v>
      </c>
      <c r="D48" s="110"/>
      <c r="E48" s="114"/>
      <c r="F48" s="122">
        <f ca="1">POWER('kU(E)'!$I$19,4)</f>
        <v>0</v>
      </c>
    </row>
    <row r="49" spans="2:13" ht="16.8" x14ac:dyDescent="0.35">
      <c r="B49" s="87" t="s">
        <v>220</v>
      </c>
      <c r="C49" s="108" t="s">
        <v>211</v>
      </c>
      <c r="D49" s="110"/>
      <c r="E49" s="114"/>
      <c r="F49" s="122">
        <f ca="1">POWER('kU(E)'!$J$19,4)</f>
        <v>0</v>
      </c>
    </row>
    <row r="50" spans="2:13" ht="16.8" x14ac:dyDescent="0.35">
      <c r="B50" s="87" t="s">
        <v>221</v>
      </c>
      <c r="C50" s="108" t="s">
        <v>211</v>
      </c>
      <c r="D50" s="110"/>
      <c r="E50" s="114"/>
      <c r="F50" s="122">
        <f ca="1">POWER('kU(E)'!$K$19,4)</f>
        <v>0</v>
      </c>
    </row>
    <row r="51" spans="2:13" ht="16.8" x14ac:dyDescent="0.35">
      <c r="B51" s="87" t="s">
        <v>222</v>
      </c>
      <c r="C51" s="108" t="s">
        <v>211</v>
      </c>
      <c r="D51" s="110"/>
      <c r="E51" s="114"/>
      <c r="F51" s="122">
        <f ca="1">POWER('kU(E)'!$L$19,4)</f>
        <v>0</v>
      </c>
    </row>
    <row r="52" spans="2:13" ht="16.8" x14ac:dyDescent="0.35">
      <c r="B52" s="87" t="s">
        <v>223</v>
      </c>
      <c r="C52" s="108" t="s">
        <v>211</v>
      </c>
      <c r="D52" s="110"/>
      <c r="E52" s="114"/>
      <c r="F52" s="122">
        <f ca="1">POWER('kU(E)'!$M$19,4)</f>
        <v>0</v>
      </c>
    </row>
    <row r="53" spans="2:13" ht="16.8" x14ac:dyDescent="0.35">
      <c r="B53" s="87" t="s">
        <v>224</v>
      </c>
      <c r="C53" s="108" t="s">
        <v>211</v>
      </c>
      <c r="D53" s="110"/>
      <c r="E53" s="114"/>
      <c r="F53" s="122">
        <f ca="1">POWER('kU(E)'!$N$19,4)</f>
        <v>0</v>
      </c>
    </row>
    <row r="54" spans="2:13" ht="16.8" x14ac:dyDescent="0.35">
      <c r="B54" s="87" t="s">
        <v>225</v>
      </c>
      <c r="C54" s="108" t="s">
        <v>211</v>
      </c>
      <c r="D54" s="110"/>
      <c r="E54" s="114"/>
      <c r="F54" s="122">
        <f ca="1">POWER('kU(E)'!$O$19,4)</f>
        <v>0</v>
      </c>
    </row>
    <row r="55" spans="2:13" ht="16.8" x14ac:dyDescent="0.35">
      <c r="B55" s="87" t="s">
        <v>226</v>
      </c>
      <c r="C55" s="108" t="s">
        <v>211</v>
      </c>
      <c r="D55" s="110"/>
      <c r="E55" s="114"/>
      <c r="F55" s="122">
        <f ca="1">POWER('kU(E)'!$P$19,4)</f>
        <v>0</v>
      </c>
      <c r="G55" s="29" t="s">
        <v>237</v>
      </c>
    </row>
    <row r="56" spans="2:13" ht="15.6" x14ac:dyDescent="0.35">
      <c r="B56" s="109" t="s">
        <v>227</v>
      </c>
      <c r="C56" s="108" t="s">
        <v>212</v>
      </c>
      <c r="D56" s="111"/>
      <c r="E56" s="115"/>
      <c r="F56" s="125" t="str">
        <f ca="1">IFERROR(F46/G47,"")</f>
        <v/>
      </c>
      <c r="G56" s="116">
        <f ca="1">IF(F56&gt;20,2,HLOOKUP(F56,$C$69:$W$70,2))</f>
        <v>2</v>
      </c>
    </row>
    <row r="57" spans="2:13" ht="15.6" x14ac:dyDescent="0.35">
      <c r="B57" s="109" t="s">
        <v>228</v>
      </c>
      <c r="C57" s="108" t="s">
        <v>212</v>
      </c>
      <c r="D57" s="111"/>
      <c r="E57" s="115"/>
      <c r="F57" s="125" t="str">
        <f ca="1">IFERROR(F47/H47,"")</f>
        <v/>
      </c>
      <c r="G57" s="116">
        <f t="shared" ref="G57:G65" ca="1" si="6">IF(F57&gt;20,2,HLOOKUP(F57,$C$69:$W$70,2))</f>
        <v>2</v>
      </c>
    </row>
    <row r="58" spans="2:13" ht="15.6" x14ac:dyDescent="0.35">
      <c r="B58" s="109" t="s">
        <v>229</v>
      </c>
      <c r="C58" s="108" t="s">
        <v>212</v>
      </c>
      <c r="D58" s="111"/>
      <c r="E58" s="115"/>
      <c r="F58" s="125" t="str">
        <f ca="1">IFERROR(F48/I47,"")</f>
        <v/>
      </c>
      <c r="G58" s="116">
        <f t="shared" ca="1" si="6"/>
        <v>2</v>
      </c>
    </row>
    <row r="59" spans="2:13" ht="15.6" x14ac:dyDescent="0.35">
      <c r="B59" s="109" t="s">
        <v>230</v>
      </c>
      <c r="C59" s="108" t="s">
        <v>212</v>
      </c>
      <c r="D59" s="111"/>
      <c r="E59" s="115"/>
      <c r="F59" s="125" t="str">
        <f ca="1">IFERROR(F49/J47,"")</f>
        <v/>
      </c>
      <c r="G59" s="116">
        <f t="shared" ca="1" si="6"/>
        <v>2</v>
      </c>
    </row>
    <row r="60" spans="2:13" ht="15.6" x14ac:dyDescent="0.35">
      <c r="B60" s="109" t="s">
        <v>231</v>
      </c>
      <c r="C60" s="108" t="s">
        <v>212</v>
      </c>
      <c r="D60" s="111"/>
      <c r="E60" s="115"/>
      <c r="F60" s="125" t="str">
        <f ca="1">IFERROR(F50/K47,"")</f>
        <v/>
      </c>
      <c r="G60" s="116">
        <f t="shared" ca="1" si="6"/>
        <v>2</v>
      </c>
    </row>
    <row r="61" spans="2:13" ht="15.6" x14ac:dyDescent="0.35">
      <c r="B61" s="109" t="s">
        <v>232</v>
      </c>
      <c r="C61" s="108" t="s">
        <v>212</v>
      </c>
      <c r="D61" s="111"/>
      <c r="E61" s="115"/>
      <c r="F61" s="125" t="str">
        <f ca="1">IFERROR(F51/L47,"")</f>
        <v/>
      </c>
      <c r="G61" s="116">
        <f t="shared" ca="1" si="6"/>
        <v>2</v>
      </c>
    </row>
    <row r="62" spans="2:13" ht="15.6" x14ac:dyDescent="0.35">
      <c r="B62" s="109" t="s">
        <v>233</v>
      </c>
      <c r="C62" s="108" t="s">
        <v>212</v>
      </c>
      <c r="D62" s="111"/>
      <c r="E62" s="115"/>
      <c r="F62" s="125" t="str">
        <f ca="1">IFERROR(F52/M47,"")</f>
        <v/>
      </c>
      <c r="G62" s="116">
        <f t="shared" ca="1" si="6"/>
        <v>2</v>
      </c>
      <c r="L62" s="28"/>
      <c r="M62" s="28"/>
    </row>
    <row r="63" spans="2:13" ht="15.6" x14ac:dyDescent="0.35">
      <c r="B63" s="109" t="s">
        <v>234</v>
      </c>
      <c r="C63" s="108" t="s">
        <v>212</v>
      </c>
      <c r="D63" s="111"/>
      <c r="E63" s="115"/>
      <c r="F63" s="125" t="str">
        <f ca="1">IFERROR(F53/N47,"")</f>
        <v/>
      </c>
      <c r="G63" s="116">
        <f t="shared" ca="1" si="6"/>
        <v>2</v>
      </c>
      <c r="L63" s="28"/>
      <c r="M63" s="28"/>
    </row>
    <row r="64" spans="2:13" ht="15.6" x14ac:dyDescent="0.35">
      <c r="B64" s="109" t="s">
        <v>235</v>
      </c>
      <c r="C64" s="108" t="s">
        <v>212</v>
      </c>
      <c r="D64" s="111"/>
      <c r="E64" s="115"/>
      <c r="F64" s="125" t="str">
        <f ca="1">IFERROR(F54/O47,"")</f>
        <v/>
      </c>
      <c r="G64" s="116">
        <f t="shared" ca="1" si="6"/>
        <v>2</v>
      </c>
      <c r="L64" s="28"/>
      <c r="M64" s="28"/>
    </row>
    <row r="65" spans="2:24" ht="15.6" x14ac:dyDescent="0.35">
      <c r="B65" s="109" t="s">
        <v>236</v>
      </c>
      <c r="C65" s="108" t="s">
        <v>212</v>
      </c>
      <c r="D65" s="111"/>
      <c r="E65" s="115"/>
      <c r="F65" s="125" t="str">
        <f ca="1">IFERROR(F55/P47,"")</f>
        <v/>
      </c>
      <c r="G65" s="116">
        <f t="shared" ca="1" si="6"/>
        <v>2</v>
      </c>
    </row>
    <row r="68" spans="2:24" x14ac:dyDescent="0.3">
      <c r="C68" s="336" t="s">
        <v>702</v>
      </c>
      <c r="D68" s="337"/>
      <c r="E68" s="337"/>
      <c r="F68" s="337"/>
      <c r="G68" s="337"/>
      <c r="H68" s="337"/>
      <c r="I68" s="337"/>
      <c r="J68" s="337"/>
      <c r="K68" s="337"/>
      <c r="L68" s="337"/>
      <c r="M68" s="337"/>
      <c r="N68" s="337"/>
      <c r="O68" s="337"/>
      <c r="P68" s="337"/>
      <c r="Q68" s="337"/>
      <c r="R68" s="337"/>
      <c r="S68" s="337"/>
      <c r="T68" s="337"/>
      <c r="U68" s="337"/>
      <c r="V68" s="337"/>
      <c r="W68" s="337"/>
      <c r="X68" s="338"/>
    </row>
    <row r="69" spans="2:24" x14ac:dyDescent="0.3">
      <c r="C69" s="286" t="s">
        <v>703</v>
      </c>
      <c r="D69" s="286">
        <v>1</v>
      </c>
      <c r="E69" s="286">
        <v>2</v>
      </c>
      <c r="F69" s="286">
        <v>3</v>
      </c>
      <c r="G69" s="286">
        <v>4</v>
      </c>
      <c r="H69" s="286">
        <v>5</v>
      </c>
      <c r="I69" s="286">
        <v>6</v>
      </c>
      <c r="J69" s="286">
        <v>7</v>
      </c>
      <c r="K69" s="286">
        <v>8</v>
      </c>
      <c r="L69" s="286">
        <v>9</v>
      </c>
      <c r="M69" s="286">
        <v>10</v>
      </c>
      <c r="N69" s="286">
        <v>11</v>
      </c>
      <c r="O69" s="286">
        <v>12</v>
      </c>
      <c r="P69" s="286">
        <v>13</v>
      </c>
      <c r="Q69" s="286">
        <v>14</v>
      </c>
      <c r="R69" s="286">
        <v>15</v>
      </c>
      <c r="S69" s="286">
        <v>16</v>
      </c>
      <c r="T69" s="286">
        <v>17</v>
      </c>
      <c r="U69" s="286">
        <v>18</v>
      </c>
      <c r="V69" s="286">
        <v>19</v>
      </c>
      <c r="W69" s="286">
        <v>20</v>
      </c>
      <c r="X69" s="286" t="s">
        <v>704</v>
      </c>
    </row>
    <row r="70" spans="2:24" x14ac:dyDescent="0.3">
      <c r="C70" s="286" t="s">
        <v>237</v>
      </c>
      <c r="D70" s="286">
        <v>13.97</v>
      </c>
      <c r="E70" s="286">
        <v>4.53</v>
      </c>
      <c r="F70" s="286">
        <v>3.31</v>
      </c>
      <c r="G70" s="286">
        <v>2.87</v>
      </c>
      <c r="H70" s="286">
        <v>2.65</v>
      </c>
      <c r="I70" s="286">
        <v>2.52</v>
      </c>
      <c r="J70" s="286">
        <v>2.4300000000000002</v>
      </c>
      <c r="K70" s="286">
        <v>2.37</v>
      </c>
      <c r="L70" s="286">
        <v>2.3199999999999998</v>
      </c>
      <c r="M70" s="286">
        <v>2.2799999999999998</v>
      </c>
      <c r="N70" s="286">
        <v>2.25</v>
      </c>
      <c r="O70" s="286">
        <v>2.23</v>
      </c>
      <c r="P70" s="286">
        <v>2.21</v>
      </c>
      <c r="Q70" s="286">
        <v>2.2000000000000002</v>
      </c>
      <c r="R70" s="286">
        <v>2.1800000000000002</v>
      </c>
      <c r="S70" s="286">
        <v>2.17</v>
      </c>
      <c r="T70" s="286">
        <v>2.16</v>
      </c>
      <c r="U70" s="286">
        <v>2.15</v>
      </c>
      <c r="V70" s="286">
        <v>2.14</v>
      </c>
      <c r="W70" s="286">
        <v>2.13</v>
      </c>
      <c r="X70" s="286">
        <v>2</v>
      </c>
    </row>
  </sheetData>
  <mergeCells count="4">
    <mergeCell ref="C68:X68"/>
    <mergeCell ref="U2:AC2"/>
    <mergeCell ref="U5:AB5"/>
    <mergeCell ref="AC5:AD5"/>
  </mergeCells>
  <conditionalFormatting sqref="G27:P36 G9:P18">
    <cfRule type="colorScale" priority="8">
      <colorScale>
        <cfvo type="min"/>
        <cfvo type="max"/>
        <color theme="4" tint="0.79998168889431442"/>
        <color theme="4" tint="-0.249977111117893"/>
      </colorScale>
    </cfRule>
  </conditionalFormatting>
  <conditionalFormatting sqref="U3:AD3">
    <cfRule type="colorScale" priority="2">
      <colorScale>
        <cfvo type="min"/>
        <cfvo type="max"/>
        <color theme="4" tint="0.79998168889431442"/>
        <color theme="4" tint="-0.249977111117893"/>
      </colorScale>
    </cfRule>
  </conditionalFormatting>
  <conditionalFormatting sqref="U6:AD6">
    <cfRule type="colorScale" priority="1">
      <colorScale>
        <cfvo type="min"/>
        <cfvo type="max"/>
        <color theme="4" tint="0.79998168889431442"/>
        <color theme="4" tint="-0.249977111117893"/>
      </colorScale>
    </cfRule>
  </conditionalFormatting>
  <dataValidations disablePrompts="1" count="1">
    <dataValidation showInputMessage="1" showErrorMessage="1" sqref="A12" xr:uid="{00000000-0002-0000-0200-000000000000}"/>
  </dataValidations>
  <pageMargins left="0.7" right="0.7" top="0.75" bottom="0.75" header="0.3" footer="0.3"/>
  <pageSetup orientation="portrait" horizontalDpi="1200" verticalDpi="1200" r:id="rId1"/>
  <ignoredErrors>
    <ignoredError sqref="E15" formula="1"/>
  </ignoredErrors>
  <drawing r:id="rId2"/>
  <legacyDrawing r:id="rId3"/>
  <tableParts count="1"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I3"/>
  <sheetViews>
    <sheetView workbookViewId="0">
      <selection activeCell="D19" sqref="D19"/>
    </sheetView>
  </sheetViews>
  <sheetFormatPr baseColWidth="10" defaultColWidth="11.44140625" defaultRowHeight="14.4" x14ac:dyDescent="0.3"/>
  <cols>
    <col min="2" max="2" width="23" customWidth="1"/>
    <col min="3" max="3" width="22.6640625" customWidth="1"/>
    <col min="4" max="4" width="23" customWidth="1"/>
    <col min="5" max="5" width="22.88671875" customWidth="1"/>
  </cols>
  <sheetData>
    <row r="2" spans="2:9" x14ac:dyDescent="0.3">
      <c r="B2" s="243" t="s">
        <v>98</v>
      </c>
      <c r="C2" s="243" t="s">
        <v>455</v>
      </c>
      <c r="D2" s="243" t="s">
        <v>456</v>
      </c>
      <c r="E2" s="243" t="s">
        <v>457</v>
      </c>
      <c r="F2" s="244"/>
      <c r="G2" s="244"/>
      <c r="H2" s="244"/>
      <c r="I2" s="244"/>
    </row>
    <row r="3" spans="2:9" x14ac:dyDescent="0.3">
      <c r="B3" s="245" t="str">
        <f>EquipoTipo</f>
        <v xml:space="preserve">Manómetro </v>
      </c>
      <c r="C3" s="246">
        <f>CertDate</f>
        <v>43299</v>
      </c>
      <c r="D3" s="245" t="str">
        <f>EquipoCode</f>
        <v>706340</v>
      </c>
      <c r="E3" s="245" t="str">
        <f>CertNum</f>
        <v>NI-MC-P-XXX-ZZZZ</v>
      </c>
      <c r="F3" s="247"/>
      <c r="G3" s="244"/>
      <c r="H3" s="244"/>
      <c r="I3" s="24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6:Y116"/>
  <sheetViews>
    <sheetView tabSelected="1" view="pageLayout" topLeftCell="B64" zoomScaleNormal="40" zoomScaleSheetLayoutView="100" workbookViewId="0">
      <selection activeCell="E80" sqref="E80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6" spans="1:24" ht="17.25" customHeight="1" x14ac:dyDescent="0.3"/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74" t="str">
        <f>General!F3</f>
        <v>NI-MC-P-XXX-ZZZZ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73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75">
        <f>General!F5</f>
        <v>43299</v>
      </c>
      <c r="O10" s="375"/>
      <c r="P10" s="375"/>
      <c r="Q10" s="375"/>
      <c r="R10" s="375"/>
      <c r="S10" s="375"/>
      <c r="T10" s="375"/>
      <c r="U10" s="375"/>
      <c r="V10" s="375"/>
      <c r="W10" s="375"/>
      <c r="X10" s="375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75">
        <f ca="1">NOW()</f>
        <v>45489.709634606479</v>
      </c>
      <c r="O11" s="375"/>
      <c r="P11" s="375"/>
      <c r="Q11" s="375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73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73" t="str">
        <f>General!F10</f>
        <v>HEISE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73" t="str">
        <f>General!F12</f>
        <v>706340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73" t="str">
        <f>General!F11</f>
        <v>CC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73" t="str">
        <f>General!F18</f>
        <v>0 psi a 200 psi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73" t="str">
        <f>General!F15</f>
        <v>1</v>
      </c>
      <c r="O17" s="364"/>
      <c r="P17" s="373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73" t="str">
        <f>General!F6</f>
        <v>706340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73" t="str">
        <f>General!L3</f>
        <v xml:space="preserve">A&amp;T Nicaragua S.A. 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64" t="str">
        <f>General!L4</f>
        <v xml:space="preserve">Coyotepe, 800 m norte               </v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76" t="str">
        <f>General!L6</f>
        <v xml:space="preserve">Laboratorio #2 Metrocal </v>
      </c>
      <c r="O21" s="376"/>
      <c r="P21" s="376"/>
      <c r="Q21" s="376"/>
      <c r="R21" s="376"/>
      <c r="S21" s="376"/>
      <c r="T21" s="376"/>
      <c r="U21" s="376"/>
      <c r="V21" s="376"/>
      <c r="W21" s="376"/>
      <c r="X21" s="376"/>
    </row>
    <row r="22" spans="1:24" x14ac:dyDescent="0.3">
      <c r="A22" s="224"/>
      <c r="N22" s="376"/>
      <c r="O22" s="376"/>
      <c r="P22" s="376"/>
      <c r="Q22" s="376"/>
      <c r="R22" s="376"/>
      <c r="S22" s="376"/>
      <c r="T22" s="376"/>
      <c r="U22" s="376"/>
      <c r="V22" s="376"/>
      <c r="W22" s="376"/>
      <c r="X22" s="376"/>
    </row>
    <row r="23" spans="1:24" x14ac:dyDescent="0.3">
      <c r="A23" s="224" t="s">
        <v>424</v>
      </c>
      <c r="C23" s="225"/>
      <c r="D23" s="225"/>
      <c r="E23" s="225"/>
      <c r="F23" s="225"/>
    </row>
    <row r="24" spans="1:24" x14ac:dyDescent="0.3">
      <c r="A24" s="9"/>
      <c r="B24" s="9"/>
      <c r="C24" s="9"/>
      <c r="D24" s="366" t="s">
        <v>95</v>
      </c>
      <c r="E24" s="366"/>
      <c r="F24" s="366"/>
      <c r="G24" s="366"/>
      <c r="H24" s="366"/>
      <c r="I24" s="366"/>
      <c r="J24" s="366"/>
      <c r="K24" s="366"/>
      <c r="L24" s="366"/>
      <c r="M24" s="366"/>
      <c r="N24" s="366"/>
      <c r="O24" s="366"/>
      <c r="P24" s="366"/>
      <c r="Q24" s="366"/>
      <c r="R24" s="366"/>
      <c r="S24" s="366"/>
      <c r="T24" s="366"/>
      <c r="U24" s="366"/>
      <c r="V24" s="366"/>
      <c r="W24" s="366"/>
    </row>
    <row r="25" spans="1:24" ht="15" customHeight="1" x14ac:dyDescent="0.3">
      <c r="A25" s="9"/>
      <c r="B25" s="9"/>
      <c r="C25" s="9"/>
      <c r="D25" s="367" t="s">
        <v>360</v>
      </c>
      <c r="E25" s="367"/>
      <c r="F25" s="368" t="s">
        <v>425</v>
      </c>
      <c r="G25" s="368"/>
      <c r="H25" s="368"/>
      <c r="I25" s="368"/>
      <c r="J25" s="368"/>
      <c r="K25" s="368"/>
      <c r="L25" s="368" t="s">
        <v>96</v>
      </c>
      <c r="M25" s="368"/>
      <c r="N25" s="368"/>
      <c r="O25" s="368"/>
      <c r="P25" s="368"/>
      <c r="Q25" s="368"/>
      <c r="R25" s="367" t="s">
        <v>426</v>
      </c>
      <c r="S25" s="367"/>
      <c r="T25" s="367"/>
      <c r="U25" s="367"/>
      <c r="V25" s="367"/>
      <c r="W25" s="367"/>
    </row>
    <row r="26" spans="1:24" ht="14.25" customHeight="1" x14ac:dyDescent="0.3">
      <c r="A26" s="9"/>
      <c r="B26" s="9"/>
      <c r="C26" s="9"/>
      <c r="D26" s="367"/>
      <c r="E26" s="367"/>
      <c r="F26" s="368"/>
      <c r="G26" s="368"/>
      <c r="H26" s="368"/>
      <c r="I26" s="368"/>
      <c r="J26" s="368"/>
      <c r="K26" s="368"/>
      <c r="L26" s="368"/>
      <c r="M26" s="368"/>
      <c r="N26" s="368"/>
      <c r="O26" s="368"/>
      <c r="P26" s="368"/>
      <c r="Q26" s="368"/>
      <c r="R26" s="367"/>
      <c r="S26" s="367"/>
      <c r="T26" s="367"/>
      <c r="U26" s="367"/>
      <c r="V26" s="367"/>
      <c r="W26" s="367"/>
    </row>
    <row r="27" spans="1:24" x14ac:dyDescent="0.3">
      <c r="A27" s="9"/>
      <c r="B27" s="9"/>
      <c r="C27" s="9"/>
      <c r="D27" s="369" t="str">
        <f>Calibración!C37</f>
        <v>psi</v>
      </c>
      <c r="E27" s="369"/>
      <c r="F27" s="370" t="str">
        <f>Calibración!D37</f>
        <v>psi</v>
      </c>
      <c r="G27" s="371"/>
      <c r="H27" s="371"/>
      <c r="I27" s="371"/>
      <c r="J27" s="371"/>
      <c r="K27" s="372"/>
      <c r="L27" s="370" t="str">
        <f>Calibración!E37</f>
        <v>psi</v>
      </c>
      <c r="M27" s="371"/>
      <c r="N27" s="371"/>
      <c r="O27" s="371"/>
      <c r="P27" s="371"/>
      <c r="Q27" s="372"/>
      <c r="R27" s="370" t="str">
        <f>Calibración!F37</f>
        <v>psi</v>
      </c>
      <c r="S27" s="371"/>
      <c r="T27" s="371"/>
      <c r="U27" s="371"/>
      <c r="V27" s="371"/>
      <c r="W27" s="372"/>
    </row>
    <row r="28" spans="1:24" x14ac:dyDescent="0.3">
      <c r="A28" s="9"/>
      <c r="B28" s="9"/>
      <c r="C28" s="9"/>
      <c r="D28" s="358" t="str">
        <f ca="1">Calibración!C38</f>
        <v/>
      </c>
      <c r="E28" s="358"/>
      <c r="F28" s="359" t="str">
        <f ca="1">Calibración!D38</f>
        <v/>
      </c>
      <c r="G28" s="360"/>
      <c r="H28" s="360"/>
      <c r="I28" s="360"/>
      <c r="J28" s="360"/>
      <c r="K28" s="361"/>
      <c r="L28" s="359" t="str">
        <f ca="1">Calibración!E38</f>
        <v/>
      </c>
      <c r="M28" s="360"/>
      <c r="N28" s="360"/>
      <c r="O28" s="360"/>
      <c r="P28" s="360"/>
      <c r="Q28" s="361"/>
      <c r="R28" s="359" t="str">
        <f ca="1">Calibración!F38</f>
        <v/>
      </c>
      <c r="S28" s="360"/>
      <c r="T28" s="360"/>
      <c r="U28" s="360"/>
      <c r="V28" s="360"/>
      <c r="W28" s="361"/>
    </row>
    <row r="29" spans="1:24" x14ac:dyDescent="0.3">
      <c r="A29" s="9"/>
      <c r="B29" s="9"/>
      <c r="C29" s="9"/>
      <c r="D29" s="358" t="str">
        <f ca="1">Calibración!C39</f>
        <v/>
      </c>
      <c r="E29" s="358"/>
      <c r="F29" s="359" t="str">
        <f ca="1">Calibración!D39</f>
        <v/>
      </c>
      <c r="G29" s="360"/>
      <c r="H29" s="360"/>
      <c r="I29" s="360"/>
      <c r="J29" s="360"/>
      <c r="K29" s="361"/>
      <c r="L29" s="359" t="str">
        <f ca="1">Calibración!E39</f>
        <v/>
      </c>
      <c r="M29" s="360"/>
      <c r="N29" s="360"/>
      <c r="O29" s="360"/>
      <c r="P29" s="360"/>
      <c r="Q29" s="361"/>
      <c r="R29" s="359" t="str">
        <f ca="1">Calibración!F39</f>
        <v/>
      </c>
      <c r="S29" s="360"/>
      <c r="T29" s="360"/>
      <c r="U29" s="360"/>
      <c r="V29" s="360"/>
      <c r="W29" s="361"/>
    </row>
    <row r="30" spans="1:24" x14ac:dyDescent="0.3">
      <c r="A30" s="9"/>
      <c r="B30" s="9"/>
      <c r="C30" s="9"/>
      <c r="D30" s="358" t="str">
        <f ca="1">Calibración!C40</f>
        <v/>
      </c>
      <c r="E30" s="358"/>
      <c r="F30" s="359" t="str">
        <f ca="1">Calibración!D40</f>
        <v/>
      </c>
      <c r="G30" s="360"/>
      <c r="H30" s="360"/>
      <c r="I30" s="360"/>
      <c r="J30" s="360"/>
      <c r="K30" s="361"/>
      <c r="L30" s="359" t="str">
        <f ca="1">Calibración!E40</f>
        <v/>
      </c>
      <c r="M30" s="360"/>
      <c r="N30" s="360"/>
      <c r="O30" s="360"/>
      <c r="P30" s="360"/>
      <c r="Q30" s="361"/>
      <c r="R30" s="359" t="str">
        <f ca="1">Calibración!F40</f>
        <v/>
      </c>
      <c r="S30" s="360"/>
      <c r="T30" s="360"/>
      <c r="U30" s="360"/>
      <c r="V30" s="360"/>
      <c r="W30" s="361"/>
    </row>
    <row r="31" spans="1:24" x14ac:dyDescent="0.3">
      <c r="A31" s="9"/>
      <c r="B31" s="9"/>
      <c r="C31" s="9"/>
      <c r="D31" s="358" t="str">
        <f ca="1">Calibración!C41</f>
        <v/>
      </c>
      <c r="E31" s="358"/>
      <c r="F31" s="359" t="str">
        <f ca="1">Calibración!D41</f>
        <v/>
      </c>
      <c r="G31" s="360"/>
      <c r="H31" s="360"/>
      <c r="I31" s="360"/>
      <c r="J31" s="360"/>
      <c r="K31" s="361"/>
      <c r="L31" s="359" t="str">
        <f ca="1">Calibración!E41</f>
        <v/>
      </c>
      <c r="M31" s="360"/>
      <c r="N31" s="360"/>
      <c r="O31" s="360"/>
      <c r="P31" s="360"/>
      <c r="Q31" s="361"/>
      <c r="R31" s="359" t="str">
        <f ca="1">Calibración!F41</f>
        <v/>
      </c>
      <c r="S31" s="360"/>
      <c r="T31" s="360"/>
      <c r="U31" s="360"/>
      <c r="V31" s="360"/>
      <c r="W31" s="361"/>
    </row>
    <row r="32" spans="1:24" x14ac:dyDescent="0.3">
      <c r="A32" s="9"/>
      <c r="B32" s="9"/>
      <c r="C32" s="9"/>
      <c r="D32" s="358" t="str">
        <f ca="1">Calibración!C42</f>
        <v/>
      </c>
      <c r="E32" s="358"/>
      <c r="F32" s="359" t="str">
        <f ca="1">Calibración!D42</f>
        <v/>
      </c>
      <c r="G32" s="360"/>
      <c r="H32" s="360"/>
      <c r="I32" s="360"/>
      <c r="J32" s="360"/>
      <c r="K32" s="361"/>
      <c r="L32" s="359" t="str">
        <f ca="1">Calibración!E42</f>
        <v/>
      </c>
      <c r="M32" s="360"/>
      <c r="N32" s="360"/>
      <c r="O32" s="360"/>
      <c r="P32" s="360"/>
      <c r="Q32" s="361"/>
      <c r="R32" s="359" t="str">
        <f ca="1">Calibración!F42</f>
        <v/>
      </c>
      <c r="S32" s="360"/>
      <c r="T32" s="360"/>
      <c r="U32" s="360"/>
      <c r="V32" s="360"/>
      <c r="W32" s="361"/>
    </row>
    <row r="33" spans="4:23" x14ac:dyDescent="0.3">
      <c r="D33" s="358" t="str">
        <f ca="1">Calibración!C43</f>
        <v/>
      </c>
      <c r="E33" s="358"/>
      <c r="F33" s="359" t="str">
        <f ca="1">Calibración!D43</f>
        <v/>
      </c>
      <c r="G33" s="360"/>
      <c r="H33" s="360"/>
      <c r="I33" s="360"/>
      <c r="J33" s="360"/>
      <c r="K33" s="361"/>
      <c r="L33" s="359" t="str">
        <f ca="1">Calibración!E43</f>
        <v/>
      </c>
      <c r="M33" s="360"/>
      <c r="N33" s="360"/>
      <c r="O33" s="360"/>
      <c r="P33" s="360"/>
      <c r="Q33" s="361"/>
      <c r="R33" s="359" t="str">
        <f ca="1">Calibración!F43</f>
        <v/>
      </c>
      <c r="S33" s="360"/>
      <c r="T33" s="360"/>
      <c r="U33" s="360"/>
      <c r="V33" s="360"/>
      <c r="W33" s="361"/>
    </row>
    <row r="34" spans="4:23" x14ac:dyDescent="0.3">
      <c r="D34" s="358" t="str">
        <f ca="1">Calibración!C44</f>
        <v/>
      </c>
      <c r="E34" s="358"/>
      <c r="F34" s="359" t="str">
        <f ca="1">Calibración!D44</f>
        <v/>
      </c>
      <c r="G34" s="360"/>
      <c r="H34" s="360"/>
      <c r="I34" s="360"/>
      <c r="J34" s="360"/>
      <c r="K34" s="361"/>
      <c r="L34" s="359" t="str">
        <f ca="1">Calibración!E44</f>
        <v/>
      </c>
      <c r="M34" s="360"/>
      <c r="N34" s="360"/>
      <c r="O34" s="360"/>
      <c r="P34" s="360"/>
      <c r="Q34" s="361"/>
      <c r="R34" s="359" t="str">
        <f ca="1">Calibración!F44</f>
        <v/>
      </c>
      <c r="S34" s="360"/>
      <c r="T34" s="360"/>
      <c r="U34" s="360"/>
      <c r="V34" s="360"/>
      <c r="W34" s="361"/>
    </row>
    <row r="35" spans="4:23" x14ac:dyDescent="0.3">
      <c r="D35" s="358" t="str">
        <f ca="1">Calibración!C45</f>
        <v/>
      </c>
      <c r="E35" s="358"/>
      <c r="F35" s="359" t="str">
        <f ca="1">Calibración!D45</f>
        <v/>
      </c>
      <c r="G35" s="360"/>
      <c r="H35" s="360"/>
      <c r="I35" s="360"/>
      <c r="J35" s="360"/>
      <c r="K35" s="361"/>
      <c r="L35" s="359" t="str">
        <f ca="1">Calibración!E45</f>
        <v/>
      </c>
      <c r="M35" s="360"/>
      <c r="N35" s="360"/>
      <c r="O35" s="360"/>
      <c r="P35" s="360"/>
      <c r="Q35" s="361"/>
      <c r="R35" s="359" t="str">
        <f ca="1">Calibración!F45</f>
        <v/>
      </c>
      <c r="S35" s="360"/>
      <c r="T35" s="360"/>
      <c r="U35" s="360"/>
      <c r="V35" s="360"/>
      <c r="W35" s="361"/>
    </row>
    <row r="36" spans="4:23" x14ac:dyDescent="0.3">
      <c r="D36" s="358" t="str">
        <f ca="1">Calibración!C46</f>
        <v/>
      </c>
      <c r="E36" s="358"/>
      <c r="F36" s="359" t="str">
        <f ca="1">Calibración!D46</f>
        <v/>
      </c>
      <c r="G36" s="360"/>
      <c r="H36" s="360"/>
      <c r="I36" s="360"/>
      <c r="J36" s="360"/>
      <c r="K36" s="361"/>
      <c r="L36" s="359" t="str">
        <f ca="1">Calibración!E46</f>
        <v/>
      </c>
      <c r="M36" s="360"/>
      <c r="N36" s="360"/>
      <c r="O36" s="360"/>
      <c r="P36" s="360"/>
      <c r="Q36" s="361"/>
      <c r="R36" s="359" t="str">
        <f ca="1">Calibración!F46</f>
        <v/>
      </c>
      <c r="S36" s="360"/>
      <c r="T36" s="360"/>
      <c r="U36" s="360"/>
      <c r="V36" s="360"/>
      <c r="W36" s="361"/>
    </row>
    <row r="37" spans="4:23" x14ac:dyDescent="0.3">
      <c r="D37" s="358" t="str">
        <f ca="1">Calibración!C47</f>
        <v/>
      </c>
      <c r="E37" s="358"/>
      <c r="F37" s="359" t="str">
        <f ca="1">Calibración!D47</f>
        <v/>
      </c>
      <c r="G37" s="360"/>
      <c r="H37" s="360"/>
      <c r="I37" s="360"/>
      <c r="J37" s="360"/>
      <c r="K37" s="361"/>
      <c r="L37" s="359" t="str">
        <f ca="1">Calibración!E47</f>
        <v/>
      </c>
      <c r="M37" s="360"/>
      <c r="N37" s="360"/>
      <c r="O37" s="360"/>
      <c r="P37" s="360"/>
      <c r="Q37" s="361"/>
      <c r="R37" s="359" t="str">
        <f ca="1">Calibración!F47</f>
        <v/>
      </c>
      <c r="S37" s="360"/>
      <c r="T37" s="360"/>
      <c r="U37" s="360"/>
      <c r="V37" s="360"/>
      <c r="W37" s="361"/>
    </row>
    <row r="38" spans="4:23" x14ac:dyDescent="0.3">
      <c r="D38" s="309"/>
      <c r="E38" s="309"/>
      <c r="F38" s="309"/>
      <c r="G38" s="309"/>
      <c r="H38" s="309"/>
      <c r="I38" s="309"/>
      <c r="J38" s="309"/>
      <c r="K38" s="309"/>
      <c r="L38" s="309"/>
      <c r="M38" s="309"/>
      <c r="N38" s="309"/>
      <c r="O38" s="309"/>
      <c r="P38" s="309"/>
      <c r="Q38" s="309"/>
      <c r="R38" s="309"/>
      <c r="S38" s="309"/>
      <c r="T38" s="309"/>
      <c r="U38" s="309"/>
      <c r="V38" s="309"/>
      <c r="W38" s="309"/>
    </row>
    <row r="39" spans="4:23" x14ac:dyDescent="0.3">
      <c r="D39" s="309"/>
      <c r="E39" s="309"/>
      <c r="F39" s="309"/>
      <c r="G39" s="309"/>
      <c r="H39" s="309"/>
      <c r="I39" s="309"/>
      <c r="J39" s="309"/>
      <c r="K39" s="309"/>
      <c r="L39" s="309"/>
      <c r="M39" s="309"/>
      <c r="N39" s="309"/>
      <c r="O39" s="309"/>
      <c r="P39" s="309"/>
      <c r="Q39" s="309"/>
      <c r="R39" s="309"/>
      <c r="S39" s="309"/>
      <c r="T39" s="309"/>
      <c r="U39" s="309"/>
      <c r="V39" s="309"/>
      <c r="W39" s="309"/>
    </row>
    <row r="40" spans="4:23" x14ac:dyDescent="0.3">
      <c r="D40" s="309"/>
      <c r="E40" s="309"/>
      <c r="F40" s="309"/>
      <c r="G40" s="309"/>
      <c r="H40" s="309"/>
      <c r="I40" s="309"/>
      <c r="J40" s="309"/>
      <c r="K40" s="309"/>
      <c r="L40" s="309"/>
      <c r="M40" s="309"/>
      <c r="N40" s="309"/>
      <c r="O40" s="309"/>
      <c r="P40" s="309"/>
      <c r="Q40" s="309"/>
      <c r="R40" s="309"/>
      <c r="S40" s="309"/>
      <c r="T40" s="309"/>
      <c r="U40" s="309"/>
      <c r="V40" s="309"/>
      <c r="W40" s="309"/>
    </row>
    <row r="41" spans="4:23" x14ac:dyDescent="0.3">
      <c r="D41" s="309"/>
      <c r="E41" s="309"/>
      <c r="F41" s="309"/>
      <c r="G41" s="309"/>
      <c r="H41" s="309"/>
      <c r="I41" s="309"/>
      <c r="J41" s="309"/>
      <c r="K41" s="309"/>
      <c r="L41" s="309"/>
      <c r="M41" s="309"/>
      <c r="N41" s="309"/>
      <c r="O41" s="309"/>
      <c r="P41" s="309"/>
      <c r="Q41" s="309"/>
      <c r="R41" s="309"/>
      <c r="S41" s="309"/>
      <c r="T41" s="309"/>
      <c r="U41" s="309"/>
      <c r="V41" s="309"/>
      <c r="W41" s="309"/>
    </row>
    <row r="42" spans="4:23" x14ac:dyDescent="0.3">
      <c r="D42" s="309"/>
      <c r="E42" s="309"/>
      <c r="F42" s="309"/>
      <c r="G42" s="309"/>
      <c r="H42" s="309"/>
      <c r="I42" s="309"/>
      <c r="J42" s="309"/>
      <c r="K42" s="309"/>
      <c r="L42" s="309"/>
      <c r="M42" s="309"/>
      <c r="N42" s="309"/>
      <c r="O42" s="309"/>
      <c r="P42" s="309"/>
      <c r="Q42" s="309"/>
      <c r="R42" s="309"/>
      <c r="S42" s="309"/>
      <c r="T42" s="309"/>
      <c r="U42" s="309"/>
      <c r="V42" s="309"/>
      <c r="W42" s="309"/>
    </row>
    <row r="43" spans="4:23" x14ac:dyDescent="0.3">
      <c r="D43" s="309"/>
      <c r="E43" s="309"/>
      <c r="F43" s="309"/>
      <c r="G43" s="309"/>
      <c r="H43" s="309"/>
      <c r="I43" s="309"/>
      <c r="J43" s="309"/>
      <c r="K43" s="309"/>
      <c r="L43" s="309"/>
      <c r="M43" s="309"/>
      <c r="N43" s="309"/>
      <c r="O43" s="309"/>
      <c r="P43" s="309"/>
      <c r="Q43" s="309"/>
      <c r="R43" s="309"/>
      <c r="S43" s="309"/>
      <c r="T43" s="309"/>
      <c r="U43" s="309"/>
      <c r="V43" s="309"/>
      <c r="W43" s="309"/>
    </row>
    <row r="44" spans="4:23" x14ac:dyDescent="0.3">
      <c r="D44" s="309"/>
      <c r="E44" s="309"/>
      <c r="F44" s="309"/>
      <c r="G44" s="309"/>
      <c r="H44" s="309"/>
      <c r="I44" s="309"/>
      <c r="J44" s="309"/>
      <c r="K44" s="309"/>
      <c r="L44" s="309"/>
      <c r="M44" s="309"/>
      <c r="N44" s="309"/>
      <c r="O44" s="309"/>
      <c r="P44" s="309"/>
      <c r="Q44" s="309"/>
      <c r="R44" s="309"/>
      <c r="S44" s="309"/>
      <c r="T44" s="309"/>
      <c r="U44" s="309"/>
      <c r="V44" s="309"/>
      <c r="W44" s="309"/>
    </row>
    <row r="45" spans="4:23" x14ac:dyDescent="0.3">
      <c r="D45" s="309"/>
      <c r="E45" s="309"/>
      <c r="F45" s="309"/>
      <c r="G45" s="309"/>
      <c r="H45" s="309"/>
      <c r="I45" s="309"/>
      <c r="J45" s="309"/>
      <c r="K45" s="309"/>
      <c r="L45" s="309"/>
      <c r="M45" s="309"/>
      <c r="N45" s="309"/>
      <c r="O45" s="309"/>
      <c r="P45" s="309"/>
      <c r="Q45" s="309"/>
      <c r="R45" s="309"/>
      <c r="S45" s="309"/>
      <c r="T45" s="309"/>
      <c r="U45" s="309"/>
      <c r="V45" s="309"/>
      <c r="W45" s="309"/>
    </row>
    <row r="46" spans="4:23" x14ac:dyDescent="0.3">
      <c r="D46" s="309"/>
      <c r="E46" s="309"/>
      <c r="F46" s="309"/>
      <c r="G46" s="309"/>
      <c r="H46" s="309"/>
      <c r="I46" s="309"/>
      <c r="J46" s="309"/>
      <c r="K46" s="309"/>
      <c r="L46" s="309"/>
      <c r="M46" s="309"/>
      <c r="N46" s="309"/>
      <c r="O46" s="309"/>
      <c r="P46" s="309"/>
      <c r="Q46" s="309"/>
      <c r="R46" s="309"/>
      <c r="S46" s="309"/>
      <c r="T46" s="309"/>
      <c r="U46" s="309"/>
      <c r="V46" s="309"/>
      <c r="W46" s="309"/>
    </row>
    <row r="47" spans="4:23" x14ac:dyDescent="0.3">
      <c r="D47" s="309"/>
      <c r="E47" s="309"/>
      <c r="F47" s="309"/>
      <c r="G47" s="309"/>
      <c r="H47" s="309"/>
      <c r="I47" s="309"/>
      <c r="J47" s="309"/>
      <c r="K47" s="309"/>
      <c r="L47" s="309"/>
      <c r="M47" s="309"/>
      <c r="N47" s="309"/>
      <c r="O47" s="309"/>
      <c r="P47" s="309"/>
      <c r="Q47" s="309"/>
      <c r="R47" s="309"/>
      <c r="S47" s="309"/>
      <c r="T47" s="309"/>
      <c r="U47" s="309"/>
      <c r="V47" s="309"/>
      <c r="W47" s="309"/>
    </row>
    <row r="48" spans="4:23" x14ac:dyDescent="0.3">
      <c r="D48" s="309"/>
      <c r="E48" s="309"/>
      <c r="F48" s="309"/>
      <c r="G48" s="309"/>
      <c r="H48" s="309"/>
      <c r="I48" s="309"/>
      <c r="J48" s="309"/>
      <c r="K48" s="309"/>
      <c r="L48" s="309"/>
      <c r="M48" s="309"/>
      <c r="N48" s="309"/>
      <c r="O48" s="309"/>
      <c r="P48" s="309"/>
      <c r="Q48" s="309"/>
      <c r="R48" s="309"/>
      <c r="S48" s="309"/>
      <c r="T48" s="309"/>
      <c r="U48" s="309"/>
      <c r="V48" s="309"/>
      <c r="W48" s="309"/>
    </row>
    <row r="49" spans="1:23" x14ac:dyDescent="0.3">
      <c r="D49" s="309"/>
      <c r="E49" s="309"/>
      <c r="F49" s="309"/>
      <c r="G49" s="309"/>
      <c r="H49" s="309"/>
      <c r="I49" s="309"/>
      <c r="J49" s="309"/>
      <c r="K49" s="309"/>
      <c r="L49" s="309"/>
      <c r="M49" s="309"/>
      <c r="N49" s="309"/>
      <c r="O49" s="309"/>
      <c r="P49" s="309"/>
      <c r="Q49" s="309"/>
      <c r="R49" s="309"/>
      <c r="S49" s="309"/>
      <c r="T49" s="309"/>
      <c r="U49" s="309"/>
      <c r="V49" s="309"/>
      <c r="W49" s="309"/>
    </row>
    <row r="50" spans="1:23" x14ac:dyDescent="0.3">
      <c r="D50" s="309"/>
      <c r="E50" s="309"/>
      <c r="F50" s="309"/>
      <c r="G50" s="309"/>
      <c r="H50" s="309"/>
      <c r="I50" s="309"/>
      <c r="J50" s="309"/>
      <c r="K50" s="309"/>
      <c r="L50" s="309"/>
      <c r="M50" s="309"/>
      <c r="N50" s="309"/>
      <c r="O50" s="309"/>
      <c r="P50" s="309"/>
      <c r="Q50" s="309"/>
      <c r="R50" s="309"/>
      <c r="S50" s="309"/>
      <c r="T50" s="309"/>
      <c r="U50" s="309"/>
      <c r="V50" s="309"/>
      <c r="W50" s="309"/>
    </row>
    <row r="51" spans="1:23" x14ac:dyDescent="0.3">
      <c r="D51" s="309"/>
      <c r="E51" s="309"/>
      <c r="F51" s="309"/>
      <c r="G51" s="309"/>
      <c r="H51" s="309"/>
      <c r="I51" s="309"/>
      <c r="J51" s="309"/>
      <c r="K51" s="309"/>
      <c r="L51" s="309"/>
      <c r="M51" s="309"/>
      <c r="N51" s="309"/>
      <c r="O51" s="309"/>
      <c r="P51" s="309"/>
      <c r="Q51" s="309"/>
      <c r="R51" s="309"/>
      <c r="S51" s="309"/>
      <c r="T51" s="309"/>
      <c r="U51" s="309"/>
      <c r="V51" s="309"/>
      <c r="W51" s="309"/>
    </row>
    <row r="52" spans="1:23" x14ac:dyDescent="0.3">
      <c r="D52" s="309"/>
      <c r="E52" s="309"/>
      <c r="F52" s="309"/>
      <c r="G52" s="309"/>
      <c r="H52" s="309"/>
      <c r="I52" s="309"/>
      <c r="J52" s="309"/>
      <c r="K52" s="309"/>
      <c r="L52" s="309"/>
      <c r="M52" s="309"/>
      <c r="N52" s="309"/>
      <c r="O52" s="309"/>
      <c r="P52" s="309"/>
      <c r="Q52" s="309"/>
      <c r="R52" s="309"/>
      <c r="S52" s="309"/>
      <c r="T52" s="309"/>
      <c r="U52" s="309"/>
      <c r="V52" s="309"/>
      <c r="W52" s="309"/>
    </row>
    <row r="53" spans="1:23" x14ac:dyDescent="0.3">
      <c r="D53" s="309"/>
      <c r="E53" s="309"/>
      <c r="F53" s="309"/>
      <c r="G53" s="309"/>
      <c r="H53" s="309"/>
      <c r="I53" s="309"/>
      <c r="J53" s="309"/>
      <c r="K53" s="309"/>
      <c r="L53" s="309"/>
      <c r="M53" s="309"/>
      <c r="N53" s="309"/>
      <c r="O53" s="309"/>
      <c r="P53" s="309"/>
      <c r="Q53" s="309"/>
      <c r="R53" s="309"/>
      <c r="S53" s="309"/>
      <c r="T53" s="309"/>
      <c r="U53" s="309"/>
      <c r="V53" s="309"/>
      <c r="W53" s="309"/>
    </row>
    <row r="54" spans="1:23" x14ac:dyDescent="0.3">
      <c r="D54" s="309"/>
      <c r="E54" s="309"/>
      <c r="F54" s="309"/>
      <c r="G54" s="309"/>
      <c r="H54" s="309"/>
      <c r="I54" s="309"/>
      <c r="J54" s="309"/>
      <c r="K54" s="309"/>
      <c r="L54" s="309"/>
      <c r="M54" s="309"/>
      <c r="N54" s="309"/>
      <c r="O54" s="309"/>
      <c r="P54" s="309"/>
      <c r="Q54" s="309"/>
      <c r="R54" s="309"/>
      <c r="S54" s="309"/>
      <c r="T54" s="309"/>
      <c r="U54" s="309"/>
      <c r="V54" s="309"/>
      <c r="W54" s="309"/>
    </row>
    <row r="55" spans="1:23" x14ac:dyDescent="0.3">
      <c r="D55" s="309"/>
      <c r="E55" s="309"/>
      <c r="F55" s="309"/>
      <c r="G55" s="309"/>
      <c r="H55" s="309"/>
      <c r="I55" s="309"/>
      <c r="J55" s="309"/>
      <c r="K55" s="309"/>
      <c r="L55" s="309"/>
      <c r="M55" s="309"/>
      <c r="N55" s="309"/>
      <c r="O55" s="309"/>
      <c r="P55" s="309"/>
      <c r="Q55" s="309"/>
      <c r="R55" s="309"/>
      <c r="S55" s="309"/>
      <c r="T55" s="309"/>
      <c r="U55" s="309"/>
      <c r="V55" s="309"/>
      <c r="W55" s="309"/>
    </row>
    <row r="56" spans="1:23" x14ac:dyDescent="0.3">
      <c r="D56" s="309"/>
      <c r="E56" s="309"/>
      <c r="F56" s="309"/>
      <c r="G56" s="309"/>
      <c r="H56" s="309"/>
      <c r="I56" s="309"/>
      <c r="J56" s="309"/>
      <c r="K56" s="309"/>
      <c r="L56" s="309"/>
      <c r="M56" s="309"/>
      <c r="N56" s="309"/>
      <c r="O56" s="309"/>
      <c r="P56" s="309"/>
      <c r="Q56" s="309"/>
      <c r="R56" s="309"/>
      <c r="S56" s="309"/>
      <c r="T56" s="309"/>
      <c r="U56" s="309"/>
      <c r="V56" s="309"/>
      <c r="W56" s="309"/>
    </row>
    <row r="57" spans="1:23" x14ac:dyDescent="0.3">
      <c r="D57" s="309"/>
      <c r="E57" s="309"/>
      <c r="F57" s="309"/>
      <c r="G57" s="309"/>
      <c r="H57" s="309"/>
      <c r="I57" s="309"/>
      <c r="J57" s="309"/>
      <c r="K57" s="309"/>
      <c r="L57" s="309"/>
      <c r="M57" s="309"/>
      <c r="N57" s="309"/>
      <c r="O57" s="309"/>
      <c r="P57" s="309"/>
      <c r="Q57" s="309"/>
      <c r="R57" s="309"/>
      <c r="S57" s="309"/>
      <c r="T57" s="309"/>
      <c r="U57" s="309"/>
      <c r="V57" s="309"/>
      <c r="W57" s="309"/>
    </row>
    <row r="58" spans="1:23" x14ac:dyDescent="0.3">
      <c r="D58" s="309"/>
      <c r="E58" s="309"/>
      <c r="F58" s="309"/>
      <c r="G58" s="309"/>
      <c r="H58" s="309"/>
      <c r="I58" s="309"/>
      <c r="J58" s="309"/>
      <c r="K58" s="309"/>
      <c r="L58" s="309"/>
      <c r="M58" s="309"/>
      <c r="N58" s="309"/>
      <c r="O58" s="309"/>
      <c r="P58" s="309"/>
      <c r="Q58" s="309"/>
      <c r="R58" s="309"/>
      <c r="S58" s="309"/>
      <c r="T58" s="309"/>
      <c r="U58" s="309"/>
      <c r="V58" s="309"/>
      <c r="W58" s="309"/>
    </row>
    <row r="59" spans="1:23" x14ac:dyDescent="0.3">
      <c r="D59" s="230"/>
      <c r="E59" s="230"/>
      <c r="F59" s="231"/>
      <c r="G59" s="231"/>
      <c r="H59" s="231"/>
      <c r="I59" s="231"/>
      <c r="J59" s="231"/>
      <c r="K59" s="231"/>
      <c r="L59" s="230"/>
      <c r="M59" s="230"/>
      <c r="N59" s="230"/>
      <c r="O59" s="230"/>
      <c r="P59" s="230"/>
      <c r="Q59" s="230"/>
      <c r="R59" s="230"/>
      <c r="S59" s="230"/>
      <c r="T59" s="230"/>
      <c r="U59" s="230"/>
      <c r="V59" s="230"/>
      <c r="W59" s="230"/>
    </row>
    <row r="60" spans="1:23" x14ac:dyDescent="0.3">
      <c r="A60" s="224" t="s">
        <v>427</v>
      </c>
      <c r="D60" s="230"/>
      <c r="E60" s="230"/>
      <c r="F60" s="231"/>
      <c r="G60" s="231"/>
      <c r="H60" s="231"/>
      <c r="I60" s="231"/>
      <c r="J60" s="231"/>
      <c r="K60" s="231"/>
      <c r="L60" s="230"/>
      <c r="M60" s="230"/>
      <c r="N60" s="230"/>
      <c r="O60" s="230"/>
      <c r="P60" s="230"/>
      <c r="Q60" s="230"/>
      <c r="R60" s="230"/>
      <c r="S60" s="230"/>
      <c r="T60" s="230"/>
      <c r="U60" s="230"/>
      <c r="V60" s="230"/>
      <c r="W60" s="230"/>
    </row>
    <row r="61" spans="1:23" x14ac:dyDescent="0.3">
      <c r="A61" s="9"/>
      <c r="B61" s="9"/>
      <c r="C61" s="9"/>
      <c r="D61" s="366" t="s">
        <v>95</v>
      </c>
      <c r="E61" s="366"/>
      <c r="F61" s="366"/>
      <c r="G61" s="366"/>
      <c r="H61" s="366"/>
      <c r="I61" s="366"/>
      <c r="J61" s="366"/>
      <c r="K61" s="366"/>
      <c r="L61" s="366"/>
      <c r="M61" s="366"/>
      <c r="N61" s="366"/>
      <c r="O61" s="366"/>
      <c r="P61" s="366"/>
      <c r="Q61" s="366"/>
      <c r="R61" s="366"/>
      <c r="S61" s="366"/>
      <c r="T61" s="366"/>
      <c r="U61" s="366"/>
      <c r="V61" s="366"/>
      <c r="W61" s="366"/>
    </row>
    <row r="62" spans="1:23" ht="15" customHeight="1" x14ac:dyDescent="0.3">
      <c r="A62" s="9"/>
      <c r="B62" s="9"/>
      <c r="C62" s="9"/>
      <c r="D62" s="367" t="s">
        <v>360</v>
      </c>
      <c r="E62" s="367"/>
      <c r="F62" s="368" t="s">
        <v>425</v>
      </c>
      <c r="G62" s="368"/>
      <c r="H62" s="368"/>
      <c r="I62" s="368"/>
      <c r="J62" s="368"/>
      <c r="K62" s="368"/>
      <c r="L62" s="368" t="s">
        <v>96</v>
      </c>
      <c r="M62" s="368"/>
      <c r="N62" s="368"/>
      <c r="O62" s="368"/>
      <c r="P62" s="368"/>
      <c r="Q62" s="368"/>
      <c r="R62" s="367" t="s">
        <v>426</v>
      </c>
      <c r="S62" s="367"/>
      <c r="T62" s="367"/>
      <c r="U62" s="367"/>
      <c r="V62" s="367"/>
      <c r="W62" s="367"/>
    </row>
    <row r="63" spans="1:23" x14ac:dyDescent="0.3">
      <c r="A63" s="9"/>
      <c r="B63" s="9"/>
      <c r="C63" s="9"/>
      <c r="D63" s="367"/>
      <c r="E63" s="367"/>
      <c r="F63" s="368"/>
      <c r="G63" s="368"/>
      <c r="H63" s="368"/>
      <c r="I63" s="368"/>
      <c r="J63" s="368"/>
      <c r="K63" s="368"/>
      <c r="L63" s="368"/>
      <c r="M63" s="368"/>
      <c r="N63" s="368"/>
      <c r="O63" s="368"/>
      <c r="P63" s="368"/>
      <c r="Q63" s="368"/>
      <c r="R63" s="367"/>
      <c r="S63" s="367"/>
      <c r="T63" s="367"/>
      <c r="U63" s="367"/>
      <c r="V63" s="367"/>
      <c r="W63" s="367"/>
    </row>
    <row r="64" spans="1:23" x14ac:dyDescent="0.3">
      <c r="A64" s="9"/>
      <c r="B64" s="9"/>
      <c r="C64" s="9"/>
      <c r="D64" s="369" t="str">
        <f>Calibración!G37</f>
        <v>kPa</v>
      </c>
      <c r="E64" s="369"/>
      <c r="F64" s="370" t="str">
        <f>Calibración!H37</f>
        <v>kPa</v>
      </c>
      <c r="G64" s="371"/>
      <c r="H64" s="371"/>
      <c r="I64" s="371"/>
      <c r="J64" s="371"/>
      <c r="K64" s="372"/>
      <c r="L64" s="369" t="str">
        <f>Calibración!I37</f>
        <v>kPa</v>
      </c>
      <c r="M64" s="369"/>
      <c r="N64" s="369"/>
      <c r="O64" s="369"/>
      <c r="P64" s="369"/>
      <c r="Q64" s="369"/>
      <c r="R64" s="369" t="str">
        <f>Calibración!J37</f>
        <v>kPa</v>
      </c>
      <c r="S64" s="369"/>
      <c r="T64" s="369"/>
      <c r="U64" s="369"/>
      <c r="V64" s="369"/>
      <c r="W64" s="369"/>
    </row>
    <row r="65" spans="1:25" x14ac:dyDescent="0.3">
      <c r="A65" s="9"/>
      <c r="B65" s="9"/>
      <c r="C65" s="9"/>
      <c r="D65" s="358" t="str">
        <f ca="1">Calibración!G38</f>
        <v/>
      </c>
      <c r="E65" s="358"/>
      <c r="F65" s="359" t="str">
        <f ca="1">Calibración!H38</f>
        <v/>
      </c>
      <c r="G65" s="360"/>
      <c r="H65" s="360"/>
      <c r="I65" s="360"/>
      <c r="J65" s="360"/>
      <c r="K65" s="361"/>
      <c r="L65" s="358" t="str">
        <f ca="1">Calibración!I38</f>
        <v/>
      </c>
      <c r="M65" s="358"/>
      <c r="N65" s="358"/>
      <c r="O65" s="358"/>
      <c r="P65" s="358"/>
      <c r="Q65" s="358"/>
      <c r="R65" s="358" t="str">
        <f ca="1">Calibración!J38</f>
        <v/>
      </c>
      <c r="S65" s="358"/>
      <c r="T65" s="358"/>
      <c r="U65" s="358"/>
      <c r="V65" s="358"/>
      <c r="W65" s="358"/>
    </row>
    <row r="66" spans="1:25" x14ac:dyDescent="0.3">
      <c r="A66" s="9"/>
      <c r="B66" s="9"/>
      <c r="C66" s="9"/>
      <c r="D66" s="358" t="str">
        <f ca="1">Calibración!G39</f>
        <v/>
      </c>
      <c r="E66" s="358"/>
      <c r="F66" s="359" t="str">
        <f ca="1">Calibración!H39</f>
        <v/>
      </c>
      <c r="G66" s="360"/>
      <c r="H66" s="360"/>
      <c r="I66" s="360"/>
      <c r="J66" s="360"/>
      <c r="K66" s="361"/>
      <c r="L66" s="358" t="str">
        <f ca="1">Calibración!I39</f>
        <v/>
      </c>
      <c r="M66" s="358"/>
      <c r="N66" s="358"/>
      <c r="O66" s="358"/>
      <c r="P66" s="358"/>
      <c r="Q66" s="358"/>
      <c r="R66" s="358" t="str">
        <f ca="1">Calibración!J39</f>
        <v/>
      </c>
      <c r="S66" s="358"/>
      <c r="T66" s="358"/>
      <c r="U66" s="358"/>
      <c r="V66" s="358"/>
      <c r="W66" s="358"/>
    </row>
    <row r="67" spans="1:25" x14ac:dyDescent="0.3">
      <c r="A67" s="9"/>
      <c r="B67" s="9"/>
      <c r="C67" s="9"/>
      <c r="D67" s="358" t="str">
        <f ca="1">Calibración!G40</f>
        <v/>
      </c>
      <c r="E67" s="358"/>
      <c r="F67" s="359" t="str">
        <f ca="1">Calibración!H40</f>
        <v/>
      </c>
      <c r="G67" s="360"/>
      <c r="H67" s="360"/>
      <c r="I67" s="360"/>
      <c r="J67" s="360"/>
      <c r="K67" s="361"/>
      <c r="L67" s="358" t="str">
        <f ca="1">Calibración!I40</f>
        <v/>
      </c>
      <c r="M67" s="358"/>
      <c r="N67" s="358"/>
      <c r="O67" s="358"/>
      <c r="P67" s="358"/>
      <c r="Q67" s="358"/>
      <c r="R67" s="358" t="str">
        <f ca="1">Calibración!J40</f>
        <v/>
      </c>
      <c r="S67" s="358"/>
      <c r="T67" s="358"/>
      <c r="U67" s="358"/>
      <c r="V67" s="358"/>
      <c r="W67" s="358"/>
    </row>
    <row r="68" spans="1:25" x14ac:dyDescent="0.3">
      <c r="A68" s="9"/>
      <c r="B68" s="9"/>
      <c r="C68" s="9"/>
      <c r="D68" s="358" t="str">
        <f ca="1">Calibración!G41</f>
        <v/>
      </c>
      <c r="E68" s="358"/>
      <c r="F68" s="359" t="str">
        <f ca="1">Calibración!H41</f>
        <v/>
      </c>
      <c r="G68" s="360"/>
      <c r="H68" s="360"/>
      <c r="I68" s="360"/>
      <c r="J68" s="360"/>
      <c r="K68" s="361"/>
      <c r="L68" s="358" t="str">
        <f ca="1">Calibración!I41</f>
        <v/>
      </c>
      <c r="M68" s="358"/>
      <c r="N68" s="358"/>
      <c r="O68" s="358"/>
      <c r="P68" s="358"/>
      <c r="Q68" s="358"/>
      <c r="R68" s="358" t="str">
        <f ca="1">Calibración!J41</f>
        <v/>
      </c>
      <c r="S68" s="358"/>
      <c r="T68" s="358"/>
      <c r="U68" s="358"/>
      <c r="V68" s="358"/>
      <c r="W68" s="358"/>
    </row>
    <row r="69" spans="1:25" x14ac:dyDescent="0.3">
      <c r="A69" s="9"/>
      <c r="B69" s="9"/>
      <c r="C69" s="9"/>
      <c r="D69" s="358" t="str">
        <f ca="1">Calibración!G42</f>
        <v/>
      </c>
      <c r="E69" s="358"/>
      <c r="F69" s="359" t="str">
        <f ca="1">Calibración!H42</f>
        <v/>
      </c>
      <c r="G69" s="360"/>
      <c r="H69" s="360"/>
      <c r="I69" s="360"/>
      <c r="J69" s="360"/>
      <c r="K69" s="361"/>
      <c r="L69" s="358" t="str">
        <f ca="1">Calibración!I42</f>
        <v/>
      </c>
      <c r="M69" s="358"/>
      <c r="N69" s="358"/>
      <c r="O69" s="358"/>
      <c r="P69" s="358"/>
      <c r="Q69" s="358"/>
      <c r="R69" s="358" t="str">
        <f ca="1">Calibración!J42</f>
        <v/>
      </c>
      <c r="S69" s="358"/>
      <c r="T69" s="358"/>
      <c r="U69" s="358"/>
      <c r="V69" s="358"/>
      <c r="W69" s="358"/>
    </row>
    <row r="70" spans="1:25" x14ac:dyDescent="0.3">
      <c r="D70" s="358" t="str">
        <f ca="1">Calibración!G43</f>
        <v/>
      </c>
      <c r="E70" s="358"/>
      <c r="F70" s="359" t="str">
        <f ca="1">Calibración!H43</f>
        <v/>
      </c>
      <c r="G70" s="360"/>
      <c r="H70" s="360"/>
      <c r="I70" s="360"/>
      <c r="J70" s="360"/>
      <c r="K70" s="361"/>
      <c r="L70" s="358" t="str">
        <f ca="1">Calibración!I43</f>
        <v/>
      </c>
      <c r="M70" s="358"/>
      <c r="N70" s="358"/>
      <c r="O70" s="358"/>
      <c r="P70" s="358"/>
      <c r="Q70" s="358"/>
      <c r="R70" s="358" t="str">
        <f ca="1">Calibración!J43</f>
        <v/>
      </c>
      <c r="S70" s="358"/>
      <c r="T70" s="358"/>
      <c r="U70" s="358"/>
      <c r="V70" s="358"/>
      <c r="W70" s="358"/>
    </row>
    <row r="71" spans="1:25" x14ac:dyDescent="0.3">
      <c r="D71" s="358" t="str">
        <f ca="1">Calibración!G44</f>
        <v/>
      </c>
      <c r="E71" s="358"/>
      <c r="F71" s="359" t="str">
        <f ca="1">Calibración!H44</f>
        <v/>
      </c>
      <c r="G71" s="360"/>
      <c r="H71" s="360"/>
      <c r="I71" s="360"/>
      <c r="J71" s="360"/>
      <c r="K71" s="361"/>
      <c r="L71" s="358" t="str">
        <f ca="1">Calibración!I44</f>
        <v/>
      </c>
      <c r="M71" s="358"/>
      <c r="N71" s="358"/>
      <c r="O71" s="358"/>
      <c r="P71" s="358"/>
      <c r="Q71" s="358"/>
      <c r="R71" s="358" t="str">
        <f ca="1">Calibración!J44</f>
        <v/>
      </c>
      <c r="S71" s="358"/>
      <c r="T71" s="358"/>
      <c r="U71" s="358"/>
      <c r="V71" s="358"/>
      <c r="W71" s="358"/>
    </row>
    <row r="72" spans="1:25" x14ac:dyDescent="0.3">
      <c r="D72" s="358" t="str">
        <f ca="1">Calibración!G45</f>
        <v/>
      </c>
      <c r="E72" s="358"/>
      <c r="F72" s="359" t="str">
        <f ca="1">Calibración!H45</f>
        <v/>
      </c>
      <c r="G72" s="360"/>
      <c r="H72" s="360"/>
      <c r="I72" s="360"/>
      <c r="J72" s="360"/>
      <c r="K72" s="361"/>
      <c r="L72" s="358" t="str">
        <f ca="1">Calibración!I45</f>
        <v/>
      </c>
      <c r="M72" s="358"/>
      <c r="N72" s="358"/>
      <c r="O72" s="358"/>
      <c r="P72" s="358"/>
      <c r="Q72" s="358"/>
      <c r="R72" s="358" t="str">
        <f ca="1">Calibración!J45</f>
        <v/>
      </c>
      <c r="S72" s="358"/>
      <c r="T72" s="358"/>
      <c r="U72" s="358"/>
      <c r="V72" s="358"/>
      <c r="W72" s="358"/>
    </row>
    <row r="73" spans="1:25" x14ac:dyDescent="0.3">
      <c r="D73" s="358" t="str">
        <f ca="1">Calibración!G46</f>
        <v/>
      </c>
      <c r="E73" s="358"/>
      <c r="F73" s="359" t="str">
        <f ca="1">Calibración!H46</f>
        <v/>
      </c>
      <c r="G73" s="360"/>
      <c r="H73" s="360"/>
      <c r="I73" s="360"/>
      <c r="J73" s="360"/>
      <c r="K73" s="361"/>
      <c r="L73" s="358" t="str">
        <f ca="1">Calibración!I46</f>
        <v/>
      </c>
      <c r="M73" s="358"/>
      <c r="N73" s="358"/>
      <c r="O73" s="358"/>
      <c r="P73" s="358"/>
      <c r="Q73" s="358"/>
      <c r="R73" s="358" t="str">
        <f ca="1">Calibración!J46</f>
        <v/>
      </c>
      <c r="S73" s="358"/>
      <c r="T73" s="358"/>
      <c r="U73" s="358"/>
      <c r="V73" s="358"/>
      <c r="W73" s="358"/>
    </row>
    <row r="74" spans="1:25" x14ac:dyDescent="0.3">
      <c r="D74" s="358" t="str">
        <f ca="1">Calibración!G47</f>
        <v/>
      </c>
      <c r="E74" s="358"/>
      <c r="F74" s="359" t="str">
        <f ca="1">Calibración!H47</f>
        <v/>
      </c>
      <c r="G74" s="360"/>
      <c r="H74" s="360"/>
      <c r="I74" s="360"/>
      <c r="J74" s="360"/>
      <c r="K74" s="361"/>
      <c r="L74" s="358" t="str">
        <f ca="1">Calibración!I47</f>
        <v/>
      </c>
      <c r="M74" s="358"/>
      <c r="N74" s="358"/>
      <c r="O74" s="358"/>
      <c r="P74" s="358"/>
      <c r="Q74" s="358"/>
      <c r="R74" s="358" t="str">
        <f ca="1">Calibración!J47</f>
        <v/>
      </c>
      <c r="S74" s="358"/>
      <c r="T74" s="358"/>
      <c r="U74" s="358"/>
      <c r="V74" s="358"/>
      <c r="W74" s="358"/>
    </row>
    <row r="75" spans="1:25" x14ac:dyDescent="0.3">
      <c r="O75" s="232"/>
    </row>
    <row r="76" spans="1:25" x14ac:dyDescent="0.3">
      <c r="O76" s="232"/>
    </row>
    <row r="77" spans="1:25" x14ac:dyDescent="0.3">
      <c r="A77" s="224" t="s">
        <v>411</v>
      </c>
      <c r="B77" s="9"/>
      <c r="C77" s="225"/>
      <c r="D77" s="226"/>
      <c r="E77" s="226"/>
      <c r="F77" s="226"/>
      <c r="G77" s="9"/>
      <c r="H77" s="9"/>
      <c r="I77" s="9"/>
      <c r="J77" s="9"/>
      <c r="K77" s="9"/>
      <c r="L77" s="9"/>
      <c r="M77" s="9"/>
      <c r="N77" s="362" t="str">
        <f>N8</f>
        <v>NI-MC-P-XXX-ZZZZ</v>
      </c>
      <c r="O77" s="362"/>
      <c r="P77" s="362"/>
      <c r="Q77" s="362"/>
      <c r="R77" s="362"/>
      <c r="S77" s="362"/>
      <c r="T77" s="362"/>
      <c r="U77" s="362"/>
      <c r="V77" s="362"/>
      <c r="W77" s="362"/>
      <c r="X77" s="362"/>
    </row>
    <row r="78" spans="1:25" x14ac:dyDescent="0.3">
      <c r="O78" s="232"/>
    </row>
    <row r="79" spans="1:25" x14ac:dyDescent="0.3">
      <c r="A79" s="224" t="s">
        <v>428</v>
      </c>
      <c r="B79" s="9"/>
      <c r="C79" s="9"/>
      <c r="D79" s="9"/>
      <c r="E79" s="9"/>
      <c r="F79" s="233" t="s">
        <v>99</v>
      </c>
      <c r="H79" s="9"/>
      <c r="I79" s="9"/>
      <c r="J79" s="233" t="str">
        <f>General!I4</f>
        <v>NI-MCPPT-06</v>
      </c>
      <c r="L79" s="9"/>
      <c r="O79" s="224" t="s">
        <v>429</v>
      </c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x14ac:dyDescent="0.3">
      <c r="A80" s="234"/>
      <c r="B80" s="363" t="s">
        <v>430</v>
      </c>
      <c r="C80" s="363"/>
      <c r="D80" s="363"/>
      <c r="E80" s="235" t="str">
        <f>CertTempC</f>
        <v/>
      </c>
      <c r="F80" s="236" t="s">
        <v>431</v>
      </c>
      <c r="G80" s="237">
        <f>CertTempIncerti</f>
        <v>0.42</v>
      </c>
      <c r="H80" s="234" t="s">
        <v>97</v>
      </c>
      <c r="I80" s="9"/>
      <c r="J80" s="9"/>
      <c r="K80" s="364"/>
      <c r="L80" s="364"/>
      <c r="M80" s="9"/>
      <c r="N80" s="9"/>
      <c r="O80" s="9"/>
      <c r="P80" s="234" t="s">
        <v>469</v>
      </c>
      <c r="Q80" s="9"/>
      <c r="R80" s="9"/>
      <c r="S80" s="9"/>
      <c r="T80" s="365" t="str">
        <f>General!I18</f>
        <v/>
      </c>
      <c r="U80" s="365"/>
      <c r="V80" s="236" t="s">
        <v>432</v>
      </c>
      <c r="W80" s="235">
        <f>CertPresIncert</f>
        <v>2.4700000000000002</v>
      </c>
      <c r="X80" s="9"/>
    </row>
    <row r="81" spans="1:24" x14ac:dyDescent="0.3">
      <c r="A81" s="234"/>
      <c r="B81" s="234" t="s">
        <v>433</v>
      </c>
      <c r="C81" s="234"/>
      <c r="D81" s="234"/>
      <c r="E81" s="235" t="str">
        <f>CertHR</f>
        <v/>
      </c>
      <c r="F81" s="236" t="s">
        <v>434</v>
      </c>
      <c r="G81" s="237">
        <f>CertHRIncerti</f>
        <v>1.3</v>
      </c>
      <c r="H81" s="236" t="s">
        <v>435</v>
      </c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x14ac:dyDescent="0.3">
      <c r="A82" s="234"/>
      <c r="B82" s="234"/>
      <c r="C82" s="234"/>
      <c r="D82" s="234"/>
      <c r="E82" s="235"/>
      <c r="F82" s="236"/>
      <c r="G82" s="237"/>
      <c r="H82" s="236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x14ac:dyDescent="0.3">
      <c r="A83" s="224" t="s">
        <v>436</v>
      </c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</row>
    <row r="84" spans="1:24" ht="15" customHeight="1" x14ac:dyDescent="0.3">
      <c r="A84" s="351" t="s">
        <v>715</v>
      </c>
      <c r="B84" s="351"/>
      <c r="C84" s="351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1"/>
      <c r="T84" s="351"/>
      <c r="U84" s="351"/>
      <c r="V84" s="351"/>
      <c r="W84" s="351"/>
      <c r="X84" s="351"/>
    </row>
    <row r="85" spans="1:24" x14ac:dyDescent="0.3">
      <c r="B85" s="14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</row>
    <row r="86" spans="1:24" ht="15" customHeight="1" x14ac:dyDescent="0.3">
      <c r="A86" s="224" t="s">
        <v>437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</row>
    <row r="87" spans="1:24" x14ac:dyDescent="0.3">
      <c r="A87" s="351" t="s">
        <v>438</v>
      </c>
      <c r="B87" s="351"/>
      <c r="C87" s="351"/>
      <c r="D87" s="351"/>
      <c r="E87" s="351"/>
      <c r="F87" s="351"/>
      <c r="G87" s="351"/>
      <c r="H87" s="351"/>
      <c r="I87" s="351"/>
      <c r="J87" s="351"/>
      <c r="K87" s="351"/>
      <c r="L87" s="351"/>
      <c r="M87" s="351"/>
      <c r="N87" s="351"/>
      <c r="O87" s="351"/>
      <c r="P87" s="351"/>
      <c r="Q87" s="351"/>
      <c r="R87" s="351"/>
      <c r="S87" s="351"/>
      <c r="T87" s="351"/>
      <c r="U87" s="351"/>
      <c r="V87" s="351"/>
      <c r="W87" s="351"/>
      <c r="X87" s="351"/>
    </row>
    <row r="88" spans="1:24" ht="15" customHeight="1" x14ac:dyDescent="0.3">
      <c r="A88" s="351"/>
      <c r="B88" s="351"/>
      <c r="C88" s="351"/>
      <c r="D88" s="351"/>
      <c r="E88" s="351"/>
      <c r="F88" s="351"/>
      <c r="G88" s="351"/>
      <c r="H88" s="351"/>
      <c r="I88" s="351"/>
      <c r="J88" s="351"/>
      <c r="K88" s="351"/>
      <c r="L88" s="351"/>
      <c r="M88" s="351"/>
      <c r="N88" s="351"/>
      <c r="O88" s="351"/>
      <c r="P88" s="351"/>
      <c r="Q88" s="351"/>
      <c r="R88" s="351"/>
      <c r="S88" s="351"/>
      <c r="T88" s="351"/>
      <c r="U88" s="351"/>
      <c r="V88" s="351"/>
      <c r="W88" s="351"/>
      <c r="X88" s="351"/>
    </row>
    <row r="89" spans="1:24" ht="15" customHeight="1" x14ac:dyDescent="0.3">
      <c r="A89" s="351"/>
      <c r="B89" s="351"/>
      <c r="C89" s="351"/>
      <c r="D89" s="351"/>
      <c r="E89" s="351"/>
      <c r="F89" s="351"/>
      <c r="G89" s="351"/>
      <c r="H89" s="351"/>
      <c r="I89" s="351"/>
      <c r="J89" s="351"/>
      <c r="K89" s="351"/>
      <c r="L89" s="351"/>
      <c r="M89" s="351"/>
      <c r="N89" s="351"/>
      <c r="O89" s="351"/>
      <c r="P89" s="351"/>
      <c r="Q89" s="351"/>
      <c r="R89" s="351"/>
      <c r="S89" s="351"/>
      <c r="T89" s="351"/>
      <c r="U89" s="351"/>
      <c r="V89" s="351"/>
      <c r="W89" s="351"/>
      <c r="X89" s="351"/>
    </row>
    <row r="90" spans="1:24" x14ac:dyDescent="0.3">
      <c r="A90" s="351"/>
      <c r="B90" s="351"/>
      <c r="C90" s="351"/>
      <c r="D90" s="351"/>
      <c r="E90" s="351"/>
      <c r="F90" s="351"/>
      <c r="G90" s="351"/>
      <c r="H90" s="351"/>
      <c r="I90" s="351"/>
      <c r="J90" s="351"/>
      <c r="K90" s="351"/>
      <c r="L90" s="351"/>
      <c r="M90" s="351"/>
      <c r="N90" s="351"/>
      <c r="O90" s="351"/>
      <c r="P90" s="351"/>
      <c r="Q90" s="351"/>
      <c r="R90" s="351"/>
      <c r="S90" s="351"/>
      <c r="T90" s="351"/>
      <c r="U90" s="351"/>
      <c r="V90" s="351"/>
      <c r="W90" s="351"/>
      <c r="X90" s="351"/>
    </row>
    <row r="91" spans="1:24" x14ac:dyDescent="0.3">
      <c r="A91" s="351"/>
      <c r="B91" s="351"/>
      <c r="C91" s="351"/>
      <c r="D91" s="351"/>
      <c r="E91" s="351"/>
      <c r="F91" s="351"/>
      <c r="G91" s="351"/>
      <c r="H91" s="351"/>
      <c r="I91" s="351"/>
      <c r="J91" s="351"/>
      <c r="K91" s="351"/>
      <c r="L91" s="351"/>
      <c r="M91" s="351"/>
      <c r="N91" s="351"/>
      <c r="O91" s="351"/>
      <c r="P91" s="351"/>
      <c r="Q91" s="351"/>
      <c r="R91" s="351"/>
      <c r="S91" s="351"/>
      <c r="T91" s="351"/>
      <c r="U91" s="351"/>
      <c r="V91" s="351"/>
      <c r="W91" s="351"/>
      <c r="X91" s="351"/>
    </row>
    <row r="92" spans="1:24" x14ac:dyDescent="0.3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</row>
    <row r="93" spans="1:24" x14ac:dyDescent="0.3">
      <c r="A93" s="224" t="s">
        <v>439</v>
      </c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</row>
    <row r="94" spans="1:24" ht="15" customHeight="1" x14ac:dyDescent="0.3">
      <c r="A94" s="352" t="s">
        <v>98</v>
      </c>
      <c r="B94" s="353"/>
      <c r="C94" s="353"/>
      <c r="D94" s="353"/>
      <c r="E94" s="353"/>
      <c r="F94" s="354"/>
      <c r="G94" s="352" t="s">
        <v>4</v>
      </c>
      <c r="H94" s="353"/>
      <c r="I94" s="354"/>
      <c r="J94" s="355" t="s">
        <v>101</v>
      </c>
      <c r="K94" s="356"/>
      <c r="L94" s="356"/>
      <c r="M94" s="356"/>
      <c r="N94" s="357"/>
      <c r="O94" s="352" t="s">
        <v>440</v>
      </c>
      <c r="P94" s="353"/>
      <c r="Q94" s="353"/>
      <c r="R94" s="353"/>
      <c r="S94" s="353"/>
      <c r="T94" s="354"/>
      <c r="U94" s="355" t="s">
        <v>441</v>
      </c>
      <c r="V94" s="356"/>
      <c r="W94" s="356"/>
      <c r="X94" s="357"/>
    </row>
    <row r="95" spans="1:24" x14ac:dyDescent="0.3">
      <c r="A95" s="345" t="s">
        <v>709</v>
      </c>
      <c r="B95" s="346" t="s">
        <v>449</v>
      </c>
      <c r="C95" s="346" t="s">
        <v>449</v>
      </c>
      <c r="D95" s="346" t="s">
        <v>449</v>
      </c>
      <c r="E95" s="346" t="s">
        <v>449</v>
      </c>
      <c r="F95" s="347" t="s">
        <v>449</v>
      </c>
      <c r="G95" s="345" t="s">
        <v>477</v>
      </c>
      <c r="H95" s="346" t="s">
        <v>294</v>
      </c>
      <c r="I95" s="347" t="s">
        <v>294</v>
      </c>
      <c r="J95" s="348" t="s">
        <v>700</v>
      </c>
      <c r="K95" s="349" t="s">
        <v>453</v>
      </c>
      <c r="L95" s="349">
        <v>43393</v>
      </c>
      <c r="M95" s="349" t="s">
        <v>466</v>
      </c>
      <c r="N95" s="350" t="s">
        <v>453</v>
      </c>
      <c r="O95" s="345" t="s">
        <v>453</v>
      </c>
      <c r="P95" s="346" t="s">
        <v>453</v>
      </c>
      <c r="Q95" s="346" t="s">
        <v>453</v>
      </c>
      <c r="R95" s="346" t="s">
        <v>453</v>
      </c>
      <c r="S95" s="346" t="s">
        <v>453</v>
      </c>
      <c r="T95" s="347" t="s">
        <v>453</v>
      </c>
      <c r="U95" s="348">
        <v>44878</v>
      </c>
      <c r="V95" s="349" t="s">
        <v>466</v>
      </c>
      <c r="W95" s="349" t="s">
        <v>453</v>
      </c>
      <c r="X95" s="350">
        <v>43393</v>
      </c>
    </row>
    <row r="96" spans="1:24" ht="15" customHeight="1" x14ac:dyDescent="0.3">
      <c r="A96" s="345" t="s">
        <v>710</v>
      </c>
      <c r="B96" s="346"/>
      <c r="C96" s="346"/>
      <c r="D96" s="346"/>
      <c r="E96" s="346"/>
      <c r="F96" s="347"/>
      <c r="G96" s="345" t="s">
        <v>311</v>
      </c>
      <c r="H96" s="346" t="s">
        <v>294</v>
      </c>
      <c r="I96" s="347" t="s">
        <v>294</v>
      </c>
      <c r="J96" s="348" t="s">
        <v>714</v>
      </c>
      <c r="K96" s="349" t="s">
        <v>453</v>
      </c>
      <c r="L96" s="349">
        <v>43394</v>
      </c>
      <c r="M96" s="349" t="s">
        <v>471</v>
      </c>
      <c r="N96" s="350" t="s">
        <v>453</v>
      </c>
      <c r="O96" s="345" t="s">
        <v>453</v>
      </c>
      <c r="P96" s="346" t="s">
        <v>453</v>
      </c>
      <c r="Q96" s="346" t="s">
        <v>453</v>
      </c>
      <c r="R96" s="346" t="s">
        <v>453</v>
      </c>
      <c r="S96" s="346" t="s">
        <v>453</v>
      </c>
      <c r="T96" s="347" t="s">
        <v>453</v>
      </c>
      <c r="U96" s="348">
        <v>44878</v>
      </c>
      <c r="V96" s="349" t="s">
        <v>471</v>
      </c>
      <c r="W96" s="349" t="s">
        <v>453</v>
      </c>
      <c r="X96" s="350">
        <v>43394</v>
      </c>
    </row>
    <row r="97" spans="1:25" ht="15" hidden="1" customHeight="1" x14ac:dyDescent="0.3">
      <c r="A97" s="345"/>
      <c r="B97" s="346"/>
      <c r="C97" s="346"/>
      <c r="D97" s="346"/>
      <c r="E97" s="346"/>
      <c r="F97" s="347"/>
      <c r="G97" s="345"/>
      <c r="H97" s="346"/>
      <c r="I97" s="347"/>
      <c r="J97" s="348"/>
      <c r="K97" s="349"/>
      <c r="L97" s="349"/>
      <c r="M97" s="349"/>
      <c r="N97" s="350"/>
      <c r="O97" s="345"/>
      <c r="P97" s="346"/>
      <c r="Q97" s="346"/>
      <c r="R97" s="346"/>
      <c r="S97" s="346"/>
      <c r="T97" s="347"/>
      <c r="U97" s="348"/>
      <c r="V97" s="349"/>
      <c r="W97" s="349"/>
      <c r="X97" s="350"/>
    </row>
    <row r="98" spans="1:25" ht="15" customHeight="1" x14ac:dyDescent="0.3">
      <c r="A98" s="238"/>
      <c r="B98" s="238"/>
      <c r="C98" s="238"/>
      <c r="D98" s="238"/>
      <c r="E98" s="238"/>
      <c r="F98" s="238"/>
      <c r="G98" s="238"/>
      <c r="H98" s="238"/>
      <c r="I98" s="238"/>
      <c r="J98" s="238"/>
      <c r="K98" s="238"/>
      <c r="L98" s="238"/>
      <c r="M98" s="238"/>
      <c r="N98" s="238"/>
      <c r="O98" s="238"/>
      <c r="P98" s="238"/>
      <c r="Q98" s="238"/>
      <c r="R98" s="238"/>
      <c r="S98" s="238"/>
      <c r="T98" s="238"/>
      <c r="U98" s="238"/>
      <c r="V98" s="238"/>
      <c r="W98" s="238"/>
      <c r="X98" s="238"/>
    </row>
    <row r="99" spans="1:25" x14ac:dyDescent="0.3">
      <c r="A99" s="224" t="s">
        <v>442</v>
      </c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</row>
    <row r="100" spans="1:25" x14ac:dyDescent="0.3">
      <c r="A100" s="239" t="s">
        <v>443</v>
      </c>
      <c r="B100" s="9"/>
      <c r="C100" s="14"/>
      <c r="D100" s="14"/>
      <c r="E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9"/>
    </row>
    <row r="101" spans="1:25" x14ac:dyDescent="0.3">
      <c r="A101" s="240" t="s">
        <v>525</v>
      </c>
      <c r="B101" s="9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9"/>
    </row>
    <row r="102" spans="1:25" ht="14.4" customHeight="1" x14ac:dyDescent="0.3">
      <c r="A102" s="351" t="str">
        <f>IF(Calibración!E10="2",Calibración!BJ6,Calibración!BJ7)</f>
        <v>La indicación de la presión de referencia y del equipo corresponden al promedio de 4 mediciones en 2 ciclos ascendentes y descendentes.</v>
      </c>
      <c r="B102" s="351"/>
      <c r="C102" s="351"/>
      <c r="D102" s="351"/>
      <c r="E102" s="351"/>
      <c r="F102" s="351"/>
      <c r="G102" s="351"/>
      <c r="H102" s="351"/>
      <c r="I102" s="351"/>
      <c r="J102" s="351"/>
      <c r="K102" s="351"/>
      <c r="L102" s="351"/>
      <c r="M102" s="351"/>
      <c r="N102" s="351"/>
      <c r="O102" s="351"/>
      <c r="P102" s="351"/>
      <c r="Q102" s="351"/>
      <c r="R102" s="351"/>
      <c r="S102" s="351"/>
      <c r="T102" s="351"/>
      <c r="U102" s="351"/>
      <c r="V102" s="351"/>
      <c r="W102" s="351"/>
      <c r="X102" s="351"/>
    </row>
    <row r="103" spans="1:25" ht="15" customHeight="1" x14ac:dyDescent="0.3">
      <c r="A103" s="351"/>
      <c r="B103" s="351"/>
      <c r="C103" s="351"/>
      <c r="D103" s="351"/>
      <c r="E103" s="351"/>
      <c r="F103" s="351"/>
      <c r="G103" s="351"/>
      <c r="H103" s="351"/>
      <c r="I103" s="351"/>
      <c r="J103" s="351"/>
      <c r="K103" s="351"/>
      <c r="L103" s="351"/>
      <c r="M103" s="351"/>
      <c r="N103" s="351"/>
      <c r="O103" s="351"/>
      <c r="P103" s="351"/>
      <c r="Q103" s="351"/>
      <c r="R103" s="351"/>
      <c r="S103" s="351"/>
      <c r="T103" s="351"/>
      <c r="U103" s="351"/>
      <c r="V103" s="351"/>
      <c r="W103" s="351"/>
      <c r="X103" s="351"/>
    </row>
    <row r="104" spans="1:25" ht="15" customHeight="1" x14ac:dyDescent="0.3">
      <c r="A104" s="239" t="s">
        <v>444</v>
      </c>
      <c r="B104" s="9"/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9"/>
    </row>
    <row r="105" spans="1:25" ht="15" customHeight="1" x14ac:dyDescent="0.3">
      <c r="A105" s="239" t="s">
        <v>445</v>
      </c>
      <c r="B105" s="14"/>
      <c r="C105" s="14"/>
      <c r="D105" s="14"/>
      <c r="E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9"/>
    </row>
    <row r="106" spans="1:25" x14ac:dyDescent="0.3">
      <c r="A106" s="9" t="s">
        <v>695</v>
      </c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5" x14ac:dyDescent="0.3">
      <c r="A107" s="9" t="s">
        <v>696</v>
      </c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5" x14ac:dyDescent="0.3">
      <c r="A108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14"/>
      <c r="S108" s="14"/>
      <c r="T108" s="9"/>
      <c r="U108" s="9"/>
      <c r="V108" s="9"/>
      <c r="W108" s="9"/>
      <c r="X108" s="9"/>
    </row>
    <row r="109" spans="1:25" x14ac:dyDescent="0.3">
      <c r="A109" s="240" t="s">
        <v>527</v>
      </c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14"/>
      <c r="S109" s="14"/>
      <c r="T109" s="14"/>
      <c r="U109" s="14"/>
      <c r="V109" s="14"/>
      <c r="W109" s="9"/>
      <c r="X109" s="9"/>
    </row>
    <row r="112" spans="1:25" x14ac:dyDescent="0.3">
      <c r="Y112" s="9"/>
    </row>
    <row r="113" spans="9:25" x14ac:dyDescent="0.3">
      <c r="I113" s="341" t="s">
        <v>30</v>
      </c>
      <c r="J113" s="341"/>
      <c r="K113" s="341"/>
      <c r="L113" s="341"/>
      <c r="M113" s="341"/>
      <c r="N113" s="341"/>
      <c r="O113" s="341"/>
      <c r="P113" s="341"/>
      <c r="Y113" s="9"/>
    </row>
    <row r="114" spans="9:25" x14ac:dyDescent="0.3">
      <c r="I114" s="342" t="str">
        <f>IF(I113=[5]Generales!$F$1,[5]Generales!$F$6,[5]Generales!$F$5)</f>
        <v>Director Técnico</v>
      </c>
      <c r="J114" s="342"/>
      <c r="K114" s="342"/>
      <c r="L114" s="342"/>
      <c r="M114" s="342"/>
      <c r="N114" s="342"/>
      <c r="O114" s="342"/>
      <c r="P114" s="342"/>
    </row>
    <row r="115" spans="9:25" x14ac:dyDescent="0.3">
      <c r="I115" s="343" t="s">
        <v>446</v>
      </c>
      <c r="J115" s="343"/>
      <c r="K115" s="343"/>
      <c r="L115" s="343"/>
      <c r="M115" s="343"/>
      <c r="N115" s="343"/>
      <c r="O115" s="343"/>
      <c r="P115" s="343"/>
    </row>
    <row r="116" spans="9:25" x14ac:dyDescent="0.3">
      <c r="I116" s="344" t="s">
        <v>447</v>
      </c>
      <c r="J116" s="344"/>
      <c r="K116" s="344"/>
      <c r="L116" s="344"/>
      <c r="M116" s="344"/>
      <c r="N116" s="344"/>
      <c r="O116" s="344"/>
      <c r="P116" s="344"/>
    </row>
  </sheetData>
  <mergeCells count="144">
    <mergeCell ref="D35:E35"/>
    <mergeCell ref="D36:E36"/>
    <mergeCell ref="D37:E37"/>
    <mergeCell ref="L72:Q72"/>
    <mergeCell ref="L73:Q73"/>
    <mergeCell ref="L74:Q74"/>
    <mergeCell ref="F72:K72"/>
    <mergeCell ref="F73:K73"/>
    <mergeCell ref="F74:K74"/>
    <mergeCell ref="D72:E72"/>
    <mergeCell ref="D73:E73"/>
    <mergeCell ref="D74:E74"/>
    <mergeCell ref="R35:W35"/>
    <mergeCell ref="R36:W36"/>
    <mergeCell ref="R37:W37"/>
    <mergeCell ref="L35:Q35"/>
    <mergeCell ref="L36:Q36"/>
    <mergeCell ref="L37:Q37"/>
    <mergeCell ref="F35:K35"/>
    <mergeCell ref="F36:K36"/>
    <mergeCell ref="F37:K37"/>
    <mergeCell ref="N8:X8"/>
    <mergeCell ref="N9:X9"/>
    <mergeCell ref="N10:X10"/>
    <mergeCell ref="N12:X12"/>
    <mergeCell ref="N13:X13"/>
    <mergeCell ref="N14:X14"/>
    <mergeCell ref="N20:X20"/>
    <mergeCell ref="N21:X22"/>
    <mergeCell ref="D24:W24"/>
    <mergeCell ref="N11:Q11"/>
    <mergeCell ref="D25:E26"/>
    <mergeCell ref="F25:K26"/>
    <mergeCell ref="L25:Q26"/>
    <mergeCell ref="R25:W26"/>
    <mergeCell ref="N15:X15"/>
    <mergeCell ref="N16:X16"/>
    <mergeCell ref="N17:O17"/>
    <mergeCell ref="P17:Q17"/>
    <mergeCell ref="N18:X18"/>
    <mergeCell ref="N19:X19"/>
    <mergeCell ref="D29:E29"/>
    <mergeCell ref="F29:K29"/>
    <mergeCell ref="L29:Q29"/>
    <mergeCell ref="R29:W29"/>
    <mergeCell ref="D30:E30"/>
    <mergeCell ref="F30:K30"/>
    <mergeCell ref="L30:Q30"/>
    <mergeCell ref="R30:W30"/>
    <mergeCell ref="D27:E27"/>
    <mergeCell ref="F27:K27"/>
    <mergeCell ref="L27:Q27"/>
    <mergeCell ref="R27:W27"/>
    <mergeCell ref="D28:E28"/>
    <mergeCell ref="F28:K28"/>
    <mergeCell ref="L28:Q28"/>
    <mergeCell ref="R28:W28"/>
    <mergeCell ref="D33:E33"/>
    <mergeCell ref="F33:K33"/>
    <mergeCell ref="L33:Q33"/>
    <mergeCell ref="R33:W33"/>
    <mergeCell ref="D34:E34"/>
    <mergeCell ref="F34:K34"/>
    <mergeCell ref="L34:Q34"/>
    <mergeCell ref="R34:W34"/>
    <mergeCell ref="D31:E31"/>
    <mergeCell ref="F31:K31"/>
    <mergeCell ref="L31:Q31"/>
    <mergeCell ref="R31:W31"/>
    <mergeCell ref="D32:E32"/>
    <mergeCell ref="F32:K32"/>
    <mergeCell ref="L32:Q32"/>
    <mergeCell ref="R32:W32"/>
    <mergeCell ref="D65:E65"/>
    <mergeCell ref="F65:K65"/>
    <mergeCell ref="L65:Q65"/>
    <mergeCell ref="R65:W65"/>
    <mergeCell ref="D66:E66"/>
    <mergeCell ref="F66:K66"/>
    <mergeCell ref="L66:Q66"/>
    <mergeCell ref="R66:W66"/>
    <mergeCell ref="D61:W61"/>
    <mergeCell ref="D62:E63"/>
    <mergeCell ref="F62:K63"/>
    <mergeCell ref="L62:Q63"/>
    <mergeCell ref="R62:W63"/>
    <mergeCell ref="D64:E64"/>
    <mergeCell ref="F64:K64"/>
    <mergeCell ref="L64:Q64"/>
    <mergeCell ref="R64:W64"/>
    <mergeCell ref="D69:E69"/>
    <mergeCell ref="F69:K69"/>
    <mergeCell ref="L69:Q69"/>
    <mergeCell ref="R69:W69"/>
    <mergeCell ref="D70:E70"/>
    <mergeCell ref="F70:K70"/>
    <mergeCell ref="L70:Q70"/>
    <mergeCell ref="R70:W70"/>
    <mergeCell ref="D67:E67"/>
    <mergeCell ref="F67:K67"/>
    <mergeCell ref="L67:Q67"/>
    <mergeCell ref="R67:W67"/>
    <mergeCell ref="D68:E68"/>
    <mergeCell ref="F68:K68"/>
    <mergeCell ref="L68:Q68"/>
    <mergeCell ref="R68:W68"/>
    <mergeCell ref="A84:X84"/>
    <mergeCell ref="A87:X91"/>
    <mergeCell ref="A94:F94"/>
    <mergeCell ref="G94:I94"/>
    <mergeCell ref="J94:N94"/>
    <mergeCell ref="O94:T94"/>
    <mergeCell ref="U94:X94"/>
    <mergeCell ref="D71:E71"/>
    <mergeCell ref="F71:K71"/>
    <mergeCell ref="L71:Q71"/>
    <mergeCell ref="R71:W71"/>
    <mergeCell ref="N77:X77"/>
    <mergeCell ref="B80:D80"/>
    <mergeCell ref="K80:L80"/>
    <mergeCell ref="T80:U80"/>
    <mergeCell ref="R72:W72"/>
    <mergeCell ref="R73:W73"/>
    <mergeCell ref="R74:W74"/>
    <mergeCell ref="A95:F95"/>
    <mergeCell ref="G95:I95"/>
    <mergeCell ref="J95:N95"/>
    <mergeCell ref="O95:T95"/>
    <mergeCell ref="U95:X95"/>
    <mergeCell ref="A96:F96"/>
    <mergeCell ref="G96:I96"/>
    <mergeCell ref="J96:N96"/>
    <mergeCell ref="O96:T96"/>
    <mergeCell ref="U96:X96"/>
    <mergeCell ref="I113:P113"/>
    <mergeCell ref="I114:P114"/>
    <mergeCell ref="I115:P115"/>
    <mergeCell ref="I116:P116"/>
    <mergeCell ref="A97:F97"/>
    <mergeCell ref="G97:I97"/>
    <mergeCell ref="J97:N97"/>
    <mergeCell ref="O97:T97"/>
    <mergeCell ref="U97:X97"/>
    <mergeCell ref="A102:X103"/>
  </mergeCells>
  <conditionalFormatting sqref="A106">
    <cfRule type="cellIs" priority="1" operator="equal">
      <formula>$D$24</formula>
    </cfRule>
  </conditionalFormatting>
  <conditionalFormatting sqref="A107">
    <cfRule type="cellIs" priority="2" operator="equal">
      <formula>$F$26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4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I113:P113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8:Y98"/>
  <sheetViews>
    <sheetView view="pageLayout" topLeftCell="A43" zoomScaleNormal="40" zoomScaleSheetLayoutView="100" workbookViewId="0">
      <selection activeCell="N57" sqref="N57:X5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8" spans="1:24" x14ac:dyDescent="0.3">
      <c r="A8" s="224" t="s">
        <v>411</v>
      </c>
      <c r="B8" s="225"/>
      <c r="C8" s="226"/>
      <c r="E8" s="226"/>
      <c r="F8" s="226"/>
      <c r="G8" s="227"/>
      <c r="H8" s="227"/>
      <c r="I8" s="227"/>
      <c r="J8" s="227"/>
      <c r="K8" s="227"/>
      <c r="L8" s="9"/>
      <c r="M8" s="9"/>
      <c r="N8" s="374" t="str">
        <f>General!F3</f>
        <v>NI-MC-P-XXX-ZZZZ</v>
      </c>
      <c r="O8" s="362"/>
      <c r="P8" s="362"/>
      <c r="Q8" s="362"/>
      <c r="R8" s="362"/>
      <c r="S8" s="362"/>
      <c r="T8" s="362"/>
      <c r="U8" s="362"/>
      <c r="V8" s="362"/>
      <c r="W8" s="362"/>
      <c r="X8" s="362"/>
    </row>
    <row r="9" spans="1:24" x14ac:dyDescent="0.3">
      <c r="A9" s="224" t="s">
        <v>412</v>
      </c>
      <c r="B9" s="225"/>
      <c r="C9" s="226"/>
      <c r="E9" s="226"/>
      <c r="F9" s="226"/>
      <c r="G9" s="227"/>
      <c r="H9" s="227"/>
      <c r="I9" s="227"/>
      <c r="J9" s="227"/>
      <c r="K9" s="227"/>
      <c r="L9" s="9"/>
      <c r="M9" s="9"/>
      <c r="N9" s="373" t="str">
        <f>General!F4</f>
        <v>NI-CS-XXXX-XX</v>
      </c>
      <c r="O9" s="364"/>
      <c r="P9" s="364"/>
      <c r="Q9" s="364"/>
      <c r="R9" s="364"/>
      <c r="S9" s="364"/>
      <c r="T9" s="364"/>
      <c r="U9" s="364"/>
      <c r="V9" s="364"/>
      <c r="W9" s="364"/>
      <c r="X9" s="364"/>
    </row>
    <row r="10" spans="1:24" x14ac:dyDescent="0.3">
      <c r="A10" s="224" t="s">
        <v>413</v>
      </c>
      <c r="B10" s="225"/>
      <c r="C10" s="225"/>
      <c r="E10" s="225"/>
      <c r="F10" s="225"/>
      <c r="G10" s="227"/>
      <c r="H10" s="227"/>
      <c r="I10" s="227"/>
      <c r="J10" s="227"/>
      <c r="K10" s="227"/>
      <c r="L10" s="228"/>
      <c r="M10" s="9"/>
      <c r="N10" s="375">
        <f>General!F5</f>
        <v>43299</v>
      </c>
      <c r="O10" s="375"/>
      <c r="P10" s="375"/>
      <c r="Q10" s="375"/>
      <c r="R10" s="375"/>
      <c r="S10" s="375"/>
      <c r="T10" s="375"/>
      <c r="U10" s="375"/>
      <c r="V10" s="375"/>
      <c r="W10" s="375"/>
      <c r="X10" s="375"/>
    </row>
    <row r="11" spans="1:24" x14ac:dyDescent="0.3">
      <c r="A11" s="224" t="s">
        <v>697</v>
      </c>
      <c r="B11" s="225"/>
      <c r="C11" s="225"/>
      <c r="E11" s="225"/>
      <c r="F11" s="225"/>
      <c r="G11" s="227"/>
      <c r="H11" s="227"/>
      <c r="I11" s="227"/>
      <c r="J11" s="227"/>
      <c r="K11" s="227"/>
      <c r="L11" s="228"/>
      <c r="M11" s="9"/>
      <c r="N11" s="375">
        <v>43610.729139583331</v>
      </c>
      <c r="O11" s="375"/>
      <c r="P11" s="375"/>
      <c r="Q11" s="375"/>
      <c r="R11" s="279"/>
      <c r="S11" s="279"/>
      <c r="T11" s="279"/>
      <c r="U11" s="279"/>
      <c r="V11" s="279"/>
      <c r="W11" s="279"/>
      <c r="X11" s="279"/>
    </row>
    <row r="12" spans="1:24" x14ac:dyDescent="0.3">
      <c r="A12" s="224" t="s">
        <v>414</v>
      </c>
      <c r="B12" s="225"/>
      <c r="C12" s="225"/>
      <c r="E12" s="225"/>
      <c r="F12" s="225"/>
      <c r="G12" s="227"/>
      <c r="H12" s="227"/>
      <c r="I12" s="227"/>
      <c r="J12" s="227"/>
      <c r="K12" s="227"/>
      <c r="L12" s="9"/>
      <c r="M12" s="9"/>
      <c r="N12" s="373" t="str">
        <f>General!F7</f>
        <v xml:space="preserve">Manómetro </v>
      </c>
      <c r="O12" s="364"/>
      <c r="P12" s="364"/>
      <c r="Q12" s="364"/>
      <c r="R12" s="364"/>
      <c r="S12" s="364"/>
      <c r="T12" s="364"/>
      <c r="U12" s="364"/>
      <c r="V12" s="364"/>
      <c r="W12" s="364"/>
      <c r="X12" s="364"/>
    </row>
    <row r="13" spans="1:24" x14ac:dyDescent="0.3">
      <c r="A13" s="224" t="s">
        <v>415</v>
      </c>
      <c r="B13" s="225"/>
      <c r="C13" s="225"/>
      <c r="E13" s="225"/>
      <c r="F13" s="225"/>
      <c r="G13" s="227"/>
      <c r="H13" s="227"/>
      <c r="I13" s="227"/>
      <c r="J13" s="227"/>
      <c r="K13" s="227"/>
      <c r="L13" s="9"/>
      <c r="M13" s="9"/>
      <c r="N13" s="373" t="str">
        <f>General!F10</f>
        <v>HEISE</v>
      </c>
      <c r="O13" s="364"/>
      <c r="P13" s="364"/>
      <c r="Q13" s="364"/>
      <c r="R13" s="364"/>
      <c r="S13" s="364"/>
      <c r="T13" s="364"/>
      <c r="U13" s="364"/>
      <c r="V13" s="364"/>
      <c r="W13" s="364"/>
      <c r="X13" s="364"/>
    </row>
    <row r="14" spans="1:24" x14ac:dyDescent="0.3">
      <c r="A14" s="224" t="s">
        <v>416</v>
      </c>
      <c r="B14" s="225"/>
      <c r="C14" s="225"/>
      <c r="E14" s="225"/>
      <c r="F14" s="225"/>
      <c r="G14" s="227"/>
      <c r="H14" s="227"/>
      <c r="I14" s="227"/>
      <c r="J14" s="227"/>
      <c r="K14" s="227"/>
      <c r="L14" s="9"/>
      <c r="M14" s="9"/>
      <c r="N14" s="373" t="str">
        <f>General!F12</f>
        <v>706340</v>
      </c>
      <c r="O14" s="364"/>
      <c r="P14" s="364"/>
      <c r="Q14" s="364"/>
      <c r="R14" s="364"/>
      <c r="S14" s="364"/>
      <c r="T14" s="364"/>
      <c r="U14" s="364"/>
      <c r="V14" s="364"/>
      <c r="W14" s="364"/>
      <c r="X14" s="364"/>
    </row>
    <row r="15" spans="1:24" x14ac:dyDescent="0.3">
      <c r="A15" s="224" t="s">
        <v>417</v>
      </c>
      <c r="B15" s="225"/>
      <c r="C15" s="225"/>
      <c r="E15" s="225"/>
      <c r="F15" s="225"/>
      <c r="G15" s="227"/>
      <c r="H15" s="227"/>
      <c r="I15" s="227"/>
      <c r="J15" s="227"/>
      <c r="K15" s="227"/>
      <c r="L15" s="9"/>
      <c r="M15" s="9"/>
      <c r="N15" s="373" t="str">
        <f>General!F11</f>
        <v>CC</v>
      </c>
      <c r="O15" s="364"/>
      <c r="P15" s="364"/>
      <c r="Q15" s="364"/>
      <c r="R15" s="364"/>
      <c r="S15" s="364"/>
      <c r="T15" s="364"/>
      <c r="U15" s="364"/>
      <c r="V15" s="364"/>
      <c r="W15" s="364"/>
      <c r="X15" s="364"/>
    </row>
    <row r="16" spans="1:24" x14ac:dyDescent="0.3">
      <c r="A16" s="224" t="s">
        <v>418</v>
      </c>
      <c r="B16" s="225"/>
      <c r="C16" s="225"/>
      <c r="E16" s="225"/>
      <c r="F16" s="225"/>
      <c r="G16" s="227"/>
      <c r="H16" s="227"/>
      <c r="I16" s="227"/>
      <c r="J16" s="227"/>
      <c r="K16" s="227"/>
      <c r="L16" s="9"/>
      <c r="M16" s="9"/>
      <c r="N16" s="373" t="str">
        <f>General!F18</f>
        <v>0 psi a 200 psi</v>
      </c>
      <c r="O16" s="364"/>
      <c r="P16" s="364"/>
      <c r="Q16" s="364"/>
      <c r="R16" s="364"/>
      <c r="S16" s="364"/>
      <c r="T16" s="364"/>
      <c r="U16" s="364"/>
      <c r="V16" s="364"/>
      <c r="W16" s="364"/>
      <c r="X16" s="364"/>
    </row>
    <row r="17" spans="1:24" x14ac:dyDescent="0.3">
      <c r="A17" s="224" t="s">
        <v>419</v>
      </c>
      <c r="B17" s="225"/>
      <c r="C17" s="225"/>
      <c r="E17" s="225"/>
      <c r="F17" s="225"/>
      <c r="G17" s="227"/>
      <c r="H17" s="227"/>
      <c r="I17" s="227"/>
      <c r="J17" s="227"/>
      <c r="K17" s="227"/>
      <c r="L17" s="9"/>
      <c r="M17" s="9"/>
      <c r="N17" s="373" t="str">
        <f>General!F15</f>
        <v>1</v>
      </c>
      <c r="O17" s="364"/>
      <c r="P17" s="373" t="str">
        <f>General!F16</f>
        <v>psi</v>
      </c>
      <c r="Q17" s="364"/>
      <c r="R17" s="9"/>
      <c r="S17" s="9"/>
      <c r="T17" s="9"/>
      <c r="U17" s="9"/>
      <c r="V17" s="9"/>
      <c r="W17" s="9"/>
      <c r="X17" s="9"/>
    </row>
    <row r="18" spans="1:24" x14ac:dyDescent="0.3">
      <c r="A18" s="224" t="s">
        <v>420</v>
      </c>
      <c r="B18" s="225"/>
      <c r="C18" s="225"/>
      <c r="E18" s="225"/>
      <c r="F18" s="225"/>
      <c r="G18" s="227"/>
      <c r="H18" s="227"/>
      <c r="I18" s="227"/>
      <c r="J18" s="227"/>
      <c r="K18" s="227"/>
      <c r="L18" s="9"/>
      <c r="M18" s="9"/>
      <c r="N18" s="373" t="str">
        <f>General!F6</f>
        <v>706340</v>
      </c>
      <c r="O18" s="364"/>
      <c r="P18" s="364"/>
      <c r="Q18" s="364"/>
      <c r="R18" s="364"/>
      <c r="S18" s="364"/>
      <c r="T18" s="364"/>
      <c r="U18" s="364"/>
      <c r="V18" s="364"/>
      <c r="W18" s="364"/>
      <c r="X18" s="364"/>
    </row>
    <row r="19" spans="1:24" x14ac:dyDescent="0.3">
      <c r="A19" s="224" t="s">
        <v>421</v>
      </c>
      <c r="B19" s="225"/>
      <c r="C19" s="225"/>
      <c r="E19" s="225"/>
      <c r="F19" s="225"/>
      <c r="G19" s="227"/>
      <c r="H19" s="227"/>
      <c r="I19" s="227"/>
      <c r="J19" s="227"/>
      <c r="K19" s="227"/>
      <c r="L19" s="9"/>
      <c r="M19" s="9"/>
      <c r="N19" s="373" t="str">
        <f>General!L3</f>
        <v xml:space="preserve">A&amp;T Nicaragua S.A. </v>
      </c>
      <c r="O19" s="364"/>
      <c r="P19" s="364"/>
      <c r="Q19" s="364"/>
      <c r="R19" s="364"/>
      <c r="S19" s="364"/>
      <c r="T19" s="364"/>
      <c r="U19" s="364"/>
      <c r="V19" s="364"/>
      <c r="W19" s="364"/>
      <c r="X19" s="364"/>
    </row>
    <row r="20" spans="1:24" x14ac:dyDescent="0.3">
      <c r="A20" s="229" t="s">
        <v>422</v>
      </c>
      <c r="C20" s="225"/>
      <c r="D20" s="225"/>
      <c r="E20" s="225"/>
      <c r="F20" s="225"/>
      <c r="G20" s="227"/>
      <c r="H20" s="227"/>
      <c r="I20" s="227"/>
      <c r="J20" s="227"/>
      <c r="K20" s="227"/>
      <c r="L20" s="10"/>
      <c r="M20" s="9"/>
      <c r="N20" s="364" t="str">
        <f>General!L4</f>
        <v xml:space="preserve">Coyotepe, 800 m norte               </v>
      </c>
      <c r="O20" s="364"/>
      <c r="P20" s="364"/>
      <c r="Q20" s="364"/>
      <c r="R20" s="364"/>
      <c r="S20" s="364"/>
      <c r="T20" s="364"/>
      <c r="U20" s="364"/>
      <c r="V20" s="364"/>
      <c r="W20" s="364"/>
      <c r="X20" s="364"/>
    </row>
    <row r="21" spans="1:24" x14ac:dyDescent="0.3">
      <c r="A21" s="224" t="s">
        <v>423</v>
      </c>
      <c r="C21" s="225"/>
      <c r="D21" s="225"/>
      <c r="E21" s="225"/>
      <c r="F21" s="225"/>
      <c r="G21" s="227"/>
      <c r="H21" s="227"/>
      <c r="I21" s="227"/>
      <c r="J21" s="227"/>
      <c r="K21" s="227"/>
      <c r="L21" s="9"/>
      <c r="M21" s="9"/>
      <c r="N21" s="376" t="str">
        <f>General!L6</f>
        <v xml:space="preserve">Laboratorio #2 Metrocal </v>
      </c>
      <c r="O21" s="376"/>
      <c r="P21" s="376"/>
      <c r="Q21" s="376"/>
      <c r="R21" s="376"/>
      <c r="S21" s="376"/>
      <c r="T21" s="376"/>
      <c r="U21" s="376"/>
      <c r="V21" s="376"/>
      <c r="W21" s="376"/>
      <c r="X21" s="376"/>
    </row>
    <row r="22" spans="1:24" x14ac:dyDescent="0.3">
      <c r="A22" s="224"/>
      <c r="N22" s="376"/>
      <c r="O22" s="376"/>
      <c r="P22" s="376"/>
      <c r="Q22" s="376"/>
      <c r="R22" s="376"/>
      <c r="S22" s="376"/>
      <c r="T22" s="376"/>
      <c r="U22" s="376"/>
      <c r="V22" s="376"/>
      <c r="W22" s="376"/>
      <c r="X22" s="376"/>
    </row>
    <row r="23" spans="1:24" x14ac:dyDescent="0.3">
      <c r="A23" s="224"/>
      <c r="N23" s="241"/>
      <c r="O23" s="241"/>
      <c r="P23" s="241"/>
      <c r="Q23" s="241"/>
      <c r="R23" s="241"/>
      <c r="S23" s="241"/>
      <c r="T23" s="241"/>
      <c r="U23" s="241"/>
      <c r="V23" s="241"/>
      <c r="W23" s="241"/>
      <c r="X23" s="241"/>
    </row>
    <row r="24" spans="1:24" x14ac:dyDescent="0.3">
      <c r="A24" s="224" t="s">
        <v>424</v>
      </c>
      <c r="C24" s="225"/>
      <c r="D24" s="225"/>
      <c r="E24" s="225"/>
      <c r="F24" s="225"/>
    </row>
    <row r="25" spans="1:24" x14ac:dyDescent="0.3">
      <c r="A25" s="9"/>
      <c r="B25" s="9"/>
      <c r="C25" s="9"/>
      <c r="D25" s="366" t="s">
        <v>95</v>
      </c>
      <c r="E25" s="366"/>
      <c r="F25" s="366"/>
      <c r="G25" s="366"/>
      <c r="H25" s="366"/>
      <c r="I25" s="366"/>
      <c r="J25" s="366"/>
      <c r="K25" s="366"/>
      <c r="L25" s="366"/>
      <c r="M25" s="366"/>
      <c r="N25" s="366"/>
      <c r="O25" s="366"/>
      <c r="P25" s="366"/>
      <c r="Q25" s="366"/>
      <c r="R25" s="366"/>
      <c r="S25" s="366"/>
      <c r="T25" s="366"/>
      <c r="U25" s="366"/>
      <c r="V25" s="366"/>
      <c r="W25" s="366"/>
    </row>
    <row r="26" spans="1:24" ht="15" customHeight="1" x14ac:dyDescent="0.3">
      <c r="A26" s="9"/>
      <c r="B26" s="9"/>
      <c r="C26" s="9"/>
      <c r="D26" s="367" t="s">
        <v>360</v>
      </c>
      <c r="E26" s="367"/>
      <c r="F26" s="368" t="s">
        <v>425</v>
      </c>
      <c r="G26" s="368"/>
      <c r="H26" s="368"/>
      <c r="I26" s="368"/>
      <c r="J26" s="368"/>
      <c r="K26" s="368"/>
      <c r="L26" s="368" t="s">
        <v>96</v>
      </c>
      <c r="M26" s="368"/>
      <c r="N26" s="368"/>
      <c r="O26" s="368"/>
      <c r="P26" s="368"/>
      <c r="Q26" s="368"/>
      <c r="R26" s="367" t="s">
        <v>426</v>
      </c>
      <c r="S26" s="367"/>
      <c r="T26" s="367"/>
      <c r="U26" s="367"/>
      <c r="V26" s="367"/>
      <c r="W26" s="367"/>
    </row>
    <row r="27" spans="1:24" ht="14.25" customHeight="1" x14ac:dyDescent="0.3">
      <c r="A27" s="9"/>
      <c r="B27" s="9"/>
      <c r="C27" s="9"/>
      <c r="D27" s="367"/>
      <c r="E27" s="367"/>
      <c r="F27" s="368"/>
      <c r="G27" s="368"/>
      <c r="H27" s="368"/>
      <c r="I27" s="368"/>
      <c r="J27" s="368"/>
      <c r="K27" s="368"/>
      <c r="L27" s="368"/>
      <c r="M27" s="368"/>
      <c r="N27" s="368"/>
      <c r="O27" s="368"/>
      <c r="P27" s="368"/>
      <c r="Q27" s="368"/>
      <c r="R27" s="367"/>
      <c r="S27" s="367"/>
      <c r="T27" s="367"/>
      <c r="U27" s="367"/>
      <c r="V27" s="367"/>
      <c r="W27" s="367"/>
    </row>
    <row r="28" spans="1:24" x14ac:dyDescent="0.3">
      <c r="A28" s="9"/>
      <c r="B28" s="9"/>
      <c r="C28" s="9"/>
      <c r="D28" s="369" t="str">
        <f>Calibración!C37</f>
        <v>psi</v>
      </c>
      <c r="E28" s="369"/>
      <c r="F28" s="370" t="str">
        <f>Calibración!D37</f>
        <v>psi</v>
      </c>
      <c r="G28" s="371"/>
      <c r="H28" s="371"/>
      <c r="I28" s="371"/>
      <c r="J28" s="371"/>
      <c r="K28" s="372"/>
      <c r="L28" s="370" t="str">
        <f>Calibración!E37</f>
        <v>psi</v>
      </c>
      <c r="M28" s="371"/>
      <c r="N28" s="371"/>
      <c r="O28" s="371"/>
      <c r="P28" s="371"/>
      <c r="Q28" s="372"/>
      <c r="R28" s="370" t="str">
        <f>Calibración!F37</f>
        <v>psi</v>
      </c>
      <c r="S28" s="371"/>
      <c r="T28" s="371"/>
      <c r="U28" s="371"/>
      <c r="V28" s="371"/>
      <c r="W28" s="372"/>
    </row>
    <row r="29" spans="1:24" x14ac:dyDescent="0.3">
      <c r="A29" s="9"/>
      <c r="B29" s="9"/>
      <c r="C29" s="9"/>
      <c r="D29" s="358" t="str">
        <f ca="1">Calibración!C38</f>
        <v/>
      </c>
      <c r="E29" s="358"/>
      <c r="F29" s="359" t="str">
        <f ca="1">Calibración!D38</f>
        <v/>
      </c>
      <c r="G29" s="360"/>
      <c r="H29" s="360"/>
      <c r="I29" s="360"/>
      <c r="J29" s="360"/>
      <c r="K29" s="361"/>
      <c r="L29" s="359" t="str">
        <f ca="1">Calibración!E38</f>
        <v/>
      </c>
      <c r="M29" s="360"/>
      <c r="N29" s="360"/>
      <c r="O29" s="360"/>
      <c r="P29" s="360"/>
      <c r="Q29" s="361"/>
      <c r="R29" s="359" t="str">
        <f ca="1">Calibración!F38</f>
        <v/>
      </c>
      <c r="S29" s="360"/>
      <c r="T29" s="360"/>
      <c r="U29" s="360"/>
      <c r="V29" s="360"/>
      <c r="W29" s="361"/>
    </row>
    <row r="30" spans="1:24" x14ac:dyDescent="0.3">
      <c r="A30" s="9"/>
      <c r="B30" s="9"/>
      <c r="C30" s="9"/>
      <c r="D30" s="358" t="str">
        <f ca="1">Calibración!C39</f>
        <v/>
      </c>
      <c r="E30" s="358"/>
      <c r="F30" s="359" t="str">
        <f ca="1">Calibración!D39</f>
        <v/>
      </c>
      <c r="G30" s="360"/>
      <c r="H30" s="360"/>
      <c r="I30" s="360"/>
      <c r="J30" s="360"/>
      <c r="K30" s="361"/>
      <c r="L30" s="359" t="str">
        <f ca="1">Calibración!E39</f>
        <v/>
      </c>
      <c r="M30" s="360"/>
      <c r="N30" s="360"/>
      <c r="O30" s="360"/>
      <c r="P30" s="360"/>
      <c r="Q30" s="361"/>
      <c r="R30" s="359" t="str">
        <f ca="1">Calibración!F39</f>
        <v/>
      </c>
      <c r="S30" s="360"/>
      <c r="T30" s="360"/>
      <c r="U30" s="360"/>
      <c r="V30" s="360"/>
      <c r="W30" s="361"/>
    </row>
    <row r="31" spans="1:24" x14ac:dyDescent="0.3">
      <c r="A31" s="9"/>
      <c r="B31" s="9"/>
      <c r="C31" s="9"/>
      <c r="D31" s="358" t="str">
        <f ca="1">Calibración!C40</f>
        <v/>
      </c>
      <c r="E31" s="358"/>
      <c r="F31" s="359" t="str">
        <f ca="1">Calibración!D40</f>
        <v/>
      </c>
      <c r="G31" s="360"/>
      <c r="H31" s="360"/>
      <c r="I31" s="360"/>
      <c r="J31" s="360"/>
      <c r="K31" s="361"/>
      <c r="L31" s="359" t="str">
        <f ca="1">Calibración!E40</f>
        <v/>
      </c>
      <c r="M31" s="360"/>
      <c r="N31" s="360"/>
      <c r="O31" s="360"/>
      <c r="P31" s="360"/>
      <c r="Q31" s="361"/>
      <c r="R31" s="359" t="str">
        <f ca="1">Calibración!F40</f>
        <v/>
      </c>
      <c r="S31" s="360"/>
      <c r="T31" s="360"/>
      <c r="U31" s="360"/>
      <c r="V31" s="360"/>
      <c r="W31" s="361"/>
    </row>
    <row r="32" spans="1:24" x14ac:dyDescent="0.3">
      <c r="A32" s="9"/>
      <c r="B32" s="9"/>
      <c r="C32" s="9"/>
      <c r="D32" s="358" t="str">
        <f ca="1">Calibración!C41</f>
        <v/>
      </c>
      <c r="E32" s="358"/>
      <c r="F32" s="359" t="str">
        <f ca="1">Calibración!D41</f>
        <v/>
      </c>
      <c r="G32" s="360"/>
      <c r="H32" s="360"/>
      <c r="I32" s="360"/>
      <c r="J32" s="360"/>
      <c r="K32" s="361"/>
      <c r="L32" s="359" t="str">
        <f ca="1">Calibración!E41</f>
        <v/>
      </c>
      <c r="M32" s="360"/>
      <c r="N32" s="360"/>
      <c r="O32" s="360"/>
      <c r="P32" s="360"/>
      <c r="Q32" s="361"/>
      <c r="R32" s="359" t="str">
        <f ca="1">Calibración!F41</f>
        <v/>
      </c>
      <c r="S32" s="360"/>
      <c r="T32" s="360"/>
      <c r="U32" s="360"/>
      <c r="V32" s="360"/>
      <c r="W32" s="361"/>
    </row>
    <row r="33" spans="1:23" x14ac:dyDescent="0.3">
      <c r="A33" s="9"/>
      <c r="B33" s="9"/>
      <c r="C33" s="9"/>
      <c r="D33" s="358" t="str">
        <f ca="1">Calibración!C42</f>
        <v/>
      </c>
      <c r="E33" s="358"/>
      <c r="F33" s="359" t="str">
        <f ca="1">Calibración!D42</f>
        <v/>
      </c>
      <c r="G33" s="360"/>
      <c r="H33" s="360"/>
      <c r="I33" s="360"/>
      <c r="J33" s="360"/>
      <c r="K33" s="361"/>
      <c r="L33" s="359" t="str">
        <f ca="1">Calibración!E42</f>
        <v/>
      </c>
      <c r="M33" s="360"/>
      <c r="N33" s="360"/>
      <c r="O33" s="360"/>
      <c r="P33" s="360"/>
      <c r="Q33" s="361"/>
      <c r="R33" s="359" t="str">
        <f ca="1">Calibración!F42</f>
        <v/>
      </c>
      <c r="S33" s="360"/>
      <c r="T33" s="360"/>
      <c r="U33" s="360"/>
      <c r="V33" s="360"/>
      <c r="W33" s="361"/>
    </row>
    <row r="34" spans="1:23" x14ac:dyDescent="0.3">
      <c r="D34" s="358" t="str">
        <f ca="1">Calibración!C43</f>
        <v/>
      </c>
      <c r="E34" s="358"/>
      <c r="F34" s="359" t="str">
        <f ca="1">Calibración!D43</f>
        <v/>
      </c>
      <c r="G34" s="360"/>
      <c r="H34" s="360"/>
      <c r="I34" s="360"/>
      <c r="J34" s="360"/>
      <c r="K34" s="361"/>
      <c r="L34" s="359" t="str">
        <f ca="1">Calibración!E43</f>
        <v/>
      </c>
      <c r="M34" s="360"/>
      <c r="N34" s="360"/>
      <c r="O34" s="360"/>
      <c r="P34" s="360"/>
      <c r="Q34" s="361"/>
      <c r="R34" s="359" t="str">
        <f ca="1">Calibración!F43</f>
        <v/>
      </c>
      <c r="S34" s="360"/>
      <c r="T34" s="360"/>
      <c r="U34" s="360"/>
      <c r="V34" s="360"/>
      <c r="W34" s="361"/>
    </row>
    <row r="35" spans="1:23" x14ac:dyDescent="0.3">
      <c r="D35" s="358" t="str">
        <f ca="1">Calibración!C44</f>
        <v/>
      </c>
      <c r="E35" s="358"/>
      <c r="F35" s="359" t="str">
        <f ca="1">Calibración!D44</f>
        <v/>
      </c>
      <c r="G35" s="360"/>
      <c r="H35" s="360"/>
      <c r="I35" s="360"/>
      <c r="J35" s="360"/>
      <c r="K35" s="361"/>
      <c r="L35" s="359" t="str">
        <f ca="1">Calibración!E44</f>
        <v/>
      </c>
      <c r="M35" s="360"/>
      <c r="N35" s="360"/>
      <c r="O35" s="360"/>
      <c r="P35" s="360"/>
      <c r="Q35" s="361"/>
      <c r="R35" s="359" t="str">
        <f ca="1">Calibración!F44</f>
        <v/>
      </c>
      <c r="S35" s="360"/>
      <c r="T35" s="360"/>
      <c r="U35" s="360"/>
      <c r="V35" s="360"/>
      <c r="W35" s="361"/>
    </row>
    <row r="36" spans="1:23" x14ac:dyDescent="0.3">
      <c r="D36" s="230"/>
      <c r="E36" s="230"/>
      <c r="F36" s="231"/>
      <c r="G36" s="231"/>
      <c r="H36" s="231"/>
      <c r="I36" s="231"/>
      <c r="J36" s="231"/>
      <c r="K36" s="231"/>
      <c r="L36" s="230"/>
      <c r="M36" s="230"/>
      <c r="N36" s="230"/>
      <c r="O36" s="230"/>
      <c r="P36" s="230"/>
      <c r="Q36" s="230"/>
      <c r="R36" s="230"/>
      <c r="S36" s="230"/>
      <c r="T36" s="230"/>
      <c r="U36" s="230"/>
      <c r="V36" s="230"/>
      <c r="W36" s="230"/>
    </row>
    <row r="37" spans="1:23" x14ac:dyDescent="0.3">
      <c r="A37" s="224" t="s">
        <v>427</v>
      </c>
      <c r="D37" s="230"/>
      <c r="E37" s="230"/>
      <c r="F37" s="231"/>
      <c r="G37" s="231"/>
      <c r="H37" s="231"/>
      <c r="I37" s="231"/>
      <c r="J37" s="231"/>
      <c r="K37" s="231"/>
      <c r="L37" s="230"/>
      <c r="M37" s="230"/>
      <c r="N37" s="230"/>
      <c r="O37" s="230"/>
      <c r="P37" s="230"/>
      <c r="Q37" s="230"/>
      <c r="R37" s="230"/>
      <c r="S37" s="230"/>
      <c r="T37" s="230"/>
      <c r="U37" s="230"/>
      <c r="V37" s="230"/>
      <c r="W37" s="230"/>
    </row>
    <row r="38" spans="1:23" x14ac:dyDescent="0.3">
      <c r="A38" s="9"/>
      <c r="B38" s="9"/>
      <c r="C38" s="9"/>
      <c r="D38" s="366" t="s">
        <v>95</v>
      </c>
      <c r="E38" s="366"/>
      <c r="F38" s="366"/>
      <c r="G38" s="366"/>
      <c r="H38" s="366"/>
      <c r="I38" s="366"/>
      <c r="J38" s="366"/>
      <c r="K38" s="366"/>
      <c r="L38" s="366"/>
      <c r="M38" s="366"/>
      <c r="N38" s="366"/>
      <c r="O38" s="366"/>
      <c r="P38" s="366"/>
      <c r="Q38" s="366"/>
      <c r="R38" s="366"/>
      <c r="S38" s="366"/>
      <c r="T38" s="366"/>
      <c r="U38" s="366"/>
      <c r="V38" s="366"/>
      <c r="W38" s="366"/>
    </row>
    <row r="39" spans="1:23" ht="15" customHeight="1" x14ac:dyDescent="0.3">
      <c r="A39" s="9"/>
      <c r="B39" s="9"/>
      <c r="C39" s="9"/>
      <c r="D39" s="367" t="s">
        <v>360</v>
      </c>
      <c r="E39" s="367"/>
      <c r="F39" s="368" t="s">
        <v>425</v>
      </c>
      <c r="G39" s="368"/>
      <c r="H39" s="368"/>
      <c r="I39" s="368"/>
      <c r="J39" s="368"/>
      <c r="K39" s="368"/>
      <c r="L39" s="368" t="s">
        <v>96</v>
      </c>
      <c r="M39" s="368"/>
      <c r="N39" s="368"/>
      <c r="O39" s="368"/>
      <c r="P39" s="368"/>
      <c r="Q39" s="368"/>
      <c r="R39" s="367" t="s">
        <v>426</v>
      </c>
      <c r="S39" s="367"/>
      <c r="T39" s="367"/>
      <c r="U39" s="367"/>
      <c r="V39" s="367"/>
      <c r="W39" s="367"/>
    </row>
    <row r="40" spans="1:23" x14ac:dyDescent="0.3">
      <c r="A40" s="9"/>
      <c r="B40" s="9"/>
      <c r="C40" s="9"/>
      <c r="D40" s="367"/>
      <c r="E40" s="367"/>
      <c r="F40" s="368"/>
      <c r="G40" s="368"/>
      <c r="H40" s="368"/>
      <c r="I40" s="368"/>
      <c r="J40" s="368"/>
      <c r="K40" s="368"/>
      <c r="L40" s="368"/>
      <c r="M40" s="368"/>
      <c r="N40" s="368"/>
      <c r="O40" s="368"/>
      <c r="P40" s="368"/>
      <c r="Q40" s="368"/>
      <c r="R40" s="367"/>
      <c r="S40" s="367"/>
      <c r="T40" s="367"/>
      <c r="U40" s="367"/>
      <c r="V40" s="367"/>
      <c r="W40" s="367"/>
    </row>
    <row r="41" spans="1:23" x14ac:dyDescent="0.3">
      <c r="A41" s="9"/>
      <c r="B41" s="9"/>
      <c r="C41" s="9"/>
      <c r="D41" s="369" t="str">
        <f>Calibración!G37</f>
        <v>kPa</v>
      </c>
      <c r="E41" s="369"/>
      <c r="F41" s="370" t="str">
        <f>Calibración!H37</f>
        <v>kPa</v>
      </c>
      <c r="G41" s="371"/>
      <c r="H41" s="371"/>
      <c r="I41" s="371"/>
      <c r="J41" s="371"/>
      <c r="K41" s="372"/>
      <c r="L41" s="369" t="str">
        <f>Calibración!I37</f>
        <v>kPa</v>
      </c>
      <c r="M41" s="369"/>
      <c r="N41" s="369"/>
      <c r="O41" s="369"/>
      <c r="P41" s="369"/>
      <c r="Q41" s="369"/>
      <c r="R41" s="369" t="str">
        <f>Calibración!J37</f>
        <v>kPa</v>
      </c>
      <c r="S41" s="369"/>
      <c r="T41" s="369"/>
      <c r="U41" s="369"/>
      <c r="V41" s="369"/>
      <c r="W41" s="369"/>
    </row>
    <row r="42" spans="1:23" x14ac:dyDescent="0.3">
      <c r="A42" s="9"/>
      <c r="B42" s="9"/>
      <c r="C42" s="9"/>
      <c r="D42" s="358" t="str">
        <f ca="1">Calibración!G38</f>
        <v/>
      </c>
      <c r="E42" s="358"/>
      <c r="F42" s="359" t="str">
        <f ca="1">Calibración!H38</f>
        <v/>
      </c>
      <c r="G42" s="360"/>
      <c r="H42" s="360"/>
      <c r="I42" s="360"/>
      <c r="J42" s="360"/>
      <c r="K42" s="361"/>
      <c r="L42" s="358" t="str">
        <f ca="1">Calibración!I38</f>
        <v/>
      </c>
      <c r="M42" s="358"/>
      <c r="N42" s="358"/>
      <c r="O42" s="358"/>
      <c r="P42" s="358"/>
      <c r="Q42" s="358"/>
      <c r="R42" s="358" t="str">
        <f ca="1">Calibración!J38</f>
        <v/>
      </c>
      <c r="S42" s="358"/>
      <c r="T42" s="358"/>
      <c r="U42" s="358"/>
      <c r="V42" s="358"/>
      <c r="W42" s="358"/>
    </row>
    <row r="43" spans="1:23" x14ac:dyDescent="0.3">
      <c r="A43" s="9"/>
      <c r="B43" s="9"/>
      <c r="C43" s="9"/>
      <c r="D43" s="358" t="str">
        <f ca="1">Calibración!G39</f>
        <v/>
      </c>
      <c r="E43" s="358"/>
      <c r="F43" s="359" t="str">
        <f ca="1">Calibración!H39</f>
        <v/>
      </c>
      <c r="G43" s="360"/>
      <c r="H43" s="360"/>
      <c r="I43" s="360"/>
      <c r="J43" s="360"/>
      <c r="K43" s="361"/>
      <c r="L43" s="358" t="str">
        <f ca="1">Calibración!I39</f>
        <v/>
      </c>
      <c r="M43" s="358"/>
      <c r="N43" s="358"/>
      <c r="O43" s="358"/>
      <c r="P43" s="358"/>
      <c r="Q43" s="358"/>
      <c r="R43" s="358" t="str">
        <f ca="1">Calibración!J39</f>
        <v/>
      </c>
      <c r="S43" s="358"/>
      <c r="T43" s="358"/>
      <c r="U43" s="358"/>
      <c r="V43" s="358"/>
      <c r="W43" s="358"/>
    </row>
    <row r="44" spans="1:23" x14ac:dyDescent="0.3">
      <c r="A44" s="9"/>
      <c r="B44" s="9"/>
      <c r="C44" s="9"/>
      <c r="D44" s="358" t="str">
        <f ca="1">Calibración!G40</f>
        <v/>
      </c>
      <c r="E44" s="358"/>
      <c r="F44" s="359" t="str">
        <f ca="1">Calibración!H40</f>
        <v/>
      </c>
      <c r="G44" s="360"/>
      <c r="H44" s="360"/>
      <c r="I44" s="360"/>
      <c r="J44" s="360"/>
      <c r="K44" s="361"/>
      <c r="L44" s="358" t="str">
        <f ca="1">Calibración!I40</f>
        <v/>
      </c>
      <c r="M44" s="358"/>
      <c r="N44" s="358"/>
      <c r="O44" s="358"/>
      <c r="P44" s="358"/>
      <c r="Q44" s="358"/>
      <c r="R44" s="358" t="str">
        <f ca="1">Calibración!J40</f>
        <v/>
      </c>
      <c r="S44" s="358"/>
      <c r="T44" s="358"/>
      <c r="U44" s="358"/>
      <c r="V44" s="358"/>
      <c r="W44" s="358"/>
    </row>
    <row r="45" spans="1:23" x14ac:dyDescent="0.3">
      <c r="A45" s="9"/>
      <c r="B45" s="9"/>
      <c r="C45" s="9"/>
      <c r="D45" s="358" t="str">
        <f ca="1">Calibración!G41</f>
        <v/>
      </c>
      <c r="E45" s="358"/>
      <c r="F45" s="359" t="str">
        <f ca="1">Calibración!H41</f>
        <v/>
      </c>
      <c r="G45" s="360"/>
      <c r="H45" s="360"/>
      <c r="I45" s="360"/>
      <c r="J45" s="360"/>
      <c r="K45" s="361"/>
      <c r="L45" s="358" t="str">
        <f ca="1">Calibración!I41</f>
        <v/>
      </c>
      <c r="M45" s="358"/>
      <c r="N45" s="358"/>
      <c r="O45" s="358"/>
      <c r="P45" s="358"/>
      <c r="Q45" s="358"/>
      <c r="R45" s="358" t="str">
        <f ca="1">Calibración!J41</f>
        <v/>
      </c>
      <c r="S45" s="358"/>
      <c r="T45" s="358"/>
      <c r="U45" s="358"/>
      <c r="V45" s="358"/>
      <c r="W45" s="358"/>
    </row>
    <row r="46" spans="1:23" x14ac:dyDescent="0.3">
      <c r="A46" s="9"/>
      <c r="B46" s="9"/>
      <c r="C46" s="9"/>
      <c r="D46" s="358" t="str">
        <f ca="1">Calibración!G42</f>
        <v/>
      </c>
      <c r="E46" s="358"/>
      <c r="F46" s="359" t="str">
        <f ca="1">Calibración!H42</f>
        <v/>
      </c>
      <c r="G46" s="360"/>
      <c r="H46" s="360"/>
      <c r="I46" s="360"/>
      <c r="J46" s="360"/>
      <c r="K46" s="361"/>
      <c r="L46" s="358" t="str">
        <f ca="1">Calibración!I42</f>
        <v/>
      </c>
      <c r="M46" s="358"/>
      <c r="N46" s="358"/>
      <c r="O46" s="358"/>
      <c r="P46" s="358"/>
      <c r="Q46" s="358"/>
      <c r="R46" s="358" t="str">
        <f ca="1">Calibración!J42</f>
        <v/>
      </c>
      <c r="S46" s="358"/>
      <c r="T46" s="358"/>
      <c r="U46" s="358"/>
      <c r="V46" s="358"/>
      <c r="W46" s="358"/>
    </row>
    <row r="47" spans="1:23" x14ac:dyDescent="0.3">
      <c r="D47" s="358" t="str">
        <f ca="1">Calibración!G43</f>
        <v/>
      </c>
      <c r="E47" s="358"/>
      <c r="F47" s="359" t="str">
        <f ca="1">Calibración!H43</f>
        <v/>
      </c>
      <c r="G47" s="360"/>
      <c r="H47" s="360"/>
      <c r="I47" s="360"/>
      <c r="J47" s="360"/>
      <c r="K47" s="361"/>
      <c r="L47" s="358" t="str">
        <f ca="1">Calibración!I43</f>
        <v/>
      </c>
      <c r="M47" s="358"/>
      <c r="N47" s="358"/>
      <c r="O47" s="358"/>
      <c r="P47" s="358"/>
      <c r="Q47" s="358"/>
      <c r="R47" s="358" t="str">
        <f ca="1">Calibración!J43</f>
        <v/>
      </c>
      <c r="S47" s="358"/>
      <c r="T47" s="358"/>
      <c r="U47" s="358"/>
      <c r="V47" s="358"/>
      <c r="W47" s="358"/>
    </row>
    <row r="48" spans="1:23" x14ac:dyDescent="0.3">
      <c r="D48" s="358" t="str">
        <f ca="1">Calibración!G44</f>
        <v/>
      </c>
      <c r="E48" s="358"/>
      <c r="F48" s="359" t="str">
        <f ca="1">Calibración!H44</f>
        <v/>
      </c>
      <c r="G48" s="360"/>
      <c r="H48" s="360"/>
      <c r="I48" s="360"/>
      <c r="J48" s="360"/>
      <c r="K48" s="361"/>
      <c r="L48" s="358" t="str">
        <f ca="1">Calibración!I44</f>
        <v/>
      </c>
      <c r="M48" s="358"/>
      <c r="N48" s="358"/>
      <c r="O48" s="358"/>
      <c r="P48" s="358"/>
      <c r="Q48" s="358"/>
      <c r="R48" s="358" t="str">
        <f ca="1">Calibración!J44</f>
        <v/>
      </c>
      <c r="S48" s="358"/>
      <c r="T48" s="358"/>
      <c r="U48" s="358"/>
      <c r="V48" s="358"/>
      <c r="W48" s="358"/>
    </row>
    <row r="49" spans="1:25" x14ac:dyDescent="0.3">
      <c r="O49" s="232"/>
    </row>
    <row r="50" spans="1:25" x14ac:dyDescent="0.3">
      <c r="O50" s="232"/>
    </row>
    <row r="51" spans="1:25" x14ac:dyDescent="0.3">
      <c r="O51" s="232"/>
    </row>
    <row r="52" spans="1:25" x14ac:dyDescent="0.3">
      <c r="O52" s="232"/>
    </row>
    <row r="53" spans="1:25" x14ac:dyDescent="0.3">
      <c r="O53" s="232"/>
    </row>
    <row r="54" spans="1:25" x14ac:dyDescent="0.3">
      <c r="O54" s="232"/>
    </row>
    <row r="55" spans="1:25" x14ac:dyDescent="0.3">
      <c r="O55" s="232"/>
    </row>
    <row r="56" spans="1:25" x14ac:dyDescent="0.3">
      <c r="O56" s="232"/>
    </row>
    <row r="57" spans="1:25" x14ac:dyDescent="0.3">
      <c r="A57" s="224" t="s">
        <v>411</v>
      </c>
      <c r="B57" s="9"/>
      <c r="C57" s="225"/>
      <c r="D57" s="226"/>
      <c r="E57" s="226"/>
      <c r="F57" s="226"/>
      <c r="G57" s="9"/>
      <c r="H57" s="9"/>
      <c r="I57" s="9"/>
      <c r="J57" s="9"/>
      <c r="K57" s="9"/>
      <c r="L57" s="9"/>
      <c r="M57" s="9"/>
      <c r="N57" s="362" t="str">
        <f>N8</f>
        <v>NI-MC-P-XXX-ZZZZ</v>
      </c>
      <c r="O57" s="362"/>
      <c r="P57" s="362"/>
      <c r="Q57" s="362"/>
      <c r="R57" s="362"/>
      <c r="S57" s="362"/>
      <c r="T57" s="362"/>
      <c r="U57" s="362"/>
      <c r="V57" s="362"/>
      <c r="W57" s="362"/>
      <c r="X57" s="362"/>
    </row>
    <row r="58" spans="1:25" x14ac:dyDescent="0.3">
      <c r="O58" s="232"/>
    </row>
    <row r="59" spans="1:25" x14ac:dyDescent="0.3">
      <c r="A59" s="224" t="s">
        <v>428</v>
      </c>
      <c r="B59" s="9"/>
      <c r="C59" s="9"/>
      <c r="D59" s="9"/>
      <c r="E59" s="9"/>
      <c r="F59" s="233" t="s">
        <v>99</v>
      </c>
      <c r="H59" s="9"/>
      <c r="I59" s="9"/>
      <c r="J59" s="233" t="str">
        <f>General!I4</f>
        <v>NI-MCPPT-06</v>
      </c>
      <c r="L59" s="9"/>
      <c r="O59" s="224" t="s">
        <v>429</v>
      </c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x14ac:dyDescent="0.3">
      <c r="A60" s="234"/>
      <c r="B60" s="363" t="s">
        <v>430</v>
      </c>
      <c r="C60" s="363"/>
      <c r="D60" s="363"/>
      <c r="E60" s="235" t="str">
        <f>CertTempC</f>
        <v/>
      </c>
      <c r="F60" s="236" t="s">
        <v>431</v>
      </c>
      <c r="G60" s="237">
        <f>CertTempIncerti</f>
        <v>0.42</v>
      </c>
      <c r="H60" s="234" t="s">
        <v>97</v>
      </c>
      <c r="I60" s="9"/>
      <c r="J60" s="9"/>
      <c r="K60" s="364"/>
      <c r="L60" s="364"/>
      <c r="M60" s="9"/>
      <c r="N60" s="9"/>
      <c r="O60" s="9"/>
      <c r="P60" s="234" t="s">
        <v>469</v>
      </c>
      <c r="Q60" s="9"/>
      <c r="R60" s="9"/>
      <c r="S60" s="9"/>
      <c r="T60" s="365" t="str">
        <f>General!I18</f>
        <v/>
      </c>
      <c r="U60" s="365"/>
      <c r="V60" s="236" t="s">
        <v>432</v>
      </c>
      <c r="W60" s="235">
        <f>CertPresIncert</f>
        <v>2.4700000000000002</v>
      </c>
      <c r="X60" s="9"/>
    </row>
    <row r="61" spans="1:25" x14ac:dyDescent="0.3">
      <c r="A61" s="234"/>
      <c r="B61" s="234" t="s">
        <v>433</v>
      </c>
      <c r="C61" s="234"/>
      <c r="D61" s="234"/>
      <c r="E61" s="235" t="str">
        <f>CertHR</f>
        <v/>
      </c>
      <c r="F61" s="236" t="s">
        <v>434</v>
      </c>
      <c r="G61" s="237">
        <f>CertHRIncerti</f>
        <v>1.3</v>
      </c>
      <c r="H61" s="236" t="s">
        <v>435</v>
      </c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5" x14ac:dyDescent="0.3">
      <c r="A62" s="234"/>
      <c r="B62" s="234"/>
      <c r="C62" s="234"/>
      <c r="D62" s="234"/>
      <c r="E62" s="235"/>
      <c r="F62" s="236"/>
      <c r="G62" s="237"/>
      <c r="H62" s="236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5" x14ac:dyDescent="0.3">
      <c r="A63" s="224" t="s">
        <v>436</v>
      </c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</row>
    <row r="64" spans="1:25" ht="15" customHeight="1" x14ac:dyDescent="0.3">
      <c r="A64" s="351" t="s">
        <v>715</v>
      </c>
      <c r="B64" s="351"/>
      <c r="C64" s="351"/>
      <c r="D64" s="351"/>
      <c r="E64" s="351"/>
      <c r="F64" s="351"/>
      <c r="G64" s="351"/>
      <c r="H64" s="351"/>
      <c r="I64" s="351"/>
      <c r="J64" s="351"/>
      <c r="K64" s="351"/>
      <c r="L64" s="351"/>
      <c r="M64" s="351"/>
      <c r="N64" s="351"/>
      <c r="O64" s="351"/>
      <c r="P64" s="351"/>
      <c r="Q64" s="351"/>
      <c r="R64" s="351"/>
      <c r="S64" s="351"/>
      <c r="T64" s="351"/>
      <c r="U64" s="351"/>
      <c r="V64" s="351"/>
      <c r="W64" s="351"/>
      <c r="X64" s="351"/>
    </row>
    <row r="65" spans="1:24" ht="15" customHeight="1" x14ac:dyDescent="0.3">
      <c r="A65" s="351"/>
      <c r="B65" s="351"/>
      <c r="C65" s="351"/>
      <c r="D65" s="351"/>
      <c r="E65" s="351"/>
      <c r="F65" s="351"/>
      <c r="G65" s="351"/>
      <c r="H65" s="351"/>
      <c r="I65" s="351"/>
      <c r="J65" s="351"/>
      <c r="K65" s="351"/>
      <c r="L65" s="351"/>
      <c r="M65" s="351"/>
      <c r="N65" s="351"/>
      <c r="O65" s="351"/>
      <c r="P65" s="351"/>
      <c r="Q65" s="351"/>
      <c r="R65" s="351"/>
      <c r="S65" s="351"/>
      <c r="T65" s="351"/>
      <c r="U65" s="351"/>
      <c r="V65" s="351"/>
      <c r="W65" s="351"/>
      <c r="X65" s="351"/>
    </row>
    <row r="66" spans="1:24" x14ac:dyDescent="0.3">
      <c r="B66" s="14"/>
      <c r="C66" s="14"/>
      <c r="D66" s="14"/>
      <c r="E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  <c r="W66" s="14"/>
    </row>
    <row r="67" spans="1:24" ht="15" customHeight="1" x14ac:dyDescent="0.3">
      <c r="A67" s="224" t="s">
        <v>437</v>
      </c>
      <c r="B67" s="14"/>
      <c r="C67" s="14"/>
      <c r="D67" s="14"/>
      <c r="E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</row>
    <row r="68" spans="1:24" x14ac:dyDescent="0.3">
      <c r="A68" s="351" t="s">
        <v>438</v>
      </c>
      <c r="B68" s="351"/>
      <c r="C68" s="351"/>
      <c r="D68" s="351"/>
      <c r="E68" s="351"/>
      <c r="F68" s="351"/>
      <c r="G68" s="351"/>
      <c r="H68" s="351"/>
      <c r="I68" s="351"/>
      <c r="J68" s="351"/>
      <c r="K68" s="351"/>
      <c r="L68" s="351"/>
      <c r="M68" s="351"/>
      <c r="N68" s="351"/>
      <c r="O68" s="351"/>
      <c r="P68" s="351"/>
      <c r="Q68" s="351"/>
      <c r="R68" s="351"/>
      <c r="S68" s="351"/>
      <c r="T68" s="351"/>
      <c r="U68" s="351"/>
      <c r="V68" s="351"/>
      <c r="W68" s="351"/>
      <c r="X68" s="351"/>
    </row>
    <row r="69" spans="1:24" ht="15" customHeight="1" x14ac:dyDescent="0.3">
      <c r="A69" s="351"/>
      <c r="B69" s="351"/>
      <c r="C69" s="351"/>
      <c r="D69" s="351"/>
      <c r="E69" s="351"/>
      <c r="F69" s="351"/>
      <c r="G69" s="351"/>
      <c r="H69" s="351"/>
      <c r="I69" s="351"/>
      <c r="J69" s="351"/>
      <c r="K69" s="351"/>
      <c r="L69" s="351"/>
      <c r="M69" s="351"/>
      <c r="N69" s="351"/>
      <c r="O69" s="351"/>
      <c r="P69" s="351"/>
      <c r="Q69" s="351"/>
      <c r="R69" s="351"/>
      <c r="S69" s="351"/>
      <c r="T69" s="351"/>
      <c r="U69" s="351"/>
      <c r="V69" s="351"/>
      <c r="W69" s="351"/>
      <c r="X69" s="351"/>
    </row>
    <row r="70" spans="1:24" ht="15" customHeight="1" x14ac:dyDescent="0.3">
      <c r="A70" s="351"/>
      <c r="B70" s="351"/>
      <c r="C70" s="351"/>
      <c r="D70" s="351"/>
      <c r="E70" s="351"/>
      <c r="F70" s="351"/>
      <c r="G70" s="351"/>
      <c r="H70" s="351"/>
      <c r="I70" s="351"/>
      <c r="J70" s="351"/>
      <c r="K70" s="351"/>
      <c r="L70" s="351"/>
      <c r="M70" s="351"/>
      <c r="N70" s="351"/>
      <c r="O70" s="351"/>
      <c r="P70" s="351"/>
      <c r="Q70" s="351"/>
      <c r="R70" s="351"/>
      <c r="S70" s="351"/>
      <c r="T70" s="351"/>
      <c r="U70" s="351"/>
      <c r="V70" s="351"/>
      <c r="W70" s="351"/>
      <c r="X70" s="351"/>
    </row>
    <row r="71" spans="1:24" x14ac:dyDescent="0.3">
      <c r="A71" s="351"/>
      <c r="B71" s="351"/>
      <c r="C71" s="351"/>
      <c r="D71" s="351"/>
      <c r="E71" s="351"/>
      <c r="F71" s="351"/>
      <c r="G71" s="351"/>
      <c r="H71" s="351"/>
      <c r="I71" s="351"/>
      <c r="J71" s="351"/>
      <c r="K71" s="351"/>
      <c r="L71" s="351"/>
      <c r="M71" s="351"/>
      <c r="N71" s="351"/>
      <c r="O71" s="351"/>
      <c r="P71" s="351"/>
      <c r="Q71" s="351"/>
      <c r="R71" s="351"/>
      <c r="S71" s="351"/>
      <c r="T71" s="351"/>
      <c r="U71" s="351"/>
      <c r="V71" s="351"/>
      <c r="W71" s="351"/>
      <c r="X71" s="351"/>
    </row>
    <row r="72" spans="1:24" x14ac:dyDescent="0.3">
      <c r="A72" s="351"/>
      <c r="B72" s="351"/>
      <c r="C72" s="351"/>
      <c r="D72" s="351"/>
      <c r="E72" s="351"/>
      <c r="F72" s="351"/>
      <c r="G72" s="351"/>
      <c r="H72" s="351"/>
      <c r="I72" s="351"/>
      <c r="J72" s="351"/>
      <c r="K72" s="351"/>
      <c r="L72" s="351"/>
      <c r="M72" s="351"/>
      <c r="N72" s="351"/>
      <c r="O72" s="351"/>
      <c r="P72" s="351"/>
      <c r="Q72" s="351"/>
      <c r="R72" s="351"/>
      <c r="S72" s="351"/>
      <c r="T72" s="351"/>
      <c r="U72" s="351"/>
      <c r="V72" s="351"/>
      <c r="W72" s="351"/>
      <c r="X72" s="351"/>
    </row>
    <row r="73" spans="1:24" x14ac:dyDescent="0.3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</row>
    <row r="74" spans="1:24" x14ac:dyDescent="0.3">
      <c r="A74" s="224" t="s">
        <v>439</v>
      </c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</row>
    <row r="75" spans="1:24" ht="15" customHeight="1" x14ac:dyDescent="0.3">
      <c r="A75" s="352" t="s">
        <v>98</v>
      </c>
      <c r="B75" s="353"/>
      <c r="C75" s="353"/>
      <c r="D75" s="353"/>
      <c r="E75" s="353"/>
      <c r="F75" s="354"/>
      <c r="G75" s="352" t="s">
        <v>4</v>
      </c>
      <c r="H75" s="353"/>
      <c r="I75" s="354"/>
      <c r="J75" s="355" t="s">
        <v>101</v>
      </c>
      <c r="K75" s="356"/>
      <c r="L75" s="356"/>
      <c r="M75" s="356"/>
      <c r="N75" s="357"/>
      <c r="O75" s="352" t="s">
        <v>440</v>
      </c>
      <c r="P75" s="353"/>
      <c r="Q75" s="353"/>
      <c r="R75" s="353"/>
      <c r="S75" s="353"/>
      <c r="T75" s="354"/>
      <c r="U75" s="355" t="s">
        <v>441</v>
      </c>
      <c r="V75" s="356"/>
      <c r="W75" s="356"/>
      <c r="X75" s="357"/>
    </row>
    <row r="76" spans="1:24" x14ac:dyDescent="0.3">
      <c r="A76" s="345" t="s">
        <v>709</v>
      </c>
      <c r="B76" s="346" t="s">
        <v>449</v>
      </c>
      <c r="C76" s="346" t="s">
        <v>449</v>
      </c>
      <c r="D76" s="346" t="s">
        <v>449</v>
      </c>
      <c r="E76" s="346" t="s">
        <v>449</v>
      </c>
      <c r="F76" s="347" t="s">
        <v>449</v>
      </c>
      <c r="G76" s="345" t="s">
        <v>477</v>
      </c>
      <c r="H76" s="346" t="s">
        <v>294</v>
      </c>
      <c r="I76" s="347" t="s">
        <v>294</v>
      </c>
      <c r="J76" s="348" t="s">
        <v>700</v>
      </c>
      <c r="K76" s="349" t="s">
        <v>453</v>
      </c>
      <c r="L76" s="349">
        <v>43393</v>
      </c>
      <c r="M76" s="349" t="s">
        <v>466</v>
      </c>
      <c r="N76" s="350" t="s">
        <v>453</v>
      </c>
      <c r="O76" s="345" t="s">
        <v>453</v>
      </c>
      <c r="P76" s="346" t="s">
        <v>453</v>
      </c>
      <c r="Q76" s="346" t="s">
        <v>453</v>
      </c>
      <c r="R76" s="346" t="s">
        <v>453</v>
      </c>
      <c r="S76" s="346" t="s">
        <v>453</v>
      </c>
      <c r="T76" s="347" t="s">
        <v>453</v>
      </c>
      <c r="U76" s="348">
        <v>44878</v>
      </c>
      <c r="V76" s="349" t="s">
        <v>466</v>
      </c>
      <c r="W76" s="349" t="s">
        <v>453</v>
      </c>
      <c r="X76" s="350">
        <v>43393</v>
      </c>
    </row>
    <row r="77" spans="1:24" ht="15" customHeight="1" x14ac:dyDescent="0.3">
      <c r="A77" s="345" t="s">
        <v>710</v>
      </c>
      <c r="B77" s="346"/>
      <c r="C77" s="346"/>
      <c r="D77" s="346"/>
      <c r="E77" s="346"/>
      <c r="F77" s="347"/>
      <c r="G77" s="345" t="s">
        <v>311</v>
      </c>
      <c r="H77" s="346" t="s">
        <v>294</v>
      </c>
      <c r="I77" s="347" t="s">
        <v>294</v>
      </c>
      <c r="J77" s="348" t="s">
        <v>714</v>
      </c>
      <c r="K77" s="349" t="s">
        <v>453</v>
      </c>
      <c r="L77" s="349">
        <v>43394</v>
      </c>
      <c r="M77" s="349" t="s">
        <v>471</v>
      </c>
      <c r="N77" s="350" t="s">
        <v>453</v>
      </c>
      <c r="O77" s="345" t="s">
        <v>453</v>
      </c>
      <c r="P77" s="346" t="s">
        <v>453</v>
      </c>
      <c r="Q77" s="346" t="s">
        <v>453</v>
      </c>
      <c r="R77" s="346" t="s">
        <v>453</v>
      </c>
      <c r="S77" s="346" t="s">
        <v>453</v>
      </c>
      <c r="T77" s="347" t="s">
        <v>453</v>
      </c>
      <c r="U77" s="348">
        <v>44878</v>
      </c>
      <c r="V77" s="349" t="s">
        <v>471</v>
      </c>
      <c r="W77" s="349" t="s">
        <v>453</v>
      </c>
      <c r="X77" s="350">
        <v>43394</v>
      </c>
    </row>
    <row r="78" spans="1:24" ht="15" hidden="1" customHeight="1" x14ac:dyDescent="0.3">
      <c r="A78" s="345"/>
      <c r="B78" s="346"/>
      <c r="C78" s="346"/>
      <c r="D78" s="346"/>
      <c r="E78" s="346"/>
      <c r="F78" s="347"/>
      <c r="G78" s="345"/>
      <c r="H78" s="346"/>
      <c r="I78" s="347"/>
      <c r="J78" s="348"/>
      <c r="K78" s="349"/>
      <c r="L78" s="349"/>
      <c r="M78" s="349"/>
      <c r="N78" s="350"/>
      <c r="O78" s="345"/>
      <c r="P78" s="346"/>
      <c r="Q78" s="346"/>
      <c r="R78" s="346"/>
      <c r="S78" s="346"/>
      <c r="T78" s="347"/>
      <c r="U78" s="348"/>
      <c r="V78" s="349"/>
      <c r="W78" s="349"/>
      <c r="X78" s="350"/>
    </row>
    <row r="79" spans="1:24" ht="15" customHeight="1" x14ac:dyDescent="0.3">
      <c r="A79" s="238"/>
      <c r="B79" s="238"/>
      <c r="C79" s="238"/>
      <c r="D79" s="238"/>
      <c r="E79" s="238"/>
      <c r="F79" s="238"/>
      <c r="G79" s="238"/>
      <c r="H79" s="238"/>
      <c r="I79" s="238"/>
      <c r="J79" s="238"/>
      <c r="K79" s="238"/>
      <c r="L79" s="238"/>
      <c r="M79" s="238"/>
      <c r="N79" s="238"/>
      <c r="O79" s="238"/>
      <c r="P79" s="238"/>
      <c r="Q79" s="238"/>
      <c r="R79" s="238"/>
      <c r="S79" s="238"/>
      <c r="T79" s="238"/>
      <c r="U79" s="238"/>
      <c r="V79" s="238"/>
      <c r="W79" s="238"/>
      <c r="X79" s="238"/>
    </row>
    <row r="80" spans="1:24" x14ac:dyDescent="0.3">
      <c r="A80" s="224" t="s">
        <v>442</v>
      </c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</row>
    <row r="81" spans="1:25" x14ac:dyDescent="0.3">
      <c r="A81" s="239" t="s">
        <v>443</v>
      </c>
      <c r="B81" s="9"/>
      <c r="C81" s="14"/>
      <c r="D81" s="14"/>
      <c r="E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9"/>
    </row>
    <row r="82" spans="1:25" x14ac:dyDescent="0.3">
      <c r="A82" s="240" t="s">
        <v>525</v>
      </c>
      <c r="B82" s="9"/>
      <c r="C82" s="14"/>
      <c r="D82" s="14"/>
      <c r="E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9"/>
    </row>
    <row r="83" spans="1:25" ht="14.4" customHeight="1" x14ac:dyDescent="0.3">
      <c r="A83" s="351" t="str">
        <f>IF(Calibración!E10="2",Calibración!BJ6,Calibración!BJ7)</f>
        <v>La indicación de la presión de referencia y del equipo corresponden al promedio de 4 mediciones en 2 ciclos ascendentes y descendentes.</v>
      </c>
      <c r="B83" s="351"/>
      <c r="C83" s="351"/>
      <c r="D83" s="351"/>
      <c r="E83" s="351"/>
      <c r="F83" s="351"/>
      <c r="G83" s="351"/>
      <c r="H83" s="351"/>
      <c r="I83" s="351"/>
      <c r="J83" s="351"/>
      <c r="K83" s="351"/>
      <c r="L83" s="351"/>
      <c r="M83" s="351"/>
      <c r="N83" s="351"/>
      <c r="O83" s="351"/>
      <c r="P83" s="351"/>
      <c r="Q83" s="351"/>
      <c r="R83" s="351"/>
      <c r="S83" s="351"/>
      <c r="T83" s="351"/>
      <c r="U83" s="351"/>
      <c r="V83" s="351"/>
      <c r="W83" s="351"/>
      <c r="X83" s="351"/>
    </row>
    <row r="84" spans="1:25" ht="15" customHeight="1" x14ac:dyDescent="0.3">
      <c r="A84" s="351"/>
      <c r="B84" s="351"/>
      <c r="C84" s="351"/>
      <c r="D84" s="351"/>
      <c r="E84" s="351"/>
      <c r="F84" s="351"/>
      <c r="G84" s="351"/>
      <c r="H84" s="351"/>
      <c r="I84" s="351"/>
      <c r="J84" s="351"/>
      <c r="K84" s="351"/>
      <c r="L84" s="351"/>
      <c r="M84" s="351"/>
      <c r="N84" s="351"/>
      <c r="O84" s="351"/>
      <c r="P84" s="351"/>
      <c r="Q84" s="351"/>
      <c r="R84" s="351"/>
      <c r="S84" s="351"/>
      <c r="T84" s="351"/>
      <c r="U84" s="351"/>
      <c r="V84" s="351"/>
      <c r="W84" s="351"/>
      <c r="X84" s="351"/>
    </row>
    <row r="85" spans="1:25" ht="15" customHeight="1" x14ac:dyDescent="0.3">
      <c r="A85" s="239" t="s">
        <v>444</v>
      </c>
      <c r="B85" s="9"/>
      <c r="C85" s="14"/>
      <c r="D85" s="14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9"/>
    </row>
    <row r="86" spans="1:25" ht="15" customHeight="1" x14ac:dyDescent="0.3">
      <c r="A86" s="239" t="s">
        <v>445</v>
      </c>
      <c r="B86" s="14"/>
      <c r="C86" s="14"/>
      <c r="D86" s="14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9"/>
    </row>
    <row r="87" spans="1:25" x14ac:dyDescent="0.3">
      <c r="A87" s="9" t="s">
        <v>695</v>
      </c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5" x14ac:dyDescent="0.3">
      <c r="A88" s="9" t="s">
        <v>696</v>
      </c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5" x14ac:dyDescent="0.3">
      <c r="A89" s="9" t="str">
        <f>IF(General!F16=General!W124,General!Y131,IF(General!F16=General!W125,General!Y133,IF(General!F16=General!W126,General!Y140,IF(General!F16=General!W127,General!Y121,IF(General!F16=General!W128,General!Y141,IF(General!F16=General!W129,General!Y139,IF(General!F16=General!W130,General!Y125,IF(General!F16=General!W131,General!Y136,IF(General!F16=General!W132,General!Y137,IF(General!F16=General!W133,General!Y138,IF(General!F16=General!W134,General!Y147,IF(General!F16=General!W135,General!Y148,IF(General!F16=General!W136,General!Y134,IF(General!F16=General!W137,General!Y145,IF(General!F16=General!W138,General!Y149)))))))))))))))</f>
        <v>El factor de conversión al SI corresponde a 1 psi = 6,894 757 kPa</v>
      </c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14"/>
      <c r="S89" s="14"/>
      <c r="T89" s="9"/>
      <c r="U89" s="9"/>
      <c r="V89" s="9"/>
      <c r="W89" s="9"/>
      <c r="X89" s="9"/>
    </row>
    <row r="90" spans="1:25" x14ac:dyDescent="0.3">
      <c r="A90" s="240" t="s">
        <v>527</v>
      </c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14"/>
      <c r="S90" s="14"/>
      <c r="T90" s="14"/>
      <c r="U90" s="14"/>
      <c r="V90" s="14"/>
      <c r="W90" s="9"/>
      <c r="X90" s="9"/>
    </row>
    <row r="93" spans="1:25" x14ac:dyDescent="0.3">
      <c r="Y93" s="9"/>
    </row>
    <row r="94" spans="1:25" x14ac:dyDescent="0.3">
      <c r="I94" s="341" t="s">
        <v>30</v>
      </c>
      <c r="J94" s="341"/>
      <c r="K94" s="341"/>
      <c r="L94" s="341"/>
      <c r="M94" s="341"/>
      <c r="N94" s="341"/>
      <c r="O94" s="341"/>
      <c r="P94" s="341"/>
      <c r="Y94" s="9"/>
    </row>
    <row r="95" spans="1:25" x14ac:dyDescent="0.3">
      <c r="I95" s="342" t="str">
        <f>IF(I94=[5]Generales!$F$1,[5]Generales!$F$6,[5]Generales!$F$5)</f>
        <v>Director Técnico</v>
      </c>
      <c r="J95" s="342"/>
      <c r="K95" s="342"/>
      <c r="L95" s="342"/>
      <c r="M95" s="342"/>
      <c r="N95" s="342"/>
      <c r="O95" s="342"/>
      <c r="P95" s="342"/>
    </row>
    <row r="96" spans="1:25" x14ac:dyDescent="0.3">
      <c r="I96" s="343" t="s">
        <v>446</v>
      </c>
      <c r="J96" s="343"/>
      <c r="K96" s="343"/>
      <c r="L96" s="343"/>
      <c r="M96" s="343"/>
      <c r="N96" s="343"/>
      <c r="O96" s="343"/>
      <c r="P96" s="343"/>
    </row>
    <row r="98" spans="9:16" x14ac:dyDescent="0.3">
      <c r="I98" s="344" t="s">
        <v>447</v>
      </c>
      <c r="J98" s="344"/>
      <c r="K98" s="344"/>
      <c r="L98" s="344"/>
      <c r="M98" s="344"/>
      <c r="N98" s="344"/>
      <c r="O98" s="344"/>
      <c r="P98" s="344"/>
    </row>
  </sheetData>
  <mergeCells count="120">
    <mergeCell ref="N15:X15"/>
    <mergeCell ref="N16:X16"/>
    <mergeCell ref="N18:X18"/>
    <mergeCell ref="N19:X19"/>
    <mergeCell ref="N20:X20"/>
    <mergeCell ref="N8:X8"/>
    <mergeCell ref="N9:X9"/>
    <mergeCell ref="N10:X10"/>
    <mergeCell ref="N12:X12"/>
    <mergeCell ref="N13:X13"/>
    <mergeCell ref="N14:X14"/>
    <mergeCell ref="N17:O17"/>
    <mergeCell ref="P17:Q17"/>
    <mergeCell ref="N11:Q11"/>
    <mergeCell ref="D28:E28"/>
    <mergeCell ref="F28:K28"/>
    <mergeCell ref="L28:Q28"/>
    <mergeCell ref="R28:W28"/>
    <mergeCell ref="D29:E29"/>
    <mergeCell ref="F29:K29"/>
    <mergeCell ref="L29:Q29"/>
    <mergeCell ref="R29:W29"/>
    <mergeCell ref="N21:X22"/>
    <mergeCell ref="D25:W25"/>
    <mergeCell ref="D26:E27"/>
    <mergeCell ref="F26:K27"/>
    <mergeCell ref="L26:Q27"/>
    <mergeCell ref="R26:W27"/>
    <mergeCell ref="D32:E32"/>
    <mergeCell ref="F32:K32"/>
    <mergeCell ref="L32:Q32"/>
    <mergeCell ref="R32:W32"/>
    <mergeCell ref="D33:E33"/>
    <mergeCell ref="F33:K33"/>
    <mergeCell ref="L33:Q33"/>
    <mergeCell ref="R33:W33"/>
    <mergeCell ref="D30:E30"/>
    <mergeCell ref="F30:K30"/>
    <mergeCell ref="L30:Q30"/>
    <mergeCell ref="R30:W30"/>
    <mergeCell ref="D31:E31"/>
    <mergeCell ref="F31:K31"/>
    <mergeCell ref="L31:Q31"/>
    <mergeCell ref="R31:W31"/>
    <mergeCell ref="D38:W38"/>
    <mergeCell ref="D39:E40"/>
    <mergeCell ref="F39:K40"/>
    <mergeCell ref="L39:Q40"/>
    <mergeCell ref="R39:W40"/>
    <mergeCell ref="D41:E41"/>
    <mergeCell ref="F41:K41"/>
    <mergeCell ref="L41:Q41"/>
    <mergeCell ref="R41:W41"/>
    <mergeCell ref="A64:X65"/>
    <mergeCell ref="A68:X72"/>
    <mergeCell ref="A75:F75"/>
    <mergeCell ref="G75:I75"/>
    <mergeCell ref="J75:N75"/>
    <mergeCell ref="O75:T75"/>
    <mergeCell ref="U75:X75"/>
    <mergeCell ref="D46:E46"/>
    <mergeCell ref="F46:K46"/>
    <mergeCell ref="L46:Q46"/>
    <mergeCell ref="R46:W46"/>
    <mergeCell ref="B60:D60"/>
    <mergeCell ref="K60:L60"/>
    <mergeCell ref="T60:U60"/>
    <mergeCell ref="F45:K45"/>
    <mergeCell ref="L45:Q45"/>
    <mergeCell ref="R45:W45"/>
    <mergeCell ref="L42:Q42"/>
    <mergeCell ref="R42:W42"/>
    <mergeCell ref="D43:E43"/>
    <mergeCell ref="F43:K43"/>
    <mergeCell ref="L43:Q43"/>
    <mergeCell ref="R43:W43"/>
    <mergeCell ref="I94:P94"/>
    <mergeCell ref="I95:P95"/>
    <mergeCell ref="I96:P96"/>
    <mergeCell ref="I98:P98"/>
    <mergeCell ref="A83:X84"/>
    <mergeCell ref="A76:F76"/>
    <mergeCell ref="G76:I76"/>
    <mergeCell ref="J76:N76"/>
    <mergeCell ref="O76:T76"/>
    <mergeCell ref="U76:X76"/>
    <mergeCell ref="A77:F77"/>
    <mergeCell ref="G77:I77"/>
    <mergeCell ref="J77:N77"/>
    <mergeCell ref="O77:T77"/>
    <mergeCell ref="U77:X77"/>
    <mergeCell ref="A78:F78"/>
    <mergeCell ref="G78:I78"/>
    <mergeCell ref="J78:N78"/>
    <mergeCell ref="O78:T78"/>
    <mergeCell ref="U78:X78"/>
    <mergeCell ref="D34:E34"/>
    <mergeCell ref="F34:K34"/>
    <mergeCell ref="L34:Q34"/>
    <mergeCell ref="R34:W34"/>
    <mergeCell ref="D35:E35"/>
    <mergeCell ref="F35:K35"/>
    <mergeCell ref="L35:Q35"/>
    <mergeCell ref="R35:W35"/>
    <mergeCell ref="N57:X57"/>
    <mergeCell ref="D47:E47"/>
    <mergeCell ref="F47:K47"/>
    <mergeCell ref="L47:Q47"/>
    <mergeCell ref="R47:W47"/>
    <mergeCell ref="D48:E48"/>
    <mergeCell ref="F48:K48"/>
    <mergeCell ref="L48:Q48"/>
    <mergeCell ref="R48:W48"/>
    <mergeCell ref="D42:E42"/>
    <mergeCell ref="F42:K42"/>
    <mergeCell ref="D44:E44"/>
    <mergeCell ref="F44:K44"/>
    <mergeCell ref="L44:Q44"/>
    <mergeCell ref="R44:W44"/>
    <mergeCell ref="D45:E45"/>
  </mergeCells>
  <conditionalFormatting sqref="A87">
    <cfRule type="cellIs" priority="1" operator="equal">
      <formula>$D$25</formula>
    </cfRule>
  </conditionalFormatting>
  <conditionalFormatting sqref="A88">
    <cfRule type="cellIs" priority="2" operator="equal">
      <formula>$F$27</formula>
    </cfRule>
  </conditionalFormatting>
  <printOptions horizontalCentered="1"/>
  <pageMargins left="0.51" right="0.51" top="0.51" bottom="0.51" header="0" footer="0.31"/>
  <pageSetup orientation="portrait" verticalDpi="4294967293" r:id="rId1"/>
  <headerFooter>
    <oddHeader>&amp;C
&amp;G</oddHeader>
    <oddFooter xml:space="preserve">&amp;C&amp;G&amp;R&amp;"Arial,Regular"&amp;7Página &amp;Pde&amp;N&amp;8
</oddFooter>
  </headerFooter>
  <legacyDrawingHF r:id="rId2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 xr:uid="{00000000-0002-0000-0500-000000000000}">
          <x14:formula1>
            <xm:f>'F:\SGC Vigente 2018-07-14\Clientes\Certificados\2018\Dentro de alcance\Presión\[NI-R02-MCIT-P-01 Hoja electrónica para procesamiento de datos manómetros y vacuómetros v2 2018-03-11.xlsx]Generales'!#REF!</xm:f>
          </x14:formula1>
          <xm:sqref>I94:P94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H29"/>
  <sheetViews>
    <sheetView zoomScale="85" zoomScaleNormal="85" workbookViewId="0">
      <selection activeCell="F25" sqref="F25"/>
    </sheetView>
  </sheetViews>
  <sheetFormatPr baseColWidth="10" defaultColWidth="9.109375" defaultRowHeight="14.4" x14ac:dyDescent="0.3"/>
  <cols>
    <col min="6" max="6" width="14.6640625" customWidth="1"/>
    <col min="7" max="7" width="13.88671875" customWidth="1"/>
    <col min="21" max="21" width="3.6640625" customWidth="1"/>
    <col min="22" max="22" width="4" customWidth="1"/>
    <col min="28" max="28" width="3.6640625" customWidth="1"/>
    <col min="29" max="29" width="3.33203125" customWidth="1"/>
  </cols>
  <sheetData>
    <row r="2" spans="2:34" x14ac:dyDescent="0.3">
      <c r="B2" s="387" t="s">
        <v>528</v>
      </c>
      <c r="C2" s="387"/>
      <c r="D2" s="387"/>
      <c r="E2" s="387"/>
      <c r="F2" s="387"/>
      <c r="G2" s="387"/>
      <c r="I2" s="268"/>
    </row>
    <row r="3" spans="2:34" x14ac:dyDescent="0.3">
      <c r="B3" s="269"/>
      <c r="C3" s="269"/>
      <c r="D3" s="269"/>
      <c r="E3" s="269"/>
      <c r="F3" s="269"/>
      <c r="G3" s="269"/>
    </row>
    <row r="4" spans="2:34" ht="15" thickBot="1" x14ac:dyDescent="0.35">
      <c r="B4" s="379" t="s">
        <v>529</v>
      </c>
      <c r="C4" s="379"/>
      <c r="D4" s="269"/>
      <c r="E4" s="269"/>
      <c r="F4" s="269"/>
      <c r="G4" s="269"/>
      <c r="I4" s="388" t="s">
        <v>530</v>
      </c>
      <c r="J4" s="388"/>
      <c r="K4" s="388" t="s">
        <v>531</v>
      </c>
      <c r="L4" s="388"/>
      <c r="N4" s="15" t="s">
        <v>532</v>
      </c>
      <c r="O4" s="15"/>
    </row>
    <row r="5" spans="2:34" ht="16.2" thickBot="1" x14ac:dyDescent="0.35">
      <c r="B5" s="270" t="s">
        <v>533</v>
      </c>
      <c r="C5" s="271" t="s">
        <v>534</v>
      </c>
      <c r="D5" s="380" t="s">
        <v>535</v>
      </c>
      <c r="E5" s="381"/>
      <c r="F5" s="381"/>
      <c r="G5" s="382"/>
      <c r="I5" s="272" t="s">
        <v>135</v>
      </c>
      <c r="J5" s="272" t="s">
        <v>136</v>
      </c>
      <c r="K5" s="272" t="s">
        <v>135</v>
      </c>
      <c r="L5" s="272" t="s">
        <v>136</v>
      </c>
      <c r="M5" s="272" t="s">
        <v>536</v>
      </c>
      <c r="N5" s="272" t="s">
        <v>537</v>
      </c>
      <c r="O5" s="272" t="s">
        <v>538</v>
      </c>
      <c r="P5" s="272" t="s">
        <v>539</v>
      </c>
      <c r="Q5" s="272" t="s">
        <v>540</v>
      </c>
      <c r="W5" s="386" t="s">
        <v>727</v>
      </c>
      <c r="X5" s="386"/>
      <c r="Y5" s="386"/>
      <c r="Z5" s="386"/>
      <c r="AA5" s="386"/>
      <c r="AB5" s="386"/>
      <c r="AC5" s="386"/>
      <c r="AD5" s="386"/>
    </row>
    <row r="6" spans="2:34" ht="15" thickBot="1" x14ac:dyDescent="0.35">
      <c r="B6" s="377">
        <v>-82.74</v>
      </c>
      <c r="C6" s="377">
        <v>-0.06</v>
      </c>
      <c r="D6" s="385" t="s">
        <v>721</v>
      </c>
      <c r="E6" s="382"/>
      <c r="F6" s="380" t="s">
        <v>722</v>
      </c>
      <c r="G6" s="382"/>
      <c r="I6" s="27">
        <v>-82.74</v>
      </c>
      <c r="J6" s="27">
        <v>-0.06</v>
      </c>
      <c r="K6" s="27">
        <v>0.16</v>
      </c>
      <c r="L6" s="27">
        <v>0.44</v>
      </c>
      <c r="M6" s="273">
        <v>0.72933000000000003</v>
      </c>
      <c r="N6" s="273">
        <v>6.9350000000000002E-3</v>
      </c>
      <c r="O6" s="27"/>
      <c r="P6" s="27"/>
      <c r="Q6" s="273"/>
      <c r="W6" s="295" t="s">
        <v>722</v>
      </c>
      <c r="X6" s="295"/>
      <c r="Y6" s="295"/>
      <c r="Z6" s="295"/>
      <c r="AA6" s="295"/>
      <c r="AB6" s="295" t="s">
        <v>728</v>
      </c>
      <c r="AC6" s="295"/>
      <c r="AD6" s="295"/>
    </row>
    <row r="7" spans="2:34" ht="15" thickBot="1" x14ac:dyDescent="0.35">
      <c r="B7" s="378"/>
      <c r="C7" s="378"/>
      <c r="D7" s="380" t="s">
        <v>541</v>
      </c>
      <c r="E7" s="382"/>
      <c r="F7" s="380" t="s">
        <v>542</v>
      </c>
      <c r="G7" s="382"/>
      <c r="I7" s="27">
        <v>0.01</v>
      </c>
      <c r="J7" s="27">
        <v>699.75</v>
      </c>
      <c r="K7" s="27">
        <v>0.17</v>
      </c>
      <c r="L7" s="27">
        <v>0.39</v>
      </c>
      <c r="M7" s="273">
        <v>0.19986999999999999</v>
      </c>
      <c r="N7" s="273">
        <v>3.4981999999999998E-4</v>
      </c>
      <c r="O7" s="27"/>
      <c r="P7" s="27"/>
      <c r="Q7" s="27"/>
      <c r="W7" s="295" t="s">
        <v>724</v>
      </c>
      <c r="X7" s="295"/>
      <c r="Y7" s="295"/>
      <c r="Z7" s="295"/>
      <c r="AA7" s="295"/>
      <c r="AB7" s="295" t="s">
        <v>729</v>
      </c>
      <c r="AC7" s="295"/>
      <c r="AD7" s="295"/>
    </row>
    <row r="8" spans="2:34" x14ac:dyDescent="0.3">
      <c r="B8" s="269"/>
      <c r="C8" s="269"/>
      <c r="D8" s="269"/>
      <c r="E8" s="269"/>
      <c r="F8" s="269"/>
      <c r="G8" s="269"/>
      <c r="I8" s="27">
        <v>700</v>
      </c>
      <c r="J8" s="27">
        <v>7000</v>
      </c>
      <c r="K8" s="27">
        <v>26.87</v>
      </c>
      <c r="L8" s="27">
        <v>32.909999999999997</v>
      </c>
      <c r="M8" s="273">
        <v>31.12</v>
      </c>
      <c r="N8" s="273">
        <v>5.128E-4</v>
      </c>
      <c r="O8" s="27"/>
      <c r="P8" s="27"/>
      <c r="Q8" s="27"/>
      <c r="W8" s="295" t="s">
        <v>725</v>
      </c>
      <c r="X8" s="295"/>
      <c r="Y8" s="295"/>
      <c r="Z8" s="295"/>
      <c r="AA8" s="295"/>
      <c r="AB8" s="295" t="s">
        <v>730</v>
      </c>
      <c r="AC8" s="295"/>
      <c r="AD8" s="295"/>
    </row>
    <row r="9" spans="2:34" ht="15" thickBot="1" x14ac:dyDescent="0.35">
      <c r="B9" s="379" t="s">
        <v>529</v>
      </c>
      <c r="C9" s="379"/>
      <c r="D9" s="269"/>
      <c r="E9" s="269"/>
      <c r="F9" s="269"/>
      <c r="G9" s="269"/>
      <c r="I9" s="27">
        <v>7001</v>
      </c>
      <c r="J9" s="27">
        <v>34500</v>
      </c>
      <c r="K9" s="27">
        <v>7.43</v>
      </c>
      <c r="L9" s="27">
        <v>17.079999999999998</v>
      </c>
      <c r="M9" s="273">
        <v>9.0002999999999993</v>
      </c>
      <c r="N9" s="273">
        <v>2.3411999999999999E-4</v>
      </c>
      <c r="O9" s="27"/>
      <c r="P9" s="27"/>
      <c r="Q9" s="27"/>
      <c r="W9" s="295" t="s">
        <v>726</v>
      </c>
      <c r="X9" s="295"/>
      <c r="Y9" s="295"/>
      <c r="Z9" s="295"/>
      <c r="AA9" s="295"/>
      <c r="AB9" s="295" t="s">
        <v>731</v>
      </c>
      <c r="AC9" s="295"/>
      <c r="AD9" s="295"/>
    </row>
    <row r="10" spans="2:34" ht="15" thickBot="1" x14ac:dyDescent="0.35">
      <c r="B10" s="270" t="s">
        <v>533</v>
      </c>
      <c r="C10" s="271" t="s">
        <v>534</v>
      </c>
      <c r="D10" s="380" t="s">
        <v>535</v>
      </c>
      <c r="E10" s="381"/>
      <c r="F10" s="381"/>
      <c r="G10" s="382"/>
    </row>
    <row r="11" spans="2:34" ht="15" thickBot="1" x14ac:dyDescent="0.35">
      <c r="B11" s="377">
        <v>0.01</v>
      </c>
      <c r="C11" s="377">
        <v>699.75</v>
      </c>
      <c r="D11" s="385" t="s">
        <v>723</v>
      </c>
      <c r="E11" s="382"/>
      <c r="F11" s="380" t="s">
        <v>724</v>
      </c>
      <c r="G11" s="382"/>
    </row>
    <row r="12" spans="2:34" ht="15" thickBot="1" x14ac:dyDescent="0.35">
      <c r="B12" s="378"/>
      <c r="C12" s="378"/>
      <c r="D12" s="380" t="s">
        <v>541</v>
      </c>
      <c r="E12" s="382"/>
      <c r="F12" s="380" t="s">
        <v>542</v>
      </c>
      <c r="G12" s="382"/>
    </row>
    <row r="13" spans="2:34" x14ac:dyDescent="0.3">
      <c r="B13" s="269"/>
      <c r="C13" s="269"/>
      <c r="D13" s="269"/>
      <c r="E13" s="269"/>
      <c r="F13" s="269"/>
      <c r="G13" s="269"/>
    </row>
    <row r="14" spans="2:34" ht="15" thickBot="1" x14ac:dyDescent="0.35">
      <c r="B14" s="379" t="s">
        <v>529</v>
      </c>
      <c r="C14" s="379"/>
      <c r="D14" s="269"/>
      <c r="E14" s="269"/>
      <c r="F14" s="269"/>
      <c r="G14" s="269"/>
      <c r="I14" s="15" t="s">
        <v>532</v>
      </c>
      <c r="J14" s="15"/>
      <c r="K14" s="383" t="s">
        <v>732</v>
      </c>
      <c r="L14" s="383"/>
      <c r="M14" s="383"/>
      <c r="P14" s="15" t="s">
        <v>532</v>
      </c>
      <c r="Q14" s="15"/>
      <c r="R14" s="383" t="s">
        <v>733</v>
      </c>
      <c r="S14" s="383"/>
      <c r="T14" s="383"/>
      <c r="W14" s="15" t="s">
        <v>532</v>
      </c>
      <c r="X14" s="15"/>
      <c r="Y14" s="384" t="s">
        <v>734</v>
      </c>
      <c r="Z14" s="384"/>
      <c r="AA14" s="384"/>
      <c r="AD14" s="15" t="s">
        <v>532</v>
      </c>
      <c r="AE14" s="15"/>
      <c r="AF14" s="384" t="s">
        <v>726</v>
      </c>
      <c r="AG14" s="384"/>
      <c r="AH14" s="384"/>
    </row>
    <row r="15" spans="2:34" ht="16.2" thickBot="1" x14ac:dyDescent="0.35">
      <c r="B15" s="270" t="s">
        <v>533</v>
      </c>
      <c r="C15" s="271" t="s">
        <v>534</v>
      </c>
      <c r="D15" s="380" t="s">
        <v>535</v>
      </c>
      <c r="E15" s="381"/>
      <c r="F15" s="381"/>
      <c r="G15" s="382"/>
      <c r="I15" s="274" t="s">
        <v>543</v>
      </c>
      <c r="J15" s="275" t="s">
        <v>544</v>
      </c>
      <c r="K15" s="275" t="s">
        <v>545</v>
      </c>
      <c r="L15" s="274" t="s">
        <v>270</v>
      </c>
      <c r="M15" s="274" t="s">
        <v>546</v>
      </c>
      <c r="P15" s="274" t="s">
        <v>543</v>
      </c>
      <c r="Q15" s="275" t="s">
        <v>544</v>
      </c>
      <c r="R15" s="275" t="s">
        <v>545</v>
      </c>
      <c r="S15" s="274" t="s">
        <v>270</v>
      </c>
      <c r="T15" s="274" t="s">
        <v>546</v>
      </c>
      <c r="W15" s="274" t="s">
        <v>543</v>
      </c>
      <c r="X15" s="275" t="s">
        <v>544</v>
      </c>
      <c r="Y15" s="275" t="s">
        <v>545</v>
      </c>
      <c r="Z15" s="274" t="s">
        <v>270</v>
      </c>
      <c r="AA15" s="274" t="s">
        <v>546</v>
      </c>
      <c r="AD15" s="274" t="s">
        <v>543</v>
      </c>
      <c r="AE15" s="275" t="s">
        <v>544</v>
      </c>
      <c r="AF15" s="275" t="s">
        <v>545</v>
      </c>
      <c r="AG15" s="274" t="s">
        <v>270</v>
      </c>
      <c r="AH15" s="274" t="s">
        <v>546</v>
      </c>
    </row>
    <row r="16" spans="2:34" ht="15" thickBot="1" x14ac:dyDescent="0.35">
      <c r="B16" s="377">
        <v>700</v>
      </c>
      <c r="C16" s="377">
        <v>7000</v>
      </c>
      <c r="D16" s="380" t="s">
        <v>547</v>
      </c>
      <c r="E16" s="382"/>
      <c r="F16" s="380" t="s">
        <v>725</v>
      </c>
      <c r="G16" s="382"/>
      <c r="I16" s="20" t="s">
        <v>548</v>
      </c>
      <c r="J16" s="276" t="str">
        <f ca="1">Calibración!G38</f>
        <v/>
      </c>
      <c r="K16" s="277" t="str">
        <f ca="1">Calibración!J38</f>
        <v/>
      </c>
      <c r="L16" s="277" t="e">
        <f ca="1">IF(J16=0,0,IF(J16&lt;=$J$6,$M$6+$N$6*J16+$O$6*J16^2+$P$6*J16^3+$Q$6*J16^4,IF(J16&gt;$J$7,$M$8+$N$8*J16+$O$8*J16^2+$P$8*J16^3+$Q$8*J16^4,$M$7+$N$7*J16+$O$7*J16^2+$P$7*J16^3+$Q$7*J16^4)))</f>
        <v>#VALUE!</v>
      </c>
      <c r="M16" s="277">
        <f ca="1">IF(J16=0,0,IF(J16&lt;=$J$6+5,$K$6,IF(J16&gt;$J$7+10,$K$8,$K$7)))</f>
        <v>26.87</v>
      </c>
      <c r="P16" s="20" t="s">
        <v>548</v>
      </c>
      <c r="Q16" s="276" t="str">
        <f ca="1">Calibración!G38</f>
        <v/>
      </c>
      <c r="R16" s="277" t="str">
        <f ca="1">Calibración!J38</f>
        <v/>
      </c>
      <c r="S16" s="277" t="e">
        <f ca="1">IF(Q16=0,0,IF(Q16&lt;=$J$7,$M$7+$N$7*Q16+$O$7*Q16^2+$P$7*Q16^3+$Q$7*Q16^4,IF(Q16&gt;$J$8,$M$9+$N$9*Q16+$O$9*Q16^2+$P$9*Q16^3+$Q$9*Q16^4,$M$8+$N$8*Q16+$O$8*Q16^2+$P$8*Q16^3+$Q$8*Q16^4)))</f>
        <v>#VALUE!</v>
      </c>
      <c r="T16" s="277">
        <f ca="1">IF(Q16=0,0,IF(Q16&lt;=$J$7+5,$K$7,IF(Q16&gt;$J$8+10,$K$9,$K$8)))</f>
        <v>7.43</v>
      </c>
      <c r="W16" s="20" t="s">
        <v>548</v>
      </c>
      <c r="X16" s="276" t="str">
        <f ca="1">Calibración!G38</f>
        <v/>
      </c>
      <c r="Y16" s="277" t="str">
        <f ca="1">Calibración!J38</f>
        <v/>
      </c>
      <c r="Z16" s="277" t="e">
        <f ca="1">IF(X16=0,0,IF(X16&lt;=$J$8,$M$8+$N$8*X16+$O$8*X16^2+$P$8*X16^3+$Q$8*X16^4,IF(X16&gt;$J$9,$M$9+$N$9*X16+$O$9*X16^2+$P$9*X16^3+$Q$9*X16^4,$M$8+$N$8*X16+$O$8*X16^2+$P$8*X16^3+$Q$8*X16^4)))</f>
        <v>#VALUE!</v>
      </c>
      <c r="AA16" s="277">
        <f ca="1">IF(X16=0,0,IF(X16&lt;=$J$8+5,$K$8,IF(X16&gt;$J$9+10,$K$10,$K$9)))</f>
        <v>0</v>
      </c>
      <c r="AD16" s="20" t="s">
        <v>548</v>
      </c>
      <c r="AE16" s="276" t="str">
        <f ca="1">Calibración!G38</f>
        <v/>
      </c>
      <c r="AF16" s="277" t="str">
        <f ca="1">Calibración!J38</f>
        <v/>
      </c>
      <c r="AG16" s="277" t="e">
        <f ca="1">IF(AE16=0,0,IF(AE16&lt;=$J$8,$M$8+$N$8*AE16+$O$8*AE16^2+$P$8*AE16^3+$Q$8*AE16^4,IF(AE16&gt;$J$9,$M$10+$N$10*AE16+$O$10*AE16^2+$P$10*AE16^3+$Q$10*AE16^4,$M$9+$N$9*AE16+$O$9*AE16^2+$P$9*AE16^3+$Q$9*AE16^4)))</f>
        <v>#VALUE!</v>
      </c>
      <c r="AH16" s="277">
        <f ca="1">IF(AE16=0,0,IF(AE16&lt;=$J$8+5,$K$9,IF(AE16&gt;$J$9+10,$K$11,$K$10)))</f>
        <v>0</v>
      </c>
    </row>
    <row r="17" spans="2:34" ht="15" thickBot="1" x14ac:dyDescent="0.35">
      <c r="B17" s="378"/>
      <c r="C17" s="378"/>
      <c r="D17" s="380" t="s">
        <v>541</v>
      </c>
      <c r="E17" s="382"/>
      <c r="F17" s="380" t="s">
        <v>542</v>
      </c>
      <c r="G17" s="382"/>
      <c r="I17" s="20" t="s">
        <v>549</v>
      </c>
      <c r="J17" s="276" t="str">
        <f ca="1">Calibración!G39</f>
        <v/>
      </c>
      <c r="K17" s="277" t="str">
        <f ca="1">Calibración!J39</f>
        <v/>
      </c>
      <c r="L17" s="277" t="e">
        <f t="shared" ref="L17:L25" ca="1" si="0">IF(J17=0,0,IF(J17&lt;=$J$6,$M$6+$N$6*J17+$O$6*J17^2+$P$6*J17^3+$Q$6*J17^4,IF(J17&gt;$J$7,$M$8+$N$8*J17+$O$8*J17^2+$P$8*J17^3+$Q$8*J17^4,$M$7+$N$7*J17+$O$7*J17^2+$P$7*J17^3+$Q$7*J17^4)))</f>
        <v>#VALUE!</v>
      </c>
      <c r="M17" s="277">
        <f t="shared" ref="M17:M25" ca="1" si="1">IF(J17=0,0,IF(J17&lt;=$J$6+5,$K$6,IF(J17&gt;$J$7+10,$K$8,$K$7)))</f>
        <v>26.87</v>
      </c>
      <c r="P17" s="20" t="s">
        <v>549</v>
      </c>
      <c r="Q17" s="276" t="str">
        <f ca="1">Calibración!G39</f>
        <v/>
      </c>
      <c r="R17" s="277" t="str">
        <f ca="1">Calibración!J39</f>
        <v/>
      </c>
      <c r="S17" s="277" t="e">
        <f t="shared" ref="S17:S25" ca="1" si="2">IF(Q17=0,0,IF(Q17&lt;=$J$7,$M$7+$N$7*Q17+$O$7*Q17^2+$P$7*Q17^3+$Q$7*Q17^4,IF(Q17&gt;$J$8,$M$9+$N$9*Q17+$O$9*Q17^2+$P$9*Q17^3+$Q$9*Q17^4,$M$8+$N$8*Q17+$O$8*Q17^2+$P$8*Q17^3+$Q$8*Q17^4)))</f>
        <v>#VALUE!</v>
      </c>
      <c r="T17" s="277">
        <f t="shared" ref="T17:T25" ca="1" si="3">IF(Q17=0,0,IF(Q17&lt;=$J$7+5,$K$7,IF(Q17&gt;$J$8+10,$K$9,$K$8)))</f>
        <v>7.43</v>
      </c>
      <c r="W17" s="20" t="s">
        <v>549</v>
      </c>
      <c r="X17" s="276" t="str">
        <f ca="1">Calibración!G39</f>
        <v/>
      </c>
      <c r="Y17" s="277" t="str">
        <f ca="1">Calibración!J39</f>
        <v/>
      </c>
      <c r="Z17" s="277" t="e">
        <f t="shared" ref="Z17:Z25" ca="1" si="4">IF(X17=0,0,IF(X17&lt;=$J$8,$M$8+$N$8*X17+$O$8*X17^2+$P$8*X17^3+$Q$8*X17^4,IF(X17&gt;$J$9,$M$9+$N$9*X17+$O$9*X17^2+$P$9*X17^3+$Q$9*X17^4,$M$8+$N$8*X17+$O$8*X17^2+$P$8*X17^3+$Q$8*X17^4)))</f>
        <v>#VALUE!</v>
      </c>
      <c r="AA17" s="277">
        <f t="shared" ref="AA17:AA25" ca="1" si="5">IF(X17=0,0,IF(X17&lt;=$J$8+5,$K$8,IF(X17&gt;$J$9+10,$K$10,$K$9)))</f>
        <v>0</v>
      </c>
      <c r="AD17" s="20" t="s">
        <v>549</v>
      </c>
      <c r="AE17" s="276" t="str">
        <f ca="1">Calibración!G39</f>
        <v/>
      </c>
      <c r="AF17" s="277" t="str">
        <f ca="1">Calibración!J39</f>
        <v/>
      </c>
      <c r="AG17" s="277" t="e">
        <f t="shared" ref="AG17:AG25" ca="1" si="6">IF(AE17=0,0,IF(AE17&lt;=$J$8,$M$8+$N$8*AE17+$O$8*AE17^2+$P$8*AE17^3+$Q$8*AE17^4,IF(AE17&gt;$J$9,$M$10+$N$10*AE17+$O$10*AE17^2+$P$10*AE17^3+$Q$10*AE17^4,$M$9+$N$9*AE17+$O$9*AE17^2+$P$9*AE17^3+$Q$9*AE17^4)))</f>
        <v>#VALUE!</v>
      </c>
      <c r="AH17" s="277">
        <f t="shared" ref="AH17:AH25" ca="1" si="7">IF(AE17=0,0,IF(AE17&lt;=$J$8+5,$K$9,IF(AE17&gt;$J$9+10,$K$11,$K$10)))</f>
        <v>0</v>
      </c>
    </row>
    <row r="18" spans="2:34" x14ac:dyDescent="0.3">
      <c r="B18" s="278"/>
      <c r="I18" s="20" t="s">
        <v>550</v>
      </c>
      <c r="J18" s="276" t="str">
        <f ca="1">Calibración!G40</f>
        <v/>
      </c>
      <c r="K18" s="277" t="str">
        <f ca="1">Calibración!J40</f>
        <v/>
      </c>
      <c r="L18" s="277" t="e">
        <f t="shared" ca="1" si="0"/>
        <v>#VALUE!</v>
      </c>
      <c r="M18" s="277">
        <f t="shared" ca="1" si="1"/>
        <v>26.87</v>
      </c>
      <c r="P18" s="20" t="s">
        <v>550</v>
      </c>
      <c r="Q18" s="276" t="str">
        <f ca="1">Calibración!G40</f>
        <v/>
      </c>
      <c r="R18" s="277" t="str">
        <f ca="1">Calibración!J40</f>
        <v/>
      </c>
      <c r="S18" s="277" t="e">
        <f t="shared" ca="1" si="2"/>
        <v>#VALUE!</v>
      </c>
      <c r="T18" s="277">
        <f t="shared" ca="1" si="3"/>
        <v>7.43</v>
      </c>
      <c r="W18" s="20" t="s">
        <v>550</v>
      </c>
      <c r="X18" s="276" t="str">
        <f ca="1">Calibración!G40</f>
        <v/>
      </c>
      <c r="Y18" s="277" t="str">
        <f ca="1">Calibración!J40</f>
        <v/>
      </c>
      <c r="Z18" s="277" t="e">
        <f t="shared" ca="1" si="4"/>
        <v>#VALUE!</v>
      </c>
      <c r="AA18" s="277">
        <f t="shared" ca="1" si="5"/>
        <v>0</v>
      </c>
      <c r="AD18" s="20" t="s">
        <v>550</v>
      </c>
      <c r="AE18" s="276" t="str">
        <f ca="1">Calibración!G40</f>
        <v/>
      </c>
      <c r="AF18" s="277" t="str">
        <f ca="1">Calibración!J40</f>
        <v/>
      </c>
      <c r="AG18" s="277" t="e">
        <f t="shared" ca="1" si="6"/>
        <v>#VALUE!</v>
      </c>
      <c r="AH18" s="277">
        <f t="shared" ca="1" si="7"/>
        <v>0</v>
      </c>
    </row>
    <row r="19" spans="2:34" ht="15" thickBot="1" x14ac:dyDescent="0.35">
      <c r="B19" s="379" t="s">
        <v>529</v>
      </c>
      <c r="C19" s="379"/>
      <c r="D19" s="269"/>
      <c r="E19" s="269"/>
      <c r="F19" s="269"/>
      <c r="G19" s="269"/>
      <c r="I19" s="20" t="s">
        <v>551</v>
      </c>
      <c r="J19" s="276" t="str">
        <f ca="1">Calibración!G41</f>
        <v/>
      </c>
      <c r="K19" s="277" t="str">
        <f ca="1">Calibración!J41</f>
        <v/>
      </c>
      <c r="L19" s="277" t="e">
        <f t="shared" ca="1" si="0"/>
        <v>#VALUE!</v>
      </c>
      <c r="M19" s="277">
        <f t="shared" ca="1" si="1"/>
        <v>26.87</v>
      </c>
      <c r="P19" s="20" t="s">
        <v>551</v>
      </c>
      <c r="Q19" s="276" t="str">
        <f ca="1">Calibración!G41</f>
        <v/>
      </c>
      <c r="R19" s="277" t="str">
        <f ca="1">Calibración!J41</f>
        <v/>
      </c>
      <c r="S19" s="277" t="e">
        <f t="shared" ca="1" si="2"/>
        <v>#VALUE!</v>
      </c>
      <c r="T19" s="277">
        <f t="shared" ca="1" si="3"/>
        <v>7.43</v>
      </c>
      <c r="W19" s="20" t="s">
        <v>551</v>
      </c>
      <c r="X19" s="276" t="str">
        <f ca="1">Calibración!G41</f>
        <v/>
      </c>
      <c r="Y19" s="277" t="str">
        <f ca="1">Calibración!J41</f>
        <v/>
      </c>
      <c r="Z19" s="277" t="e">
        <f t="shared" ca="1" si="4"/>
        <v>#VALUE!</v>
      </c>
      <c r="AA19" s="277">
        <f t="shared" ca="1" si="5"/>
        <v>0</v>
      </c>
      <c r="AD19" s="20" t="s">
        <v>551</v>
      </c>
      <c r="AE19" s="276" t="str">
        <f ca="1">Calibración!G41</f>
        <v/>
      </c>
      <c r="AF19" s="277" t="str">
        <f ca="1">Calibración!J41</f>
        <v/>
      </c>
      <c r="AG19" s="277" t="e">
        <f t="shared" ca="1" si="6"/>
        <v>#VALUE!</v>
      </c>
      <c r="AH19" s="277">
        <f t="shared" ca="1" si="7"/>
        <v>0</v>
      </c>
    </row>
    <row r="20" spans="2:34" ht="15" thickBot="1" x14ac:dyDescent="0.35">
      <c r="B20" s="270" t="s">
        <v>533</v>
      </c>
      <c r="C20" s="271" t="s">
        <v>534</v>
      </c>
      <c r="D20" s="380" t="s">
        <v>535</v>
      </c>
      <c r="E20" s="381"/>
      <c r="F20" s="381"/>
      <c r="G20" s="382"/>
      <c r="I20" s="20" t="s">
        <v>552</v>
      </c>
      <c r="J20" s="276" t="str">
        <f ca="1">Calibración!G42</f>
        <v/>
      </c>
      <c r="K20" s="277" t="str">
        <f ca="1">Calibración!J42</f>
        <v/>
      </c>
      <c r="L20" s="277" t="e">
        <f t="shared" ca="1" si="0"/>
        <v>#VALUE!</v>
      </c>
      <c r="M20" s="277">
        <f t="shared" ca="1" si="1"/>
        <v>26.87</v>
      </c>
      <c r="P20" s="20" t="s">
        <v>552</v>
      </c>
      <c r="Q20" s="276" t="str">
        <f ca="1">Calibración!G42</f>
        <v/>
      </c>
      <c r="R20" s="277" t="str">
        <f ca="1">Calibración!J42</f>
        <v/>
      </c>
      <c r="S20" s="277" t="e">
        <f t="shared" ca="1" si="2"/>
        <v>#VALUE!</v>
      </c>
      <c r="T20" s="277">
        <f t="shared" ca="1" si="3"/>
        <v>7.43</v>
      </c>
      <c r="W20" s="20" t="s">
        <v>552</v>
      </c>
      <c r="X20" s="276" t="str">
        <f ca="1">Calibración!G42</f>
        <v/>
      </c>
      <c r="Y20" s="277" t="str">
        <f ca="1">Calibración!J42</f>
        <v/>
      </c>
      <c r="Z20" s="277" t="e">
        <f t="shared" ca="1" si="4"/>
        <v>#VALUE!</v>
      </c>
      <c r="AA20" s="277">
        <f t="shared" ca="1" si="5"/>
        <v>0</v>
      </c>
      <c r="AD20" s="20" t="s">
        <v>552</v>
      </c>
      <c r="AE20" s="276" t="str">
        <f ca="1">Calibración!G42</f>
        <v/>
      </c>
      <c r="AF20" s="277" t="str">
        <f ca="1">Calibración!J42</f>
        <v/>
      </c>
      <c r="AG20" s="277" t="e">
        <f t="shared" ca="1" si="6"/>
        <v>#VALUE!</v>
      </c>
      <c r="AH20" s="277">
        <f t="shared" ca="1" si="7"/>
        <v>0</v>
      </c>
    </row>
    <row r="21" spans="2:34" ht="15" thickBot="1" x14ac:dyDescent="0.35">
      <c r="B21" s="377">
        <v>7001</v>
      </c>
      <c r="C21" s="377">
        <v>34500</v>
      </c>
      <c r="D21" s="380" t="s">
        <v>553</v>
      </c>
      <c r="E21" s="382"/>
      <c r="F21" s="380" t="s">
        <v>726</v>
      </c>
      <c r="G21" s="382"/>
      <c r="I21" s="20" t="s">
        <v>554</v>
      </c>
      <c r="J21" s="276" t="str">
        <f ca="1">Calibración!G43</f>
        <v/>
      </c>
      <c r="K21" s="277" t="str">
        <f ca="1">Calibración!J43</f>
        <v/>
      </c>
      <c r="L21" s="277" t="e">
        <f t="shared" ca="1" si="0"/>
        <v>#VALUE!</v>
      </c>
      <c r="M21" s="277">
        <f t="shared" ca="1" si="1"/>
        <v>26.87</v>
      </c>
      <c r="P21" s="20" t="s">
        <v>554</v>
      </c>
      <c r="Q21" s="276" t="str">
        <f ca="1">Calibración!G43</f>
        <v/>
      </c>
      <c r="R21" s="277" t="str">
        <f ca="1">Calibración!J43</f>
        <v/>
      </c>
      <c r="S21" s="277" t="e">
        <f t="shared" ca="1" si="2"/>
        <v>#VALUE!</v>
      </c>
      <c r="T21" s="277">
        <f t="shared" ca="1" si="3"/>
        <v>7.43</v>
      </c>
      <c r="W21" s="20" t="s">
        <v>554</v>
      </c>
      <c r="X21" s="276" t="str">
        <f ca="1">Calibración!G43</f>
        <v/>
      </c>
      <c r="Y21" s="277" t="str">
        <f ca="1">Calibración!J43</f>
        <v/>
      </c>
      <c r="Z21" s="277" t="e">
        <f t="shared" ca="1" si="4"/>
        <v>#VALUE!</v>
      </c>
      <c r="AA21" s="277">
        <f t="shared" ca="1" si="5"/>
        <v>0</v>
      </c>
      <c r="AD21" s="20" t="s">
        <v>554</v>
      </c>
      <c r="AE21" s="276" t="str">
        <f ca="1">Calibración!G43</f>
        <v/>
      </c>
      <c r="AF21" s="277" t="str">
        <f ca="1">Calibración!J43</f>
        <v/>
      </c>
      <c r="AG21" s="277" t="e">
        <f t="shared" ca="1" si="6"/>
        <v>#VALUE!</v>
      </c>
      <c r="AH21" s="277">
        <f t="shared" ca="1" si="7"/>
        <v>0</v>
      </c>
    </row>
    <row r="22" spans="2:34" ht="15" thickBot="1" x14ac:dyDescent="0.35">
      <c r="B22" s="378"/>
      <c r="C22" s="378"/>
      <c r="D22" s="380" t="s">
        <v>541</v>
      </c>
      <c r="E22" s="382"/>
      <c r="F22" s="380" t="s">
        <v>542</v>
      </c>
      <c r="G22" s="382"/>
      <c r="I22" s="20" t="s">
        <v>555</v>
      </c>
      <c r="J22" s="276" t="str">
        <f ca="1">Calibración!G44</f>
        <v/>
      </c>
      <c r="K22" s="277" t="str">
        <f ca="1">Calibración!J44</f>
        <v/>
      </c>
      <c r="L22" s="277" t="e">
        <f t="shared" ca="1" si="0"/>
        <v>#VALUE!</v>
      </c>
      <c r="M22" s="277">
        <f t="shared" ca="1" si="1"/>
        <v>26.87</v>
      </c>
      <c r="P22" s="20" t="s">
        <v>555</v>
      </c>
      <c r="Q22" s="276" t="str">
        <f ca="1">Calibración!G44</f>
        <v/>
      </c>
      <c r="R22" s="277" t="str">
        <f ca="1">Calibración!J44</f>
        <v/>
      </c>
      <c r="S22" s="277" t="e">
        <f t="shared" ca="1" si="2"/>
        <v>#VALUE!</v>
      </c>
      <c r="T22" s="277">
        <f t="shared" ca="1" si="3"/>
        <v>7.43</v>
      </c>
      <c r="W22" s="20" t="s">
        <v>555</v>
      </c>
      <c r="X22" s="276" t="str">
        <f ca="1">Calibración!G44</f>
        <v/>
      </c>
      <c r="Y22" s="277" t="str">
        <f ca="1">Calibración!J44</f>
        <v/>
      </c>
      <c r="Z22" s="277" t="e">
        <f t="shared" ca="1" si="4"/>
        <v>#VALUE!</v>
      </c>
      <c r="AA22" s="277">
        <f t="shared" ca="1" si="5"/>
        <v>0</v>
      </c>
      <c r="AD22" s="20" t="s">
        <v>555</v>
      </c>
      <c r="AE22" s="276" t="str">
        <f ca="1">Calibración!G44</f>
        <v/>
      </c>
      <c r="AF22" s="277" t="str">
        <f ca="1">Calibración!J44</f>
        <v/>
      </c>
      <c r="AG22" s="277" t="e">
        <f t="shared" ca="1" si="6"/>
        <v>#VALUE!</v>
      </c>
      <c r="AH22" s="277">
        <f t="shared" ca="1" si="7"/>
        <v>0</v>
      </c>
    </row>
    <row r="23" spans="2:34" x14ac:dyDescent="0.3">
      <c r="I23" s="20" t="s">
        <v>556</v>
      </c>
      <c r="J23" s="276" t="str">
        <f ca="1">Calibración!G45</f>
        <v/>
      </c>
      <c r="K23" s="277" t="str">
        <f ca="1">Calibración!J45</f>
        <v/>
      </c>
      <c r="L23" s="277" t="e">
        <f t="shared" ca="1" si="0"/>
        <v>#VALUE!</v>
      </c>
      <c r="M23" s="277">
        <f t="shared" ca="1" si="1"/>
        <v>26.87</v>
      </c>
      <c r="P23" s="20" t="s">
        <v>556</v>
      </c>
      <c r="Q23" s="276" t="str">
        <f ca="1">Calibración!G45</f>
        <v/>
      </c>
      <c r="R23" s="277" t="str">
        <f ca="1">Calibración!J45</f>
        <v/>
      </c>
      <c r="S23" s="277" t="e">
        <f t="shared" ca="1" si="2"/>
        <v>#VALUE!</v>
      </c>
      <c r="T23" s="277">
        <f t="shared" ca="1" si="3"/>
        <v>7.43</v>
      </c>
      <c r="W23" s="20" t="s">
        <v>556</v>
      </c>
      <c r="X23" s="276" t="str">
        <f ca="1">Calibración!G45</f>
        <v/>
      </c>
      <c r="Y23" s="277" t="str">
        <f ca="1">Calibración!J45</f>
        <v/>
      </c>
      <c r="Z23" s="277" t="e">
        <f t="shared" ca="1" si="4"/>
        <v>#VALUE!</v>
      </c>
      <c r="AA23" s="277">
        <f t="shared" ca="1" si="5"/>
        <v>0</v>
      </c>
      <c r="AD23" s="20" t="s">
        <v>556</v>
      </c>
      <c r="AE23" s="276" t="str">
        <f ca="1">Calibración!G45</f>
        <v/>
      </c>
      <c r="AF23" s="277" t="str">
        <f ca="1">Calibración!J45</f>
        <v/>
      </c>
      <c r="AG23" s="277" t="e">
        <f t="shared" ca="1" si="6"/>
        <v>#VALUE!</v>
      </c>
      <c r="AH23" s="277">
        <f t="shared" ca="1" si="7"/>
        <v>0</v>
      </c>
    </row>
    <row r="24" spans="2:34" x14ac:dyDescent="0.3">
      <c r="I24" s="20" t="s">
        <v>557</v>
      </c>
      <c r="J24" s="276" t="str">
        <f ca="1">Calibración!G46</f>
        <v/>
      </c>
      <c r="K24" s="277" t="str">
        <f ca="1">Calibración!J46</f>
        <v/>
      </c>
      <c r="L24" s="277" t="e">
        <f t="shared" ca="1" si="0"/>
        <v>#VALUE!</v>
      </c>
      <c r="M24" s="277">
        <f t="shared" ca="1" si="1"/>
        <v>26.87</v>
      </c>
      <c r="P24" s="20" t="s">
        <v>557</v>
      </c>
      <c r="Q24" s="276" t="str">
        <f ca="1">Calibración!G46</f>
        <v/>
      </c>
      <c r="R24" s="277" t="str">
        <f ca="1">Calibración!J46</f>
        <v/>
      </c>
      <c r="S24" s="277" t="e">
        <f t="shared" ca="1" si="2"/>
        <v>#VALUE!</v>
      </c>
      <c r="T24" s="277">
        <f t="shared" ca="1" si="3"/>
        <v>7.43</v>
      </c>
      <c r="W24" s="20" t="s">
        <v>557</v>
      </c>
      <c r="X24" s="276" t="str">
        <f ca="1">Calibración!G46</f>
        <v/>
      </c>
      <c r="Y24" s="277" t="str">
        <f ca="1">Calibración!J46</f>
        <v/>
      </c>
      <c r="Z24" s="277" t="e">
        <f t="shared" ca="1" si="4"/>
        <v>#VALUE!</v>
      </c>
      <c r="AA24" s="277">
        <f t="shared" ca="1" si="5"/>
        <v>0</v>
      </c>
      <c r="AD24" s="20" t="s">
        <v>557</v>
      </c>
      <c r="AE24" s="276" t="str">
        <f ca="1">Calibración!G46</f>
        <v/>
      </c>
      <c r="AF24" s="277" t="str">
        <f ca="1">Calibración!J46</f>
        <v/>
      </c>
      <c r="AG24" s="277" t="e">
        <f t="shared" ca="1" si="6"/>
        <v>#VALUE!</v>
      </c>
      <c r="AH24" s="277">
        <f t="shared" ca="1" si="7"/>
        <v>0</v>
      </c>
    </row>
    <row r="25" spans="2:34" x14ac:dyDescent="0.3">
      <c r="I25" s="20" t="s">
        <v>558</v>
      </c>
      <c r="J25" s="276" t="str">
        <f ca="1">Calibración!G47</f>
        <v/>
      </c>
      <c r="K25" s="277" t="str">
        <f ca="1">Calibración!J47</f>
        <v/>
      </c>
      <c r="L25" s="277" t="e">
        <f t="shared" ca="1" si="0"/>
        <v>#VALUE!</v>
      </c>
      <c r="M25" s="277">
        <f t="shared" ca="1" si="1"/>
        <v>26.87</v>
      </c>
      <c r="P25" s="20" t="s">
        <v>558</v>
      </c>
      <c r="Q25" s="276" t="str">
        <f ca="1">Calibración!G47</f>
        <v/>
      </c>
      <c r="R25" s="277" t="str">
        <f ca="1">Calibración!J47</f>
        <v/>
      </c>
      <c r="S25" s="277" t="e">
        <f t="shared" ca="1" si="2"/>
        <v>#VALUE!</v>
      </c>
      <c r="T25" s="277">
        <f t="shared" ca="1" si="3"/>
        <v>7.43</v>
      </c>
      <c r="W25" s="20" t="s">
        <v>558</v>
      </c>
      <c r="X25" s="276" t="str">
        <f ca="1">Calibración!G47</f>
        <v/>
      </c>
      <c r="Y25" s="277" t="str">
        <f ca="1">Calibración!J47</f>
        <v/>
      </c>
      <c r="Z25" s="277" t="e">
        <f t="shared" ca="1" si="4"/>
        <v>#VALUE!</v>
      </c>
      <c r="AA25" s="277">
        <f t="shared" ca="1" si="5"/>
        <v>0</v>
      </c>
      <c r="AD25" s="20" t="s">
        <v>558</v>
      </c>
      <c r="AE25" s="276" t="str">
        <f ca="1">Calibración!G47</f>
        <v/>
      </c>
      <c r="AF25" s="277" t="str">
        <f ca="1">Calibración!J47</f>
        <v/>
      </c>
      <c r="AG25" s="277" t="e">
        <f t="shared" ca="1" si="6"/>
        <v>#VALUE!</v>
      </c>
      <c r="AH25" s="277">
        <f t="shared" ca="1" si="7"/>
        <v>0</v>
      </c>
    </row>
    <row r="26" spans="2:34" ht="15" thickBot="1" x14ac:dyDescent="0.35">
      <c r="I26" s="379" t="s">
        <v>529</v>
      </c>
      <c r="J26" s="379"/>
      <c r="P26" s="379" t="s">
        <v>529</v>
      </c>
      <c r="Q26" s="379"/>
      <c r="W26" s="379" t="s">
        <v>529</v>
      </c>
      <c r="X26" s="379"/>
      <c r="AD26" s="379" t="s">
        <v>529</v>
      </c>
      <c r="AE26" s="379"/>
    </row>
    <row r="27" spans="2:34" ht="15" thickBot="1" x14ac:dyDescent="0.35">
      <c r="I27" s="270" t="s">
        <v>533</v>
      </c>
      <c r="J27" s="271" t="s">
        <v>534</v>
      </c>
      <c r="P27" s="270" t="s">
        <v>533</v>
      </c>
      <c r="Q27" s="271" t="s">
        <v>534</v>
      </c>
      <c r="W27" s="270" t="s">
        <v>533</v>
      </c>
      <c r="X27" s="271" t="s">
        <v>534</v>
      </c>
      <c r="AD27" s="270" t="s">
        <v>533</v>
      </c>
      <c r="AE27" s="271" t="s">
        <v>534</v>
      </c>
    </row>
    <row r="28" spans="2:34" x14ac:dyDescent="0.3">
      <c r="I28" s="377">
        <v>-82.74</v>
      </c>
      <c r="J28" s="377">
        <v>-0.06</v>
      </c>
      <c r="P28" s="377">
        <v>0.01</v>
      </c>
      <c r="Q28" s="377">
        <v>699.75</v>
      </c>
      <c r="W28" s="377">
        <v>700</v>
      </c>
      <c r="X28" s="377">
        <v>7000</v>
      </c>
      <c r="AD28" s="377">
        <v>7001</v>
      </c>
      <c r="AE28" s="377">
        <v>34500</v>
      </c>
    </row>
    <row r="29" spans="2:34" ht="15" thickBot="1" x14ac:dyDescent="0.35">
      <c r="I29" s="378"/>
      <c r="J29" s="378"/>
      <c r="P29" s="378"/>
      <c r="Q29" s="378"/>
      <c r="W29" s="378"/>
      <c r="X29" s="378"/>
      <c r="AD29" s="378"/>
      <c r="AE29" s="378"/>
    </row>
  </sheetData>
  <mergeCells count="52">
    <mergeCell ref="W5:AD5"/>
    <mergeCell ref="B2:G2"/>
    <mergeCell ref="B4:C4"/>
    <mergeCell ref="I4:J4"/>
    <mergeCell ref="K4:L4"/>
    <mergeCell ref="D5:G5"/>
    <mergeCell ref="F7:G7"/>
    <mergeCell ref="B9:C9"/>
    <mergeCell ref="D10:G10"/>
    <mergeCell ref="B11:B12"/>
    <mergeCell ref="C11:C12"/>
    <mergeCell ref="D11:E11"/>
    <mergeCell ref="F11:G11"/>
    <mergeCell ref="D12:E12"/>
    <mergeCell ref="F12:G12"/>
    <mergeCell ref="B6:B7"/>
    <mergeCell ref="C6:C7"/>
    <mergeCell ref="D6:E6"/>
    <mergeCell ref="F6:G6"/>
    <mergeCell ref="D7:E7"/>
    <mergeCell ref="K14:M14"/>
    <mergeCell ref="R14:T14"/>
    <mergeCell ref="Y14:AA14"/>
    <mergeCell ref="AF14:AH14"/>
    <mergeCell ref="B16:B17"/>
    <mergeCell ref="C16:C17"/>
    <mergeCell ref="D16:E16"/>
    <mergeCell ref="F16:G16"/>
    <mergeCell ref="D17:E17"/>
    <mergeCell ref="F17:G17"/>
    <mergeCell ref="D15:G15"/>
    <mergeCell ref="B14:C14"/>
    <mergeCell ref="B19:C19"/>
    <mergeCell ref="D20:G20"/>
    <mergeCell ref="B21:B22"/>
    <mergeCell ref="C21:C22"/>
    <mergeCell ref="D21:E21"/>
    <mergeCell ref="F21:G21"/>
    <mergeCell ref="D22:E22"/>
    <mergeCell ref="F22:G22"/>
    <mergeCell ref="AD28:AD29"/>
    <mergeCell ref="AE28:AE29"/>
    <mergeCell ref="I26:J26"/>
    <mergeCell ref="P26:Q26"/>
    <mergeCell ref="W26:X26"/>
    <mergeCell ref="AD26:AE26"/>
    <mergeCell ref="I28:I29"/>
    <mergeCell ref="J28:J29"/>
    <mergeCell ref="P28:P29"/>
    <mergeCell ref="Q28:Q29"/>
    <mergeCell ref="W28:W29"/>
    <mergeCell ref="X28:X29"/>
  </mergeCells>
  <pageMargins left="0.7" right="0.7" top="0.75" bottom="0.75" header="0.3" footer="0.3"/>
  <pageSetup paperSize="135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5:X18"/>
  <sheetViews>
    <sheetView view="pageLayout" topLeftCell="A2" zoomScaleNormal="100" zoomScaleSheetLayoutView="100" workbookViewId="0">
      <selection activeCell="A17" sqref="A17:X17"/>
    </sheetView>
  </sheetViews>
  <sheetFormatPr baseColWidth="10" defaultColWidth="11.44140625" defaultRowHeight="14.4" x14ac:dyDescent="0.3"/>
  <cols>
    <col min="1" max="1" width="3.6640625" customWidth="1"/>
    <col min="2" max="2" width="3.109375" customWidth="1"/>
    <col min="3" max="3" width="0.109375" hidden="1" customWidth="1"/>
    <col min="4" max="4" width="12.33203125" customWidth="1"/>
    <col min="5" max="5" width="4.33203125" customWidth="1"/>
    <col min="6" max="6" width="3.6640625" customWidth="1"/>
    <col min="7" max="7" width="4.88671875" customWidth="1"/>
    <col min="8" max="8" width="3" customWidth="1"/>
    <col min="9" max="9" width="3.44140625" customWidth="1"/>
    <col min="10" max="10" width="2.6640625" customWidth="1"/>
    <col min="11" max="11" width="3" customWidth="1"/>
    <col min="12" max="12" width="3.6640625" customWidth="1"/>
    <col min="13" max="13" width="4.33203125" customWidth="1"/>
    <col min="14" max="15" width="2.33203125" customWidth="1"/>
    <col min="16" max="16" width="3.33203125" customWidth="1"/>
    <col min="17" max="17" width="3.44140625" customWidth="1"/>
    <col min="18" max="18" width="4" customWidth="1"/>
    <col min="19" max="19" width="2.5546875" customWidth="1"/>
    <col min="20" max="20" width="3.33203125" customWidth="1"/>
    <col min="21" max="21" width="3.44140625" customWidth="1"/>
    <col min="22" max="22" width="2.5546875" customWidth="1"/>
    <col min="23" max="23" width="5" customWidth="1"/>
    <col min="24" max="24" width="8.6640625" customWidth="1"/>
  </cols>
  <sheetData>
    <row r="5" spans="1:24" x14ac:dyDescent="0.3">
      <c r="A5" s="389" t="s">
        <v>454</v>
      </c>
      <c r="B5" s="389"/>
      <c r="C5" s="389"/>
      <c r="D5" s="389"/>
      <c r="E5" s="389"/>
      <c r="F5" s="389"/>
      <c r="G5" s="389"/>
      <c r="H5" s="389"/>
      <c r="I5" s="389"/>
      <c r="J5" s="389"/>
      <c r="K5" s="389"/>
      <c r="L5" s="389"/>
      <c r="M5" s="389"/>
      <c r="N5" s="389"/>
      <c r="O5" s="389"/>
      <c r="P5" s="389"/>
      <c r="Q5" s="389"/>
      <c r="R5" s="389"/>
      <c r="S5" s="389"/>
      <c r="T5" s="389"/>
      <c r="U5" s="389"/>
      <c r="V5" s="389"/>
      <c r="W5" s="389"/>
      <c r="X5" s="389"/>
    </row>
    <row r="6" spans="1:24" x14ac:dyDescent="0.3">
      <c r="A6" s="9"/>
      <c r="B6" s="9"/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</row>
    <row r="7" spans="1:24" x14ac:dyDescent="0.3">
      <c r="A7" s="224" t="s">
        <v>439</v>
      </c>
      <c r="B7" s="9"/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</row>
    <row r="8" spans="1:24" ht="15" customHeight="1" x14ac:dyDescent="0.3">
      <c r="A8" s="352" t="s">
        <v>98</v>
      </c>
      <c r="B8" s="353"/>
      <c r="C8" s="353"/>
      <c r="D8" s="353"/>
      <c r="E8" s="353"/>
      <c r="F8" s="354"/>
      <c r="G8" s="352" t="s">
        <v>4</v>
      </c>
      <c r="H8" s="353"/>
      <c r="I8" s="354"/>
      <c r="J8" s="355" t="s">
        <v>101</v>
      </c>
      <c r="K8" s="356"/>
      <c r="L8" s="356"/>
      <c r="M8" s="356"/>
      <c r="N8" s="357"/>
      <c r="O8" s="352" t="s">
        <v>440</v>
      </c>
      <c r="P8" s="353"/>
      <c r="Q8" s="353"/>
      <c r="R8" s="353"/>
      <c r="S8" s="353"/>
      <c r="T8" s="354"/>
      <c r="U8" s="355" t="s">
        <v>441</v>
      </c>
      <c r="V8" s="356"/>
      <c r="W8" s="356"/>
      <c r="X8" s="357"/>
    </row>
    <row r="9" spans="1:24" x14ac:dyDescent="0.3">
      <c r="A9" s="345" t="s">
        <v>449</v>
      </c>
      <c r="B9" s="346" t="s">
        <v>449</v>
      </c>
      <c r="C9" s="346" t="s">
        <v>449</v>
      </c>
      <c r="D9" s="346" t="s">
        <v>449</v>
      </c>
      <c r="E9" s="346" t="s">
        <v>449</v>
      </c>
      <c r="F9" s="347" t="s">
        <v>449</v>
      </c>
      <c r="G9" s="345" t="s">
        <v>285</v>
      </c>
      <c r="H9" s="346" t="s">
        <v>285</v>
      </c>
      <c r="I9" s="347" t="s">
        <v>285</v>
      </c>
      <c r="J9" s="348" t="s">
        <v>706</v>
      </c>
      <c r="K9" s="349" t="s">
        <v>451</v>
      </c>
      <c r="L9" s="349">
        <v>43368</v>
      </c>
      <c r="M9" s="349" t="s">
        <v>450</v>
      </c>
      <c r="N9" s="350" t="s">
        <v>451</v>
      </c>
      <c r="O9" s="345" t="s">
        <v>451</v>
      </c>
      <c r="P9" s="346" t="s">
        <v>451</v>
      </c>
      <c r="Q9" s="346" t="s">
        <v>451</v>
      </c>
      <c r="R9" s="346" t="s">
        <v>451</v>
      </c>
      <c r="S9" s="346" t="s">
        <v>451</v>
      </c>
      <c r="T9" s="347" t="s">
        <v>451</v>
      </c>
      <c r="U9" s="348">
        <v>44096</v>
      </c>
      <c r="V9" s="349" t="s">
        <v>450</v>
      </c>
      <c r="W9" s="349" t="s">
        <v>451</v>
      </c>
      <c r="X9" s="350">
        <v>43368</v>
      </c>
    </row>
    <row r="10" spans="1:24" ht="15" customHeight="1" x14ac:dyDescent="0.3">
      <c r="A10" s="345" t="s">
        <v>449</v>
      </c>
      <c r="B10" s="346" t="s">
        <v>449</v>
      </c>
      <c r="C10" s="346" t="s">
        <v>449</v>
      </c>
      <c r="D10" s="346" t="s">
        <v>449</v>
      </c>
      <c r="E10" s="346" t="s">
        <v>449</v>
      </c>
      <c r="F10" s="347" t="s">
        <v>449</v>
      </c>
      <c r="G10" s="345" t="s">
        <v>293</v>
      </c>
      <c r="H10" s="346" t="s">
        <v>293</v>
      </c>
      <c r="I10" s="347" t="s">
        <v>293</v>
      </c>
      <c r="J10" s="348" t="s">
        <v>707</v>
      </c>
      <c r="K10" s="349" t="s">
        <v>451</v>
      </c>
      <c r="L10" s="349">
        <v>43369</v>
      </c>
      <c r="M10" s="349" t="s">
        <v>708</v>
      </c>
      <c r="N10" s="350" t="s">
        <v>451</v>
      </c>
      <c r="O10" s="345" t="s">
        <v>451</v>
      </c>
      <c r="P10" s="346" t="s">
        <v>451</v>
      </c>
      <c r="Q10" s="346" t="s">
        <v>451</v>
      </c>
      <c r="R10" s="346" t="s">
        <v>451</v>
      </c>
      <c r="S10" s="346" t="s">
        <v>451</v>
      </c>
      <c r="T10" s="347" t="s">
        <v>451</v>
      </c>
      <c r="U10" s="348">
        <v>44431</v>
      </c>
      <c r="V10" s="349" t="s">
        <v>708</v>
      </c>
      <c r="W10" s="349" t="s">
        <v>451</v>
      </c>
      <c r="X10" s="350">
        <v>43369</v>
      </c>
    </row>
    <row r="11" spans="1:24" ht="15" customHeight="1" x14ac:dyDescent="0.3">
      <c r="A11" s="345" t="s">
        <v>709</v>
      </c>
      <c r="B11" s="346" t="s">
        <v>449</v>
      </c>
      <c r="C11" s="346" t="s">
        <v>449</v>
      </c>
      <c r="D11" s="346" t="s">
        <v>449</v>
      </c>
      <c r="E11" s="346" t="s">
        <v>449</v>
      </c>
      <c r="F11" s="347" t="s">
        <v>449</v>
      </c>
      <c r="G11" s="345" t="s">
        <v>294</v>
      </c>
      <c r="H11" s="346" t="s">
        <v>294</v>
      </c>
      <c r="I11" s="347" t="s">
        <v>294</v>
      </c>
      <c r="J11" s="348" t="s">
        <v>698</v>
      </c>
      <c r="K11" s="349" t="s">
        <v>453</v>
      </c>
      <c r="L11" s="349">
        <v>43392</v>
      </c>
      <c r="M11" s="349" t="s">
        <v>452</v>
      </c>
      <c r="N11" s="350" t="s">
        <v>453</v>
      </c>
      <c r="O11" s="345" t="s">
        <v>453</v>
      </c>
      <c r="P11" s="346" t="s">
        <v>453</v>
      </c>
      <c r="Q11" s="346" t="s">
        <v>453</v>
      </c>
      <c r="R11" s="346" t="s">
        <v>453</v>
      </c>
      <c r="S11" s="346" t="s">
        <v>453</v>
      </c>
      <c r="T11" s="347" t="s">
        <v>453</v>
      </c>
      <c r="U11" s="348">
        <v>44083</v>
      </c>
      <c r="V11" s="349" t="s">
        <v>452</v>
      </c>
      <c r="W11" s="349" t="s">
        <v>453</v>
      </c>
      <c r="X11" s="350">
        <v>43392</v>
      </c>
    </row>
    <row r="12" spans="1:24" ht="15" customHeight="1" x14ac:dyDescent="0.3">
      <c r="A12" s="345" t="s">
        <v>709</v>
      </c>
      <c r="B12" s="346" t="s">
        <v>449</v>
      </c>
      <c r="C12" s="346" t="s">
        <v>449</v>
      </c>
      <c r="D12" s="346" t="s">
        <v>449</v>
      </c>
      <c r="E12" s="346" t="s">
        <v>449</v>
      </c>
      <c r="F12" s="347" t="s">
        <v>449</v>
      </c>
      <c r="G12" s="345" t="s">
        <v>477</v>
      </c>
      <c r="H12" s="346" t="s">
        <v>294</v>
      </c>
      <c r="I12" s="347" t="s">
        <v>294</v>
      </c>
      <c r="J12" s="348" t="s">
        <v>700</v>
      </c>
      <c r="K12" s="349" t="s">
        <v>453</v>
      </c>
      <c r="L12" s="349">
        <v>43393</v>
      </c>
      <c r="M12" s="349" t="s">
        <v>466</v>
      </c>
      <c r="N12" s="350" t="s">
        <v>453</v>
      </c>
      <c r="O12" s="345" t="s">
        <v>453</v>
      </c>
      <c r="P12" s="346" t="s">
        <v>453</v>
      </c>
      <c r="Q12" s="346" t="s">
        <v>453</v>
      </c>
      <c r="R12" s="346" t="s">
        <v>453</v>
      </c>
      <c r="S12" s="346" t="s">
        <v>453</v>
      </c>
      <c r="T12" s="347" t="s">
        <v>453</v>
      </c>
      <c r="U12" s="348">
        <v>44058</v>
      </c>
      <c r="V12" s="349" t="s">
        <v>466</v>
      </c>
      <c r="W12" s="349" t="s">
        <v>453</v>
      </c>
      <c r="X12" s="350">
        <v>43393</v>
      </c>
    </row>
    <row r="13" spans="1:24" ht="15" customHeight="1" x14ac:dyDescent="0.3">
      <c r="A13" s="345" t="s">
        <v>465</v>
      </c>
      <c r="B13" s="346" t="s">
        <v>449</v>
      </c>
      <c r="C13" s="346" t="s">
        <v>449</v>
      </c>
      <c r="D13" s="346" t="s">
        <v>449</v>
      </c>
      <c r="E13" s="346" t="s">
        <v>449</v>
      </c>
      <c r="F13" s="347" t="s">
        <v>449</v>
      </c>
      <c r="G13" s="345" t="s">
        <v>463</v>
      </c>
      <c r="H13" s="346" t="s">
        <v>294</v>
      </c>
      <c r="I13" s="347" t="s">
        <v>294</v>
      </c>
      <c r="J13" s="348" t="s">
        <v>718</v>
      </c>
      <c r="K13" s="349" t="s">
        <v>453</v>
      </c>
      <c r="L13" s="349">
        <v>43393</v>
      </c>
      <c r="M13" s="349" t="s">
        <v>466</v>
      </c>
      <c r="N13" s="350" t="s">
        <v>453</v>
      </c>
      <c r="O13" s="345" t="s">
        <v>453</v>
      </c>
      <c r="P13" s="346" t="s">
        <v>453</v>
      </c>
      <c r="Q13" s="346" t="s">
        <v>453</v>
      </c>
      <c r="R13" s="346" t="s">
        <v>453</v>
      </c>
      <c r="S13" s="346" t="s">
        <v>453</v>
      </c>
      <c r="T13" s="347" t="s">
        <v>453</v>
      </c>
      <c r="U13" s="348">
        <v>44542</v>
      </c>
      <c r="V13" s="349" t="s">
        <v>466</v>
      </c>
      <c r="W13" s="349" t="s">
        <v>453</v>
      </c>
      <c r="X13" s="350">
        <v>43393</v>
      </c>
    </row>
    <row r="14" spans="1:24" x14ac:dyDescent="0.3">
      <c r="A14" s="345" t="s">
        <v>710</v>
      </c>
      <c r="B14" s="346"/>
      <c r="C14" s="346"/>
      <c r="D14" s="346"/>
      <c r="E14" s="346"/>
      <c r="F14" s="347"/>
      <c r="G14" s="345" t="s">
        <v>107</v>
      </c>
      <c r="H14" s="346" t="s">
        <v>294</v>
      </c>
      <c r="I14" s="347" t="s">
        <v>294</v>
      </c>
      <c r="J14" s="348" t="s">
        <v>711</v>
      </c>
      <c r="K14" s="349" t="s">
        <v>453</v>
      </c>
      <c r="L14" s="349">
        <v>43394</v>
      </c>
      <c r="M14" s="349" t="s">
        <v>471</v>
      </c>
      <c r="N14" s="350" t="s">
        <v>453</v>
      </c>
      <c r="O14" s="345" t="s">
        <v>453</v>
      </c>
      <c r="P14" s="346" t="s">
        <v>453</v>
      </c>
      <c r="Q14" s="346" t="s">
        <v>453</v>
      </c>
      <c r="R14" s="346" t="s">
        <v>453</v>
      </c>
      <c r="S14" s="346" t="s">
        <v>453</v>
      </c>
      <c r="T14" s="347" t="s">
        <v>453</v>
      </c>
      <c r="U14" s="348">
        <v>44158</v>
      </c>
      <c r="V14" s="349" t="s">
        <v>471</v>
      </c>
      <c r="W14" s="349" t="s">
        <v>453</v>
      </c>
      <c r="X14" s="350">
        <v>43394</v>
      </c>
    </row>
    <row r="15" spans="1:24" x14ac:dyDescent="0.3">
      <c r="A15" s="345" t="s">
        <v>710</v>
      </c>
      <c r="B15" s="346"/>
      <c r="C15" s="346"/>
      <c r="D15" s="346"/>
      <c r="E15" s="346"/>
      <c r="F15" s="347"/>
      <c r="G15" s="345" t="s">
        <v>109</v>
      </c>
      <c r="H15" s="346" t="s">
        <v>294</v>
      </c>
      <c r="I15" s="347" t="s">
        <v>294</v>
      </c>
      <c r="J15" s="348" t="s">
        <v>712</v>
      </c>
      <c r="K15" s="349" t="s">
        <v>453</v>
      </c>
      <c r="L15" s="349">
        <v>43394</v>
      </c>
      <c r="M15" s="349" t="s">
        <v>471</v>
      </c>
      <c r="N15" s="350" t="s">
        <v>453</v>
      </c>
      <c r="O15" s="345" t="s">
        <v>453</v>
      </c>
      <c r="P15" s="346" t="s">
        <v>453</v>
      </c>
      <c r="Q15" s="346" t="s">
        <v>453</v>
      </c>
      <c r="R15" s="346" t="s">
        <v>453</v>
      </c>
      <c r="S15" s="346" t="s">
        <v>453</v>
      </c>
      <c r="T15" s="347" t="s">
        <v>453</v>
      </c>
      <c r="U15" s="348">
        <v>44331</v>
      </c>
      <c r="V15" s="349" t="s">
        <v>471</v>
      </c>
      <c r="W15" s="349" t="s">
        <v>453</v>
      </c>
      <c r="X15" s="350">
        <v>43394</v>
      </c>
    </row>
    <row r="16" spans="1:24" x14ac:dyDescent="0.3">
      <c r="A16" s="345" t="s">
        <v>710</v>
      </c>
      <c r="B16" s="346"/>
      <c r="C16" s="346"/>
      <c r="D16" s="346"/>
      <c r="E16" s="346"/>
      <c r="F16" s="347"/>
      <c r="G16" s="345" t="s">
        <v>111</v>
      </c>
      <c r="H16" s="346" t="s">
        <v>294</v>
      </c>
      <c r="I16" s="347" t="s">
        <v>294</v>
      </c>
      <c r="J16" s="348" t="s">
        <v>713</v>
      </c>
      <c r="K16" s="349" t="s">
        <v>453</v>
      </c>
      <c r="L16" s="349">
        <v>43394</v>
      </c>
      <c r="M16" s="349" t="s">
        <v>471</v>
      </c>
      <c r="N16" s="350" t="s">
        <v>453</v>
      </c>
      <c r="O16" s="345" t="s">
        <v>453</v>
      </c>
      <c r="P16" s="346" t="s">
        <v>453</v>
      </c>
      <c r="Q16" s="346" t="s">
        <v>453</v>
      </c>
      <c r="R16" s="346" t="s">
        <v>453</v>
      </c>
      <c r="S16" s="346" t="s">
        <v>453</v>
      </c>
      <c r="T16" s="347" t="s">
        <v>453</v>
      </c>
      <c r="U16" s="348">
        <v>44331</v>
      </c>
      <c r="V16" s="349" t="s">
        <v>471</v>
      </c>
      <c r="W16" s="349" t="s">
        <v>453</v>
      </c>
      <c r="X16" s="350">
        <v>43394</v>
      </c>
    </row>
    <row r="17" spans="1:24" x14ac:dyDescent="0.3">
      <c r="A17" s="345" t="s">
        <v>710</v>
      </c>
      <c r="B17" s="346"/>
      <c r="C17" s="346"/>
      <c r="D17" s="346"/>
      <c r="E17" s="346"/>
      <c r="F17" s="347"/>
      <c r="G17" s="345" t="s">
        <v>311</v>
      </c>
      <c r="H17" s="346" t="s">
        <v>294</v>
      </c>
      <c r="I17" s="347" t="s">
        <v>294</v>
      </c>
      <c r="J17" s="348" t="s">
        <v>714</v>
      </c>
      <c r="K17" s="349" t="s">
        <v>453</v>
      </c>
      <c r="L17" s="349">
        <v>43394</v>
      </c>
      <c r="M17" s="349" t="s">
        <v>471</v>
      </c>
      <c r="N17" s="350" t="s">
        <v>453</v>
      </c>
      <c r="O17" s="345" t="s">
        <v>453</v>
      </c>
      <c r="P17" s="346" t="s">
        <v>453</v>
      </c>
      <c r="Q17" s="346" t="s">
        <v>453</v>
      </c>
      <c r="R17" s="346" t="s">
        <v>453</v>
      </c>
      <c r="S17" s="346" t="s">
        <v>453</v>
      </c>
      <c r="T17" s="347" t="s">
        <v>453</v>
      </c>
      <c r="U17" s="348">
        <v>44331</v>
      </c>
      <c r="V17" s="349" t="s">
        <v>471</v>
      </c>
      <c r="W17" s="349" t="s">
        <v>453</v>
      </c>
      <c r="X17" s="350">
        <v>43394</v>
      </c>
    </row>
    <row r="18" spans="1:24" x14ac:dyDescent="0.3">
      <c r="A18" s="345" t="s">
        <v>470</v>
      </c>
      <c r="B18" s="346" t="s">
        <v>449</v>
      </c>
      <c r="C18" s="346" t="s">
        <v>449</v>
      </c>
      <c r="D18" s="346" t="s">
        <v>449</v>
      </c>
      <c r="E18" s="346" t="s">
        <v>449</v>
      </c>
      <c r="F18" s="347" t="s">
        <v>449</v>
      </c>
      <c r="G18" s="345" t="s">
        <v>467</v>
      </c>
      <c r="H18" s="346" t="s">
        <v>294</v>
      </c>
      <c r="I18" s="347" t="s">
        <v>294</v>
      </c>
      <c r="J18" s="348" t="s">
        <v>699</v>
      </c>
      <c r="K18" s="349" t="s">
        <v>453</v>
      </c>
      <c r="L18" s="349">
        <v>43394</v>
      </c>
      <c r="M18" s="349" t="s">
        <v>471</v>
      </c>
      <c r="N18" s="350" t="s">
        <v>453</v>
      </c>
      <c r="O18" s="345" t="s">
        <v>453</v>
      </c>
      <c r="P18" s="346" t="s">
        <v>453</v>
      </c>
      <c r="Q18" s="346" t="s">
        <v>453</v>
      </c>
      <c r="R18" s="346" t="s">
        <v>453</v>
      </c>
      <c r="S18" s="346" t="s">
        <v>453</v>
      </c>
      <c r="T18" s="347" t="s">
        <v>453</v>
      </c>
      <c r="U18" s="348">
        <v>44331</v>
      </c>
      <c r="V18" s="349" t="s">
        <v>471</v>
      </c>
      <c r="W18" s="349" t="s">
        <v>453</v>
      </c>
      <c r="X18" s="350">
        <v>43394</v>
      </c>
    </row>
  </sheetData>
  <mergeCells count="56">
    <mergeCell ref="A12:F12"/>
    <mergeCell ref="G12:I12"/>
    <mergeCell ref="J12:N12"/>
    <mergeCell ref="O12:T12"/>
    <mergeCell ref="U12:X12"/>
    <mergeCell ref="A18:F18"/>
    <mergeCell ref="G18:I18"/>
    <mergeCell ref="J18:N18"/>
    <mergeCell ref="O18:T18"/>
    <mergeCell ref="U18:X18"/>
    <mergeCell ref="A17:F17"/>
    <mergeCell ref="G17:I17"/>
    <mergeCell ref="J17:N17"/>
    <mergeCell ref="O17:T17"/>
    <mergeCell ref="U17:X17"/>
    <mergeCell ref="A16:F16"/>
    <mergeCell ref="G16:I16"/>
    <mergeCell ref="J16:N16"/>
    <mergeCell ref="O16:T16"/>
    <mergeCell ref="U16:X16"/>
    <mergeCell ref="A15:F15"/>
    <mergeCell ref="G15:I15"/>
    <mergeCell ref="J15:N15"/>
    <mergeCell ref="O15:T15"/>
    <mergeCell ref="U15:X15"/>
    <mergeCell ref="A14:F14"/>
    <mergeCell ref="G14:I14"/>
    <mergeCell ref="J14:N14"/>
    <mergeCell ref="O14:T14"/>
    <mergeCell ref="U14:X14"/>
    <mergeCell ref="A11:F11"/>
    <mergeCell ref="G11:I11"/>
    <mergeCell ref="J11:N11"/>
    <mergeCell ref="O11:T11"/>
    <mergeCell ref="U11:X11"/>
    <mergeCell ref="A5:X5"/>
    <mergeCell ref="A10:F10"/>
    <mergeCell ref="G10:I10"/>
    <mergeCell ref="J10:N10"/>
    <mergeCell ref="O10:T10"/>
    <mergeCell ref="U10:X10"/>
    <mergeCell ref="A8:F8"/>
    <mergeCell ref="G8:I8"/>
    <mergeCell ref="J8:N8"/>
    <mergeCell ref="O8:T8"/>
    <mergeCell ref="U8:X8"/>
    <mergeCell ref="A9:F9"/>
    <mergeCell ref="G9:I9"/>
    <mergeCell ref="J9:N9"/>
    <mergeCell ref="O9:T9"/>
    <mergeCell ref="U9:X9"/>
    <mergeCell ref="A13:F13"/>
    <mergeCell ref="G13:I13"/>
    <mergeCell ref="J13:N13"/>
    <mergeCell ref="O13:T13"/>
    <mergeCell ref="U13:X13"/>
  </mergeCells>
  <phoneticPr fontId="54" type="noConversion"/>
  <printOptions horizontalCentered="1"/>
  <pageMargins left="0.51" right="0.51" top="0.51" bottom="0.51" header="0" footer="0.31"/>
  <pageSetup orientation="portrait" verticalDpi="4294967293" r:id="rId1"/>
  <headerFooter>
    <oddFooter xml:space="preserve">&amp;C&amp;G&amp;R&amp;"Arial,Normal"&amp;7Página &amp;Pde&amp;N&amp;8
</oddFooter>
  </headerFooter>
  <legacyDrawingHF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W113"/>
  <sheetViews>
    <sheetView zoomScale="75" zoomScaleNormal="75" workbookViewId="0">
      <selection activeCell="C15" sqref="C15:W18"/>
    </sheetView>
  </sheetViews>
  <sheetFormatPr baseColWidth="10" defaultColWidth="8.88671875" defaultRowHeight="14.4" x14ac:dyDescent="0.3"/>
  <cols>
    <col min="1" max="1" width="3" bestFit="1" customWidth="1"/>
    <col min="2" max="2" width="4" customWidth="1"/>
    <col min="3" max="3" width="15.44140625" style="3" bestFit="1" customWidth="1"/>
    <col min="4" max="4" width="22.33203125" style="3" customWidth="1"/>
    <col min="5" max="5" width="15.5546875" style="3" bestFit="1" customWidth="1"/>
    <col min="6" max="6" width="13.33203125" style="3" bestFit="1" customWidth="1"/>
    <col min="7" max="7" width="13.88671875" style="3" customWidth="1"/>
    <col min="8" max="8" width="13.5546875" style="3" customWidth="1"/>
    <col min="9" max="9" width="13.6640625" style="3" customWidth="1"/>
    <col min="10" max="10" width="15.33203125" style="3" customWidth="1"/>
    <col min="11" max="11" width="14.88671875" style="3" bestFit="1" customWidth="1"/>
    <col min="12" max="12" width="11" style="3" customWidth="1"/>
    <col min="13" max="13" width="11.88671875" customWidth="1"/>
    <col min="14" max="14" width="10.6640625" customWidth="1"/>
    <col min="15" max="15" width="10.33203125" customWidth="1"/>
    <col min="16" max="16" width="10.109375" customWidth="1"/>
    <col min="17" max="17" width="10.6640625" customWidth="1"/>
    <col min="18" max="18" width="14.33203125" customWidth="1"/>
    <col min="19" max="19" width="11.88671875" customWidth="1"/>
    <col min="20" max="20" width="12" customWidth="1"/>
    <col min="21" max="21" width="11.44140625" customWidth="1"/>
    <col min="22" max="22" width="10.44140625" bestFit="1" customWidth="1"/>
    <col min="23" max="23" width="28.6640625" bestFit="1" customWidth="1"/>
    <col min="24" max="24" width="18.33203125" bestFit="1" customWidth="1"/>
    <col min="25" max="25" width="31" customWidth="1"/>
    <col min="26" max="26" width="18.33203125" customWidth="1"/>
  </cols>
  <sheetData>
    <row r="1" spans="2:23" x14ac:dyDescent="0.3">
      <c r="C1"/>
      <c r="D1"/>
      <c r="E1"/>
      <c r="F1"/>
      <c r="G1"/>
      <c r="H1"/>
      <c r="I1"/>
      <c r="J1"/>
      <c r="K1"/>
      <c r="L1"/>
    </row>
    <row r="2" spans="2:23" x14ac:dyDescent="0.3">
      <c r="C2" s="15" t="s">
        <v>99</v>
      </c>
      <c r="D2" s="15"/>
      <c r="E2"/>
      <c r="F2"/>
      <c r="G2"/>
      <c r="H2"/>
      <c r="I2"/>
      <c r="J2"/>
      <c r="K2"/>
      <c r="L2"/>
    </row>
    <row r="3" spans="2:23" x14ac:dyDescent="0.3">
      <c r="C3"/>
      <c r="D3"/>
      <c r="E3"/>
      <c r="F3"/>
      <c r="G3"/>
      <c r="H3"/>
      <c r="I3"/>
      <c r="J3"/>
      <c r="K3"/>
      <c r="L3"/>
    </row>
    <row r="4" spans="2:23" ht="14.4" customHeight="1" x14ac:dyDescent="0.3">
      <c r="C4"/>
      <c r="D4"/>
      <c r="E4"/>
      <c r="F4"/>
      <c r="G4"/>
      <c r="H4" s="392" t="s">
        <v>100</v>
      </c>
      <c r="I4" s="393"/>
      <c r="J4" s="392" t="s">
        <v>101</v>
      </c>
      <c r="K4" s="393"/>
      <c r="L4" s="394" t="s">
        <v>258</v>
      </c>
      <c r="M4" s="396" t="s">
        <v>116</v>
      </c>
      <c r="N4" s="397"/>
      <c r="O4" s="397"/>
      <c r="P4" s="398"/>
    </row>
    <row r="5" spans="2:23" ht="30.6" x14ac:dyDescent="0.3">
      <c r="B5" s="47" t="s">
        <v>102</v>
      </c>
      <c r="C5" s="47" t="s">
        <v>4</v>
      </c>
      <c r="D5" s="47" t="s">
        <v>103</v>
      </c>
      <c r="E5" s="47" t="s">
        <v>127</v>
      </c>
      <c r="F5" s="47" t="s">
        <v>128</v>
      </c>
      <c r="G5" s="47" t="s">
        <v>104</v>
      </c>
      <c r="H5" s="47" t="s">
        <v>129</v>
      </c>
      <c r="I5" s="47" t="s">
        <v>105</v>
      </c>
      <c r="J5" s="47" t="s">
        <v>130</v>
      </c>
      <c r="K5" s="47" t="s">
        <v>106</v>
      </c>
      <c r="L5" s="395"/>
      <c r="M5" s="399"/>
      <c r="N5" s="400"/>
      <c r="O5" s="400"/>
      <c r="P5" s="401"/>
    </row>
    <row r="6" spans="2:23" x14ac:dyDescent="0.3">
      <c r="B6" s="16">
        <v>1</v>
      </c>
      <c r="C6" s="16" t="s">
        <v>107</v>
      </c>
      <c r="D6" s="16" t="s">
        <v>108</v>
      </c>
      <c r="E6" s="16">
        <v>60</v>
      </c>
      <c r="F6" s="16">
        <v>0.1</v>
      </c>
      <c r="G6" s="16">
        <v>0.1</v>
      </c>
      <c r="H6" s="16">
        <v>0.5</v>
      </c>
      <c r="I6" s="16">
        <v>2.5</v>
      </c>
      <c r="J6" s="129">
        <v>0.3</v>
      </c>
      <c r="K6" s="129">
        <v>1.3</v>
      </c>
      <c r="L6" s="130">
        <v>45328</v>
      </c>
      <c r="M6" s="131" t="s">
        <v>1260</v>
      </c>
      <c r="N6" s="132"/>
      <c r="O6" s="133"/>
      <c r="P6" s="136"/>
    </row>
    <row r="7" spans="2:23" x14ac:dyDescent="0.3">
      <c r="B7" s="16">
        <v>2</v>
      </c>
      <c r="C7" s="16" t="s">
        <v>109</v>
      </c>
      <c r="D7" s="16" t="s">
        <v>110</v>
      </c>
      <c r="E7" s="16">
        <v>50</v>
      </c>
      <c r="F7" s="16">
        <v>0.1</v>
      </c>
      <c r="G7" s="16">
        <v>0.1</v>
      </c>
      <c r="H7" s="16">
        <v>0.5</v>
      </c>
      <c r="I7" s="16">
        <v>3</v>
      </c>
      <c r="J7" s="129">
        <v>0.4</v>
      </c>
      <c r="K7" s="129">
        <v>1.3</v>
      </c>
      <c r="L7" s="130">
        <v>44839</v>
      </c>
      <c r="M7" s="128" t="s">
        <v>1261</v>
      </c>
      <c r="N7" s="132"/>
      <c r="O7" s="133"/>
      <c r="P7" s="136"/>
    </row>
    <row r="8" spans="2:23" x14ac:dyDescent="0.3">
      <c r="B8" s="16">
        <v>3</v>
      </c>
      <c r="C8" s="16" t="s">
        <v>111</v>
      </c>
      <c r="D8" s="16" t="s">
        <v>108</v>
      </c>
      <c r="E8" s="16">
        <v>60</v>
      </c>
      <c r="F8" s="16">
        <v>0.1</v>
      </c>
      <c r="G8" s="16">
        <v>0.1</v>
      </c>
      <c r="H8" s="16">
        <v>0.5</v>
      </c>
      <c r="I8" s="16">
        <v>2.5</v>
      </c>
      <c r="J8" s="129">
        <v>0.27</v>
      </c>
      <c r="K8" s="129">
        <v>1.3</v>
      </c>
      <c r="L8" s="130">
        <v>45328</v>
      </c>
      <c r="M8" s="128" t="s">
        <v>1262</v>
      </c>
      <c r="N8" s="134"/>
      <c r="O8" s="135"/>
      <c r="P8" s="136"/>
    </row>
    <row r="9" spans="2:23" x14ac:dyDescent="0.3">
      <c r="B9" s="16">
        <v>4</v>
      </c>
      <c r="C9" s="16" t="s">
        <v>311</v>
      </c>
      <c r="D9" s="16" t="s">
        <v>108</v>
      </c>
      <c r="E9" s="16">
        <v>60</v>
      </c>
      <c r="F9" s="16">
        <v>0.1</v>
      </c>
      <c r="G9" s="16">
        <v>0.1</v>
      </c>
      <c r="H9" s="16">
        <v>0.5</v>
      </c>
      <c r="I9" s="16">
        <v>2.5</v>
      </c>
      <c r="J9" s="129">
        <v>0.4</v>
      </c>
      <c r="K9" s="129">
        <v>2.2000000000000002</v>
      </c>
      <c r="L9" s="130">
        <v>44839</v>
      </c>
      <c r="M9" s="128" t="s">
        <v>1263</v>
      </c>
      <c r="N9" s="132"/>
      <c r="O9" s="133"/>
      <c r="P9" s="136"/>
    </row>
    <row r="10" spans="2:23" x14ac:dyDescent="0.3">
      <c r="B10" s="16">
        <v>5</v>
      </c>
      <c r="C10" s="16" t="s">
        <v>467</v>
      </c>
      <c r="D10" s="16" t="s">
        <v>468</v>
      </c>
      <c r="E10" s="16">
        <v>60</v>
      </c>
      <c r="F10" s="16">
        <v>0.1</v>
      </c>
      <c r="G10" s="16">
        <v>0.1</v>
      </c>
      <c r="H10" s="16">
        <v>0.8</v>
      </c>
      <c r="I10" s="16">
        <v>4.2</v>
      </c>
      <c r="J10" s="129">
        <v>0.42</v>
      </c>
      <c r="K10" s="129">
        <v>1.3</v>
      </c>
      <c r="L10" s="130">
        <v>44839</v>
      </c>
      <c r="M10" s="128" t="s">
        <v>1264</v>
      </c>
      <c r="N10" s="27"/>
      <c r="O10" s="27"/>
      <c r="P10" s="136"/>
    </row>
    <row r="11" spans="2:23" x14ac:dyDescent="0.3">
      <c r="C11"/>
      <c r="D11"/>
      <c r="E11"/>
      <c r="F11"/>
      <c r="G11"/>
      <c r="H11"/>
      <c r="I11"/>
      <c r="J11"/>
      <c r="K11"/>
      <c r="L11"/>
    </row>
    <row r="12" spans="2:23" ht="16.2" x14ac:dyDescent="0.3">
      <c r="C12" s="23" t="s">
        <v>112</v>
      </c>
      <c r="D12" s="36" t="s">
        <v>290</v>
      </c>
      <c r="E12"/>
      <c r="F12" t="s">
        <v>298</v>
      </c>
      <c r="G12"/>
      <c r="H12"/>
      <c r="I12"/>
      <c r="J12"/>
      <c r="K12"/>
      <c r="L12"/>
    </row>
    <row r="13" spans="2:23" ht="14.4" customHeight="1" x14ac:dyDescent="0.3">
      <c r="B13" s="28"/>
      <c r="C13" s="28"/>
      <c r="D13" s="28"/>
      <c r="E13" s="28"/>
      <c r="F13" s="28"/>
      <c r="G13" s="28"/>
      <c r="H13" s="390" t="s">
        <v>115</v>
      </c>
      <c r="I13" s="391"/>
      <c r="J13" s="390" t="s">
        <v>292</v>
      </c>
      <c r="K13" s="391"/>
      <c r="L13" s="390" t="s">
        <v>137</v>
      </c>
      <c r="M13" s="391"/>
      <c r="N13" s="390" t="s">
        <v>45</v>
      </c>
      <c r="O13" s="391"/>
      <c r="P13" s="390" t="s">
        <v>300</v>
      </c>
      <c r="Q13" s="391"/>
      <c r="T13" s="185" t="s">
        <v>330</v>
      </c>
      <c r="U13" s="180"/>
    </row>
    <row r="14" spans="2:23" ht="57.6" x14ac:dyDescent="0.3">
      <c r="B14" s="21" t="s">
        <v>102</v>
      </c>
      <c r="C14" s="22" t="s">
        <v>113</v>
      </c>
      <c r="D14" s="22" t="s">
        <v>91</v>
      </c>
      <c r="E14" s="22" t="s">
        <v>103</v>
      </c>
      <c r="F14" s="22" t="s">
        <v>28</v>
      </c>
      <c r="G14" s="22" t="s">
        <v>291</v>
      </c>
      <c r="H14" s="22" t="s">
        <v>331</v>
      </c>
      <c r="I14" s="22" t="s">
        <v>332</v>
      </c>
      <c r="J14" s="22" t="s">
        <v>288</v>
      </c>
      <c r="K14" s="22" t="s">
        <v>289</v>
      </c>
      <c r="L14" s="22" t="s">
        <v>135</v>
      </c>
      <c r="M14" s="22" t="s">
        <v>136</v>
      </c>
      <c r="N14" s="22" t="s">
        <v>328</v>
      </c>
      <c r="O14" s="22" t="s">
        <v>327</v>
      </c>
      <c r="P14" s="22" t="s">
        <v>301</v>
      </c>
      <c r="Q14" s="22" t="s">
        <v>299</v>
      </c>
      <c r="R14" s="22" t="s">
        <v>329</v>
      </c>
      <c r="S14" s="22" t="s">
        <v>333</v>
      </c>
      <c r="T14" s="22" t="s">
        <v>334</v>
      </c>
      <c r="U14" s="22" t="s">
        <v>126</v>
      </c>
      <c r="V14" s="22" t="s">
        <v>125</v>
      </c>
      <c r="W14" s="22" t="s">
        <v>101</v>
      </c>
    </row>
    <row r="15" spans="2:23" ht="28.8" x14ac:dyDescent="0.3">
      <c r="B15" s="30">
        <v>1</v>
      </c>
      <c r="C15" s="17" t="s">
        <v>285</v>
      </c>
      <c r="D15" s="17" t="s">
        <v>286</v>
      </c>
      <c r="E15" s="19" t="s">
        <v>114</v>
      </c>
      <c r="F15" s="19" t="s">
        <v>287</v>
      </c>
      <c r="G15" s="18" t="s">
        <v>297</v>
      </c>
      <c r="H15" s="20">
        <v>-10</v>
      </c>
      <c r="I15" s="20">
        <v>50</v>
      </c>
      <c r="J15" s="20">
        <v>-15</v>
      </c>
      <c r="K15" s="20">
        <v>200</v>
      </c>
      <c r="L15" s="142">
        <v>-12</v>
      </c>
      <c r="M15" s="142">
        <v>200</v>
      </c>
      <c r="N15" s="32">
        <v>0.1</v>
      </c>
      <c r="O15" s="32">
        <v>0.01</v>
      </c>
      <c r="P15" s="20">
        <v>0.1</v>
      </c>
      <c r="Q15" s="20">
        <v>0.05</v>
      </c>
      <c r="R15" s="32">
        <v>5.0000000000000001E-3</v>
      </c>
      <c r="S15" s="32">
        <v>15</v>
      </c>
      <c r="T15" s="32">
        <v>35</v>
      </c>
      <c r="U15" s="139">
        <v>44830</v>
      </c>
      <c r="V15" s="157" t="s">
        <v>134</v>
      </c>
      <c r="W15" s="140" t="s">
        <v>1265</v>
      </c>
    </row>
    <row r="16" spans="2:23" ht="28.8" x14ac:dyDescent="0.3">
      <c r="B16" s="30">
        <v>2</v>
      </c>
      <c r="C16" s="18" t="s">
        <v>293</v>
      </c>
      <c r="D16" s="17" t="s">
        <v>295</v>
      </c>
      <c r="E16" s="19" t="s">
        <v>114</v>
      </c>
      <c r="F16" s="19" t="s">
        <v>296</v>
      </c>
      <c r="G16" s="18" t="s">
        <v>297</v>
      </c>
      <c r="H16" s="20">
        <v>-10</v>
      </c>
      <c r="I16" s="20">
        <v>50</v>
      </c>
      <c r="J16" s="20">
        <v>0</v>
      </c>
      <c r="K16" s="20">
        <v>10000</v>
      </c>
      <c r="L16" s="142">
        <v>0</v>
      </c>
      <c r="M16" s="142">
        <v>5000</v>
      </c>
      <c r="N16" s="32">
        <v>7</v>
      </c>
      <c r="O16" s="32">
        <v>1</v>
      </c>
      <c r="P16" s="170" t="s">
        <v>214</v>
      </c>
      <c r="Q16" s="20">
        <v>0.05</v>
      </c>
      <c r="R16" s="32">
        <v>5.0000000000000001E-3</v>
      </c>
      <c r="S16" s="32">
        <v>15</v>
      </c>
      <c r="T16" s="32">
        <v>35</v>
      </c>
      <c r="U16" s="141">
        <v>44830</v>
      </c>
      <c r="V16" s="157" t="s">
        <v>134</v>
      </c>
      <c r="W16" s="140" t="s">
        <v>1266</v>
      </c>
    </row>
    <row r="17" spans="1:23" ht="28.8" x14ac:dyDescent="0.3">
      <c r="B17" s="30">
        <v>3</v>
      </c>
      <c r="C17" s="18" t="s">
        <v>477</v>
      </c>
      <c r="D17" s="18" t="s">
        <v>1267</v>
      </c>
      <c r="E17" s="19" t="s">
        <v>1268</v>
      </c>
      <c r="F17" s="19" t="s">
        <v>478</v>
      </c>
      <c r="G17" s="18" t="s">
        <v>297</v>
      </c>
      <c r="H17" s="20">
        <v>-10</v>
      </c>
      <c r="I17" s="20">
        <v>50</v>
      </c>
      <c r="J17" s="20">
        <v>-15</v>
      </c>
      <c r="K17" s="20">
        <v>300</v>
      </c>
      <c r="L17" s="140">
        <v>-12</v>
      </c>
      <c r="M17" s="140">
        <v>300</v>
      </c>
      <c r="N17" s="184">
        <v>0.1</v>
      </c>
      <c r="O17" s="20">
        <v>0.01</v>
      </c>
      <c r="P17" s="308">
        <v>0.1</v>
      </c>
      <c r="Q17" s="20">
        <v>0.02</v>
      </c>
      <c r="R17" s="32">
        <v>5.0000000000000001E-3</v>
      </c>
      <c r="S17" s="32">
        <v>-10</v>
      </c>
      <c r="T17" s="32">
        <v>50</v>
      </c>
      <c r="U17" s="141">
        <v>44830</v>
      </c>
      <c r="V17" s="157" t="s">
        <v>134</v>
      </c>
      <c r="W17" s="140" t="s">
        <v>1269</v>
      </c>
    </row>
    <row r="18" spans="1:23" ht="28.8" x14ac:dyDescent="0.3">
      <c r="B18" s="30">
        <v>4</v>
      </c>
      <c r="C18" s="18" t="s">
        <v>1270</v>
      </c>
      <c r="D18" s="18" t="s">
        <v>302</v>
      </c>
      <c r="E18" s="19" t="s">
        <v>114</v>
      </c>
      <c r="F18" s="19">
        <v>754</v>
      </c>
      <c r="G18" s="18" t="s">
        <v>303</v>
      </c>
      <c r="H18" s="20">
        <v>-10</v>
      </c>
      <c r="I18" s="20">
        <v>50</v>
      </c>
      <c r="J18" s="216">
        <v>0</v>
      </c>
      <c r="K18" s="20">
        <v>10000</v>
      </c>
      <c r="L18" s="215">
        <v>0</v>
      </c>
      <c r="M18" s="20">
        <v>10000</v>
      </c>
      <c r="N18" s="19"/>
      <c r="O18" s="20"/>
      <c r="P18" s="308">
        <v>2.5000000000000001E-2</v>
      </c>
      <c r="Q18" s="308">
        <v>2.5000000000000001E-2</v>
      </c>
      <c r="R18" s="32">
        <v>0</v>
      </c>
      <c r="S18" s="32">
        <v>0</v>
      </c>
      <c r="T18" s="32">
        <v>50</v>
      </c>
      <c r="U18" s="141">
        <v>45377</v>
      </c>
      <c r="V18" s="158" t="s">
        <v>134</v>
      </c>
      <c r="W18" s="140" t="s">
        <v>1271</v>
      </c>
    </row>
    <row r="19" spans="1:23" x14ac:dyDescent="0.3">
      <c r="C19"/>
      <c r="D19"/>
      <c r="E19"/>
      <c r="F19"/>
      <c r="G19"/>
      <c r="H19"/>
      <c r="I19"/>
      <c r="J19"/>
      <c r="K19"/>
      <c r="L19"/>
    </row>
    <row r="20" spans="1:23" x14ac:dyDescent="0.3">
      <c r="C20" t="s">
        <v>312</v>
      </c>
      <c r="D20"/>
      <c r="E20"/>
      <c r="F20"/>
      <c r="G20"/>
      <c r="H20"/>
      <c r="I20"/>
      <c r="J20"/>
      <c r="K20"/>
      <c r="L20"/>
    </row>
    <row r="21" spans="1:23" x14ac:dyDescent="0.3">
      <c r="C21"/>
      <c r="D21"/>
      <c r="E21"/>
      <c r="F21"/>
      <c r="G21"/>
      <c r="H21"/>
      <c r="I21"/>
      <c r="J21"/>
      <c r="K21"/>
      <c r="L21"/>
    </row>
    <row r="22" spans="1:23" x14ac:dyDescent="0.3">
      <c r="C22"/>
      <c r="D22"/>
      <c r="E22"/>
      <c r="F22"/>
      <c r="G22"/>
      <c r="H22"/>
      <c r="I22"/>
      <c r="J22"/>
      <c r="K22"/>
      <c r="L22"/>
    </row>
    <row r="23" spans="1:23" x14ac:dyDescent="0.3">
      <c r="C23" s="25" t="s">
        <v>313</v>
      </c>
      <c r="D23" s="25"/>
      <c r="E23" s="25"/>
      <c r="F23" s="25"/>
      <c r="G23" s="25"/>
      <c r="H23" s="25"/>
      <c r="I23" s="25"/>
      <c r="J23" s="25"/>
      <c r="K23"/>
      <c r="L23"/>
    </row>
    <row r="24" spans="1:23" ht="16.2" customHeight="1" x14ac:dyDescent="0.3">
      <c r="C24" s="15" t="s">
        <v>132</v>
      </c>
      <c r="D24" s="15"/>
      <c r="E24" s="35" t="s">
        <v>133</v>
      </c>
      <c r="F24" s="35"/>
      <c r="G24"/>
      <c r="H24" s="35" t="s">
        <v>138</v>
      </c>
      <c r="I24" s="35"/>
      <c r="J24" s="36" t="s">
        <v>309</v>
      </c>
      <c r="K24"/>
      <c r="L24"/>
      <c r="S24" t="s">
        <v>314</v>
      </c>
    </row>
    <row r="25" spans="1:23" ht="15.6" customHeight="1" x14ac:dyDescent="0.3">
      <c r="B25" s="21" t="s">
        <v>102</v>
      </c>
      <c r="C25" s="22" t="s">
        <v>113</v>
      </c>
      <c r="D25" s="22" t="s">
        <v>91</v>
      </c>
      <c r="E25" s="22" t="s">
        <v>307</v>
      </c>
      <c r="F25" s="22" t="s">
        <v>163</v>
      </c>
      <c r="G25" s="22" t="s">
        <v>164</v>
      </c>
      <c r="H25" s="22" t="s">
        <v>308</v>
      </c>
      <c r="I25" s="22" t="s">
        <v>165</v>
      </c>
      <c r="J25" s="61" t="s">
        <v>166</v>
      </c>
      <c r="K25" s="22" t="s">
        <v>161</v>
      </c>
      <c r="L25"/>
    </row>
    <row r="26" spans="1:23" x14ac:dyDescent="0.3">
      <c r="A26" s="34">
        <v>1</v>
      </c>
      <c r="B26" s="30">
        <v>1</v>
      </c>
      <c r="C26" s="62" t="str">
        <f>C15</f>
        <v>NI-MCPP-01</v>
      </c>
      <c r="D26" s="37" t="s">
        <v>286</v>
      </c>
      <c r="E26" s="20">
        <v>-12</v>
      </c>
      <c r="F26" s="20">
        <v>-2E-3</v>
      </c>
      <c r="G26" s="20">
        <v>2.1999999999999999E-2</v>
      </c>
      <c r="H26" s="20">
        <v>-12.882</v>
      </c>
      <c r="I26" s="20">
        <v>3.3000000000000002E-2</v>
      </c>
      <c r="J26" s="59">
        <v>3.4000000000000002E-2</v>
      </c>
      <c r="K26" s="17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3.5000000000000003E-2</v>
      </c>
      <c r="L26"/>
    </row>
    <row r="27" spans="1:23" x14ac:dyDescent="0.3">
      <c r="B27" s="56">
        <v>2</v>
      </c>
      <c r="C27" s="174" t="str">
        <f>$C$26</f>
        <v>NI-MCPP-01</v>
      </c>
      <c r="D27" s="38"/>
      <c r="E27" s="167">
        <v>0.04</v>
      </c>
      <c r="F27" s="167">
        <v>-3.6999999999999998E-2</v>
      </c>
      <c r="G27" s="167">
        <v>2.1000000000000001E-2</v>
      </c>
      <c r="H27" s="167">
        <v>4.0000000000000001E-3</v>
      </c>
      <c r="I27" s="20">
        <v>-1E-3</v>
      </c>
      <c r="J27" s="59">
        <v>1.4999999999999999E-2</v>
      </c>
      <c r="K27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3.5999999999999997E-2</v>
      </c>
      <c r="L27"/>
    </row>
    <row r="28" spans="1:23" x14ac:dyDescent="0.3">
      <c r="B28" s="56">
        <v>3</v>
      </c>
      <c r="C28" s="174" t="str">
        <f t="shared" ref="C28:C42" si="0">$C$26</f>
        <v>NI-MCPP-01</v>
      </c>
      <c r="D28" s="38"/>
      <c r="E28" s="167">
        <v>20</v>
      </c>
      <c r="F28" s="167">
        <v>-2.9000000000000001E-2</v>
      </c>
      <c r="G28" s="167">
        <v>2.1000000000000001E-2</v>
      </c>
      <c r="H28" s="167">
        <v>20.004999999999999</v>
      </c>
      <c r="I28" s="167">
        <v>0</v>
      </c>
      <c r="J28" s="59">
        <v>3.4000000000000002E-2</v>
      </c>
      <c r="K2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2.9000000000000001E-2</v>
      </c>
      <c r="L28"/>
    </row>
    <row r="29" spans="1:23" x14ac:dyDescent="0.3">
      <c r="B29" s="56">
        <v>4</v>
      </c>
      <c r="C29" s="174" t="str">
        <f t="shared" si="0"/>
        <v>NI-MCPP-01</v>
      </c>
      <c r="D29" s="38"/>
      <c r="E29" s="167">
        <v>50</v>
      </c>
      <c r="F29" s="167">
        <v>-4.9000000000000002E-2</v>
      </c>
      <c r="G29" s="167">
        <v>2.1000000000000001E-2</v>
      </c>
      <c r="H29" s="167">
        <v>50.027999999999999</v>
      </c>
      <c r="I29" s="167">
        <v>1.2E-2</v>
      </c>
      <c r="J29" s="59">
        <v>3.4000000000000002E-2</v>
      </c>
      <c r="K29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6.0999999999999999E-2</v>
      </c>
      <c r="L29"/>
    </row>
    <row r="30" spans="1:23" x14ac:dyDescent="0.3">
      <c r="B30" s="165">
        <v>5</v>
      </c>
      <c r="C30" s="174" t="str">
        <f t="shared" si="0"/>
        <v>NI-MCPP-01</v>
      </c>
      <c r="D30" s="38"/>
      <c r="E30" s="20">
        <v>100</v>
      </c>
      <c r="F30" s="20">
        <v>-4.2999999999999997E-2</v>
      </c>
      <c r="G30" s="20">
        <v>2.1000000000000001E-2</v>
      </c>
      <c r="H30" s="20">
        <v>99.997</v>
      </c>
      <c r="I30" s="20">
        <v>-8.0000000000000002E-3</v>
      </c>
      <c r="J30" s="59">
        <v>3.5999999999999997E-2</v>
      </c>
      <c r="K3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3.4999999999999996E-2</v>
      </c>
      <c r="L30"/>
    </row>
    <row r="31" spans="1:23" x14ac:dyDescent="0.3">
      <c r="B31" s="165">
        <v>6</v>
      </c>
      <c r="C31" s="174" t="str">
        <f t="shared" si="0"/>
        <v>NI-MCPP-01</v>
      </c>
      <c r="D31" s="38"/>
      <c r="E31" s="20">
        <v>150.005</v>
      </c>
      <c r="F31" s="33">
        <v>-6.2E-2</v>
      </c>
      <c r="G31" s="20">
        <v>2.8000000000000001E-2</v>
      </c>
      <c r="H31" s="20">
        <v>150.00299999999999</v>
      </c>
      <c r="I31" s="31">
        <v>3.0000000000000001E-3</v>
      </c>
      <c r="J31" s="59">
        <v>1.6E-2</v>
      </c>
      <c r="K3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1"/>
    </row>
    <row r="32" spans="1:23" x14ac:dyDescent="0.3">
      <c r="B32" s="165">
        <v>7</v>
      </c>
      <c r="C32" s="174" t="str">
        <f t="shared" si="0"/>
        <v>NI-MCPP-01</v>
      </c>
      <c r="D32" s="38"/>
      <c r="E32" s="20">
        <v>200</v>
      </c>
      <c r="F32" s="20">
        <v>-6.8000000000000005E-2</v>
      </c>
      <c r="G32" s="20">
        <v>2.1000000000000001E-2</v>
      </c>
      <c r="H32" s="20">
        <v>200.017</v>
      </c>
      <c r="I32" s="20">
        <v>-3.0000000000000001E-3</v>
      </c>
      <c r="J32" s="59">
        <v>3.9E-2</v>
      </c>
      <c r="K3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2"/>
    </row>
    <row r="33" spans="1:12" x14ac:dyDescent="0.3">
      <c r="B33" s="165">
        <v>8</v>
      </c>
      <c r="C33" s="174" t="str">
        <f t="shared" si="0"/>
        <v>NI-MCPP-01</v>
      </c>
      <c r="D33" s="38"/>
      <c r="E33" s="167">
        <v>200</v>
      </c>
      <c r="F33" s="167">
        <v>-6.8000000000000005E-2</v>
      </c>
      <c r="G33" s="167">
        <v>2.1000000000000001E-2</v>
      </c>
      <c r="H33" s="167">
        <v>199.999</v>
      </c>
      <c r="I33" s="31">
        <v>-1.0999999999999999E-2</v>
      </c>
      <c r="J33" s="59">
        <v>1.4999999999999999E-2</v>
      </c>
      <c r="K3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5.7000000000000009E-2</v>
      </c>
      <c r="L33"/>
    </row>
    <row r="34" spans="1:12" x14ac:dyDescent="0.3">
      <c r="B34" s="165">
        <v>9</v>
      </c>
      <c r="C34" s="174" t="str">
        <f t="shared" si="0"/>
        <v>NI-MCPP-01</v>
      </c>
      <c r="D34" s="38"/>
      <c r="E34" s="20">
        <v>150</v>
      </c>
      <c r="F34" s="20">
        <v>-9.6000000000000002E-2</v>
      </c>
      <c r="G34" s="20">
        <v>2.1000000000000001E-2</v>
      </c>
      <c r="H34" s="20">
        <v>150.00200000000001</v>
      </c>
      <c r="I34" s="31">
        <v>-1.2999999999999999E-2</v>
      </c>
      <c r="J34" s="59">
        <v>1.4999999999999999E-2</v>
      </c>
      <c r="K3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8.3000000000000004E-2</v>
      </c>
      <c r="L34"/>
    </row>
    <row r="35" spans="1:12" x14ac:dyDescent="0.3">
      <c r="B35" s="165">
        <v>10</v>
      </c>
      <c r="C35" s="174" t="str">
        <f t="shared" si="0"/>
        <v>NI-MCPP-01</v>
      </c>
      <c r="D35" s="38"/>
      <c r="E35" s="20">
        <v>100</v>
      </c>
      <c r="F35" s="20">
        <v>-9.8000000000000004E-2</v>
      </c>
      <c r="G35" s="20">
        <v>2.1999999999999999E-2</v>
      </c>
      <c r="H35" s="20">
        <v>100.00700000000001</v>
      </c>
      <c r="I35" s="31">
        <v>7.0000000000000001E-3</v>
      </c>
      <c r="J35" s="59">
        <v>4.2000000000000003E-2</v>
      </c>
      <c r="K3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0.10500000000000001</v>
      </c>
      <c r="L35"/>
    </row>
    <row r="36" spans="1:12" x14ac:dyDescent="0.3">
      <c r="B36" s="165">
        <v>11</v>
      </c>
      <c r="C36" s="174" t="str">
        <f t="shared" si="0"/>
        <v>NI-MCPP-01</v>
      </c>
      <c r="D36" s="38"/>
      <c r="E36" s="20">
        <v>50</v>
      </c>
      <c r="F36" s="20">
        <v>-9.4E-2</v>
      </c>
      <c r="G36" s="20">
        <v>2.1999999999999999E-2</v>
      </c>
      <c r="H36" s="20">
        <v>49.997999999999998</v>
      </c>
      <c r="I36" s="20">
        <v>-2E-3</v>
      </c>
      <c r="J36" s="59">
        <v>5.5E-2</v>
      </c>
      <c r="K3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9.1999999999999998E-2</v>
      </c>
      <c r="L36"/>
    </row>
    <row r="37" spans="1:12" x14ac:dyDescent="0.3">
      <c r="B37" s="165">
        <v>12</v>
      </c>
      <c r="C37" s="174" t="str">
        <f t="shared" si="0"/>
        <v>NI-MCPP-01</v>
      </c>
      <c r="D37" s="38"/>
      <c r="E37" s="20">
        <v>20.004999999999999</v>
      </c>
      <c r="F37" s="20">
        <v>-0.06</v>
      </c>
      <c r="G37" s="20">
        <v>2.9000000000000001E-2</v>
      </c>
      <c r="H37" s="20">
        <v>20.015000000000001</v>
      </c>
      <c r="I37" s="31">
        <v>5.0000000000000001E-3</v>
      </c>
      <c r="J37" s="59">
        <v>1.7999999999999999E-2</v>
      </c>
      <c r="K3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6.5000000000000002E-2</v>
      </c>
      <c r="L37"/>
    </row>
    <row r="38" spans="1:12" x14ac:dyDescent="0.3">
      <c r="B38" s="165">
        <v>13</v>
      </c>
      <c r="C38" s="174" t="str">
        <f t="shared" si="0"/>
        <v>NI-MCPP-01</v>
      </c>
      <c r="D38" s="38"/>
      <c r="E38" s="20">
        <v>0.04</v>
      </c>
      <c r="F38" s="20">
        <v>-3.4000000000000002E-2</v>
      </c>
      <c r="G38" s="20">
        <v>2.1999999999999999E-2</v>
      </c>
      <c r="H38" s="20">
        <v>1E-3</v>
      </c>
      <c r="I38" s="31">
        <v>-4.0000000000000001E-3</v>
      </c>
      <c r="J38" s="59">
        <v>2.4E-2</v>
      </c>
      <c r="K3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3.0000000000000002E-2</v>
      </c>
      <c r="L38"/>
    </row>
    <row r="39" spans="1:12" x14ac:dyDescent="0.3">
      <c r="B39" s="165">
        <v>14</v>
      </c>
      <c r="C39" s="174" t="str">
        <f t="shared" si="0"/>
        <v>NI-MCPP-01</v>
      </c>
      <c r="D39" s="38"/>
      <c r="E39" s="20">
        <v>-12</v>
      </c>
      <c r="F39" s="20">
        <v>-3.0000000000000001E-3</v>
      </c>
      <c r="G39" s="20">
        <v>2.1999999999999999E-2</v>
      </c>
      <c r="H39" s="20">
        <v>-12.85</v>
      </c>
      <c r="I39" s="31">
        <v>0.03</v>
      </c>
      <c r="J39" s="59">
        <v>2.1000000000000001E-2</v>
      </c>
      <c r="K3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3.3000000000000002E-2</v>
      </c>
      <c r="L39"/>
    </row>
    <row r="40" spans="1:12" x14ac:dyDescent="0.3">
      <c r="B40" s="165">
        <v>15</v>
      </c>
      <c r="C40" s="174" t="str">
        <f t="shared" si="0"/>
        <v>NI-MCPP-01</v>
      </c>
      <c r="D40" s="38"/>
      <c r="E40" s="20"/>
      <c r="F40" s="20"/>
      <c r="G40" s="20"/>
      <c r="H40" s="20"/>
      <c r="I40" s="20"/>
      <c r="J40" s="59"/>
      <c r="K4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0"/>
    </row>
    <row r="41" spans="1:12" x14ac:dyDescent="0.3">
      <c r="B41" s="56">
        <v>16</v>
      </c>
      <c r="C41" s="174" t="str">
        <f t="shared" si="0"/>
        <v>NI-MCPP-01</v>
      </c>
      <c r="D41" s="38"/>
      <c r="E41" s="20"/>
      <c r="F41" s="20"/>
      <c r="G41" s="20"/>
      <c r="H41" s="20"/>
      <c r="I41" s="31"/>
      <c r="J41" s="59"/>
      <c r="K4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1"/>
    </row>
    <row r="42" spans="1:12" x14ac:dyDescent="0.3">
      <c r="B42" s="56">
        <v>17</v>
      </c>
      <c r="C42" s="174" t="str">
        <f t="shared" si="0"/>
        <v>NI-MCPP-01</v>
      </c>
      <c r="D42" s="38"/>
      <c r="E42" s="20"/>
      <c r="F42" s="20"/>
      <c r="G42" s="20"/>
      <c r="H42" s="20"/>
      <c r="I42" s="20"/>
      <c r="J42" s="59"/>
      <c r="K4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2"/>
    </row>
    <row r="43" spans="1:12" ht="15" thickBot="1" x14ac:dyDescent="0.35">
      <c r="B43" s="57">
        <v>18</v>
      </c>
      <c r="C43" s="175" t="str">
        <f>$C$26</f>
        <v>NI-MCPP-01</v>
      </c>
      <c r="D43" s="39"/>
      <c r="E43" s="159"/>
      <c r="F43" s="160"/>
      <c r="G43" s="40"/>
      <c r="H43" s="40"/>
      <c r="I43" s="40"/>
      <c r="J43" s="60"/>
      <c r="K43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3"/>
    </row>
    <row r="44" spans="1:12" x14ac:dyDescent="0.3">
      <c r="A44" s="34">
        <v>2</v>
      </c>
      <c r="B44" s="58">
        <v>1</v>
      </c>
      <c r="C44" s="63" t="str">
        <f>C16</f>
        <v>NI-MCPP-02</v>
      </c>
      <c r="D44" s="38" t="s">
        <v>304</v>
      </c>
      <c r="E44" s="20">
        <v>0</v>
      </c>
      <c r="F44" s="162">
        <v>0</v>
      </c>
      <c r="G44" s="20">
        <v>0.68</v>
      </c>
      <c r="H44" s="20">
        <v>0</v>
      </c>
      <c r="I44" s="20">
        <v>0</v>
      </c>
      <c r="J44" s="59">
        <v>2.6</v>
      </c>
      <c r="K4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44"/>
    </row>
    <row r="45" spans="1:12" x14ac:dyDescent="0.3">
      <c r="B45" s="56">
        <v>2</v>
      </c>
      <c r="C45" s="174" t="str">
        <f>$C$44</f>
        <v>NI-MCPP-02</v>
      </c>
      <c r="D45" s="38" t="s">
        <v>305</v>
      </c>
      <c r="E45" s="20">
        <v>100</v>
      </c>
      <c r="F45" s="20">
        <v>-0.54</v>
      </c>
      <c r="G45" s="20">
        <v>0.68</v>
      </c>
      <c r="H45" s="20"/>
      <c r="I45" s="20"/>
      <c r="J45" s="59"/>
      <c r="K4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5"/>
    </row>
    <row r="46" spans="1:12" x14ac:dyDescent="0.3">
      <c r="B46" s="56">
        <v>3</v>
      </c>
      <c r="C46" s="174" t="str">
        <f t="shared" ref="C46:C59" si="1">$C$44</f>
        <v>NI-MCPP-02</v>
      </c>
      <c r="D46" s="166"/>
      <c r="E46" s="167">
        <v>1000</v>
      </c>
      <c r="F46" s="167">
        <v>-0.96</v>
      </c>
      <c r="G46" s="167">
        <v>0.68</v>
      </c>
      <c r="H46" s="167">
        <v>999.9</v>
      </c>
      <c r="I46" s="167">
        <v>-0.1</v>
      </c>
      <c r="J46" s="168">
        <v>3.3</v>
      </c>
      <c r="K46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0.86</v>
      </c>
      <c r="L46"/>
    </row>
    <row r="47" spans="1:12" x14ac:dyDescent="0.3">
      <c r="B47" s="56">
        <v>4</v>
      </c>
      <c r="C47" s="174" t="str">
        <f t="shared" si="1"/>
        <v>NI-MCPP-02</v>
      </c>
      <c r="D47" s="38"/>
      <c r="E47" s="20">
        <v>2000</v>
      </c>
      <c r="F47" s="20">
        <v>-0.65</v>
      </c>
      <c r="G47" s="20">
        <v>0.68</v>
      </c>
      <c r="H47" s="20"/>
      <c r="I47" s="20"/>
      <c r="J47" s="59"/>
      <c r="K4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7"/>
    </row>
    <row r="48" spans="1:12" x14ac:dyDescent="0.3">
      <c r="B48" s="56">
        <v>5</v>
      </c>
      <c r="C48" s="174" t="str">
        <f t="shared" si="1"/>
        <v>NI-MCPP-02</v>
      </c>
      <c r="D48" s="166"/>
      <c r="E48" s="167">
        <v>3000</v>
      </c>
      <c r="F48" s="167">
        <v>-0.61</v>
      </c>
      <c r="G48" s="167">
        <v>0.68</v>
      </c>
      <c r="H48" s="167">
        <v>2999.9</v>
      </c>
      <c r="I48" s="167">
        <v>-1.1000000000000001</v>
      </c>
      <c r="J48" s="168">
        <v>2.9</v>
      </c>
      <c r="K48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0.4900000000000001</v>
      </c>
      <c r="L48"/>
    </row>
    <row r="49" spans="1:12" x14ac:dyDescent="0.3">
      <c r="B49" s="56">
        <v>6</v>
      </c>
      <c r="C49" s="174" t="str">
        <f t="shared" si="1"/>
        <v>NI-MCPP-02</v>
      </c>
      <c r="D49" s="38"/>
      <c r="E49" s="44">
        <v>4000</v>
      </c>
      <c r="F49" s="44">
        <v>-0.83</v>
      </c>
      <c r="G49" s="20">
        <v>0.72</v>
      </c>
      <c r="H49" s="20"/>
      <c r="I49" s="20"/>
      <c r="J49" s="59"/>
      <c r="K4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49"/>
    </row>
    <row r="50" spans="1:12" x14ac:dyDescent="0.3">
      <c r="B50" s="56">
        <v>7</v>
      </c>
      <c r="C50" s="174" t="str">
        <f t="shared" si="1"/>
        <v>NI-MCPP-02</v>
      </c>
      <c r="D50" s="166"/>
      <c r="E50" s="169">
        <v>5000</v>
      </c>
      <c r="F50" s="169">
        <v>-0.74</v>
      </c>
      <c r="G50" s="167">
        <v>0.69</v>
      </c>
      <c r="H50" s="167">
        <v>5003</v>
      </c>
      <c r="I50" s="167">
        <v>3</v>
      </c>
      <c r="J50" s="168">
        <v>3.5</v>
      </c>
      <c r="K50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3.74</v>
      </c>
      <c r="L50"/>
    </row>
    <row r="51" spans="1:12" x14ac:dyDescent="0.3">
      <c r="B51" s="56">
        <v>8</v>
      </c>
      <c r="C51" s="174" t="str">
        <f t="shared" si="1"/>
        <v>NI-MCPP-02</v>
      </c>
      <c r="D51" s="38"/>
      <c r="E51" s="20">
        <v>5000</v>
      </c>
      <c r="F51" s="20">
        <v>-0.37</v>
      </c>
      <c r="G51" s="20">
        <v>0.7</v>
      </c>
      <c r="H51" s="20">
        <v>5003</v>
      </c>
      <c r="I51" s="20">
        <v>3</v>
      </c>
      <c r="J51" s="168">
        <v>3.5</v>
      </c>
      <c r="K5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3.37</v>
      </c>
      <c r="L51"/>
    </row>
    <row r="52" spans="1:12" x14ac:dyDescent="0.3">
      <c r="B52" s="56">
        <v>9</v>
      </c>
      <c r="C52" s="174" t="str">
        <f t="shared" si="1"/>
        <v>NI-MCPP-02</v>
      </c>
      <c r="D52" s="166"/>
      <c r="E52" s="167">
        <v>4000</v>
      </c>
      <c r="F52" s="167">
        <v>-0.73</v>
      </c>
      <c r="G52" s="167">
        <v>0.68</v>
      </c>
      <c r="H52" s="167"/>
      <c r="I52" s="167"/>
      <c r="J52" s="168"/>
      <c r="K52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2"/>
    </row>
    <row r="53" spans="1:12" x14ac:dyDescent="0.3">
      <c r="B53" s="56">
        <v>10</v>
      </c>
      <c r="C53" s="174" t="str">
        <f t="shared" si="1"/>
        <v>NI-MCPP-02</v>
      </c>
      <c r="D53" s="166"/>
      <c r="E53" s="167">
        <v>3000</v>
      </c>
      <c r="F53" s="167">
        <v>-0.67</v>
      </c>
      <c r="G53" s="167">
        <v>0.71</v>
      </c>
      <c r="H53" s="167">
        <v>2999.9</v>
      </c>
      <c r="I53" s="167">
        <v>-1.1000000000000001</v>
      </c>
      <c r="J53" s="168">
        <v>2.9</v>
      </c>
      <c r="K53" s="172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0.43000000000000005</v>
      </c>
      <c r="L53"/>
    </row>
    <row r="54" spans="1:12" x14ac:dyDescent="0.3">
      <c r="B54" s="56">
        <v>11</v>
      </c>
      <c r="C54" s="174" t="str">
        <f t="shared" si="1"/>
        <v>NI-MCPP-02</v>
      </c>
      <c r="D54" s="38"/>
      <c r="E54" s="20">
        <v>2000</v>
      </c>
      <c r="F54" s="44">
        <v>-0.63</v>
      </c>
      <c r="G54" s="44">
        <v>0.68</v>
      </c>
      <c r="H54" s="20"/>
      <c r="I54" s="20"/>
      <c r="J54" s="59"/>
      <c r="K5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4"/>
    </row>
    <row r="55" spans="1:12" x14ac:dyDescent="0.3">
      <c r="B55" s="56">
        <v>12</v>
      </c>
      <c r="C55" s="174" t="str">
        <f t="shared" si="1"/>
        <v>NI-MCPP-02</v>
      </c>
      <c r="D55" s="38"/>
      <c r="E55" s="20">
        <v>1000</v>
      </c>
      <c r="F55" s="44">
        <v>-0.43</v>
      </c>
      <c r="G55" s="44">
        <v>0.68</v>
      </c>
      <c r="H55" s="20">
        <v>999.9</v>
      </c>
      <c r="I55" s="20">
        <v>-0.1</v>
      </c>
      <c r="J55" s="59">
        <v>3.3</v>
      </c>
      <c r="K5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0.32999999999999996</v>
      </c>
      <c r="L55"/>
    </row>
    <row r="56" spans="1:12" x14ac:dyDescent="0.3">
      <c r="B56" s="56">
        <v>13</v>
      </c>
      <c r="C56" s="174" t="str">
        <f t="shared" si="1"/>
        <v>NI-MCPP-02</v>
      </c>
      <c r="D56" s="38"/>
      <c r="E56" s="44">
        <v>100</v>
      </c>
      <c r="F56" s="44">
        <v>0.25</v>
      </c>
      <c r="G56" s="20">
        <v>0.72</v>
      </c>
      <c r="H56" s="20"/>
      <c r="I56" s="20"/>
      <c r="J56" s="168"/>
      <c r="K5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6"/>
    </row>
    <row r="57" spans="1:12" x14ac:dyDescent="0.3">
      <c r="B57" s="56">
        <v>14</v>
      </c>
      <c r="C57" s="174" t="str">
        <f t="shared" si="1"/>
        <v>NI-MCPP-02</v>
      </c>
      <c r="D57" s="38"/>
      <c r="E57" s="20">
        <v>0</v>
      </c>
      <c r="F57" s="20">
        <v>0.01</v>
      </c>
      <c r="G57" s="20">
        <v>0.68</v>
      </c>
      <c r="H57" s="20">
        <v>0</v>
      </c>
      <c r="I57" s="20">
        <v>0</v>
      </c>
      <c r="J57" s="59">
        <v>2.6</v>
      </c>
      <c r="K5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0.01</v>
      </c>
      <c r="L57"/>
    </row>
    <row r="58" spans="1:12" x14ac:dyDescent="0.3">
      <c r="B58" s="56">
        <v>15</v>
      </c>
      <c r="C58" s="174" t="str">
        <f>$C$44</f>
        <v>NI-MCPP-02</v>
      </c>
      <c r="D58" s="38"/>
      <c r="E58" s="44"/>
      <c r="F58" s="44"/>
      <c r="G58" s="20"/>
      <c r="H58" s="20"/>
      <c r="I58" s="20"/>
      <c r="J58" s="59"/>
      <c r="K5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8"/>
    </row>
    <row r="59" spans="1:12" x14ac:dyDescent="0.3">
      <c r="B59" s="56">
        <v>16</v>
      </c>
      <c r="C59" s="174" t="str">
        <f t="shared" si="1"/>
        <v>NI-MCPP-02</v>
      </c>
      <c r="D59" s="38"/>
      <c r="E59" s="20"/>
      <c r="F59" s="44"/>
      <c r="G59" s="20"/>
      <c r="H59" s="20"/>
      <c r="I59" s="20"/>
      <c r="J59" s="59"/>
      <c r="K5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59"/>
    </row>
    <row r="60" spans="1:12" ht="15" thickBot="1" x14ac:dyDescent="0.35">
      <c r="B60" s="57">
        <v>17</v>
      </c>
      <c r="C60" s="175" t="str">
        <f>$C$44</f>
        <v>NI-MCPP-02</v>
      </c>
      <c r="D60" s="39"/>
      <c r="E60" s="40"/>
      <c r="F60" s="163"/>
      <c r="G60" s="40"/>
      <c r="H60" s="40"/>
      <c r="I60" s="40"/>
      <c r="J60" s="60"/>
      <c r="K60" s="161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2.8867513459481291E-2</v>
      </c>
      <c r="L60"/>
    </row>
    <row r="61" spans="1:12" x14ac:dyDescent="0.3">
      <c r="A61" s="34">
        <v>3</v>
      </c>
      <c r="B61" s="58">
        <v>1</v>
      </c>
      <c r="C61" s="63" t="str">
        <f>C17</f>
        <v>NI-MCPP-05</v>
      </c>
      <c r="D61" s="38" t="s">
        <v>306</v>
      </c>
      <c r="E61" s="41">
        <v>-12</v>
      </c>
      <c r="F61" s="33">
        <v>-1E-3</v>
      </c>
      <c r="G61" s="262">
        <v>2.1000000000000001E-2</v>
      </c>
      <c r="H61" s="41">
        <v>-12</v>
      </c>
      <c r="I61" s="33">
        <v>-1E-3</v>
      </c>
      <c r="J61" s="262">
        <v>3.4000000000000002E-2</v>
      </c>
      <c r="K6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61"/>
    </row>
    <row r="62" spans="1:12" x14ac:dyDescent="0.3">
      <c r="B62" s="56">
        <v>2</v>
      </c>
      <c r="C62" s="176" t="str">
        <f>$C$61</f>
        <v>NI-MCPP-05</v>
      </c>
      <c r="D62" s="38" t="s">
        <v>131</v>
      </c>
      <c r="E62" s="31">
        <v>-6</v>
      </c>
      <c r="F62" s="33">
        <v>-2E-3</v>
      </c>
      <c r="G62" s="262">
        <v>2.1000000000000001E-2</v>
      </c>
      <c r="H62" s="31">
        <v>-6</v>
      </c>
      <c r="I62" s="33">
        <v>-5.3999999999999999E-2</v>
      </c>
      <c r="J62" s="262">
        <v>3.9E-2</v>
      </c>
      <c r="K6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5.1999999999999998E-2</v>
      </c>
      <c r="L62"/>
    </row>
    <row r="63" spans="1:12" x14ac:dyDescent="0.3">
      <c r="B63" s="56">
        <v>3</v>
      </c>
      <c r="C63" s="176" t="str">
        <f t="shared" ref="C63:C86" si="2">$C$61</f>
        <v>NI-MCPP-05</v>
      </c>
      <c r="D63" s="38"/>
      <c r="E63" s="31">
        <v>0</v>
      </c>
      <c r="F63" s="33">
        <v>1E-3</v>
      </c>
      <c r="G63" s="262">
        <v>2.1000000000000001E-2</v>
      </c>
      <c r="H63" s="31">
        <v>0</v>
      </c>
      <c r="I63" s="33">
        <v>-8.9999999999999993E-3</v>
      </c>
      <c r="J63" s="262">
        <v>4.9000000000000002E-2</v>
      </c>
      <c r="K6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9.9999999999999985E-3</v>
      </c>
      <c r="L63"/>
    </row>
    <row r="64" spans="1:12" x14ac:dyDescent="0.3">
      <c r="B64" s="56">
        <v>4</v>
      </c>
      <c r="C64" s="176" t="str">
        <f t="shared" si="2"/>
        <v>NI-MCPP-05</v>
      </c>
      <c r="D64" s="38"/>
      <c r="E64" s="31">
        <v>50</v>
      </c>
      <c r="F64" s="33">
        <v>4.0000000000000001E-3</v>
      </c>
      <c r="G64" s="262">
        <v>2.1000000000000001E-2</v>
      </c>
      <c r="H64" s="31">
        <v>50</v>
      </c>
      <c r="I64" s="33">
        <v>-3.3000000000000002E-2</v>
      </c>
      <c r="J64" s="262">
        <v>4.9000000000000002E-2</v>
      </c>
      <c r="K6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3.7000000000000005E-2</v>
      </c>
      <c r="L64"/>
    </row>
    <row r="65" spans="2:12" x14ac:dyDescent="0.3">
      <c r="B65" s="56">
        <v>5</v>
      </c>
      <c r="C65" s="176" t="str">
        <f t="shared" si="2"/>
        <v>NI-MCPP-05</v>
      </c>
      <c r="D65" s="38"/>
      <c r="E65" s="31">
        <v>150</v>
      </c>
      <c r="F65" s="33">
        <v>-5.0000000000000001E-3</v>
      </c>
      <c r="G65" s="262">
        <v>2.5000000000000001E-2</v>
      </c>
      <c r="H65" s="31">
        <v>150</v>
      </c>
      <c r="I65" s="33">
        <v>-5.6000000000000001E-2</v>
      </c>
      <c r="J65" s="262">
        <v>3.5000000000000003E-2</v>
      </c>
      <c r="K65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5.1000000000000004E-2</v>
      </c>
      <c r="L65"/>
    </row>
    <row r="66" spans="2:12" x14ac:dyDescent="0.3">
      <c r="B66" s="56">
        <v>6</v>
      </c>
      <c r="C66" s="176" t="str">
        <f t="shared" si="2"/>
        <v>NI-MCPP-05</v>
      </c>
      <c r="D66" s="38"/>
      <c r="E66" s="31">
        <v>250</v>
      </c>
      <c r="F66" s="33">
        <v>-3.0000000000000001E-3</v>
      </c>
      <c r="G66" s="262">
        <v>2.1000000000000001E-2</v>
      </c>
      <c r="H66" s="31">
        <v>250</v>
      </c>
      <c r="I66" s="33">
        <v>-0.05</v>
      </c>
      <c r="J66" s="262">
        <v>3.5999999999999997E-2</v>
      </c>
      <c r="K66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4.7E-2</v>
      </c>
      <c r="L66"/>
    </row>
    <row r="67" spans="2:12" x14ac:dyDescent="0.3">
      <c r="B67" s="56">
        <v>7</v>
      </c>
      <c r="C67" s="176" t="str">
        <f t="shared" si="2"/>
        <v>NI-MCPP-05</v>
      </c>
      <c r="D67" s="38"/>
      <c r="E67" s="31">
        <v>300</v>
      </c>
      <c r="F67" s="33">
        <v>-3.0000000000000001E-3</v>
      </c>
      <c r="G67" s="33">
        <v>2.1999999999999999E-2</v>
      </c>
      <c r="H67" s="31">
        <v>300</v>
      </c>
      <c r="I67" s="33">
        <v>-5.1999999999999998E-2</v>
      </c>
      <c r="J67" s="33">
        <v>3.4000000000000002E-2</v>
      </c>
      <c r="K67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4.8999999999999995E-2</v>
      </c>
      <c r="L67"/>
    </row>
    <row r="68" spans="2:12" x14ac:dyDescent="0.3">
      <c r="B68" s="56">
        <v>8</v>
      </c>
      <c r="C68" s="176" t="str">
        <f t="shared" si="2"/>
        <v>NI-MCPP-05</v>
      </c>
      <c r="D68" s="38"/>
      <c r="E68" s="31">
        <v>300</v>
      </c>
      <c r="F68" s="33">
        <v>-2E-3</v>
      </c>
      <c r="G68" s="262">
        <v>2.3E-2</v>
      </c>
      <c r="H68" s="31">
        <v>300</v>
      </c>
      <c r="I68" s="33">
        <v>-4.2999999999999997E-2</v>
      </c>
      <c r="J68" s="262">
        <v>3.7999999999999999E-2</v>
      </c>
      <c r="K68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4.0999999999999995E-2</v>
      </c>
      <c r="L68"/>
    </row>
    <row r="69" spans="2:12" x14ac:dyDescent="0.3">
      <c r="B69" s="56">
        <v>9</v>
      </c>
      <c r="C69" s="176" t="str">
        <f t="shared" si="2"/>
        <v>NI-MCPP-05</v>
      </c>
      <c r="D69" s="38"/>
      <c r="E69" s="31">
        <v>250</v>
      </c>
      <c r="F69" s="33">
        <v>-8.9999999999999993E-3</v>
      </c>
      <c r="G69" s="262">
        <v>2.5000000000000001E-2</v>
      </c>
      <c r="H69" s="31">
        <v>250</v>
      </c>
      <c r="I69" s="33">
        <v>-3.9E-2</v>
      </c>
      <c r="J69" s="262">
        <v>0.04</v>
      </c>
      <c r="K69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0.03</v>
      </c>
      <c r="L69"/>
    </row>
    <row r="70" spans="2:12" x14ac:dyDescent="0.3">
      <c r="B70" s="56">
        <v>10</v>
      </c>
      <c r="C70" s="176" t="str">
        <f t="shared" si="2"/>
        <v>NI-MCPP-05</v>
      </c>
      <c r="D70" s="38"/>
      <c r="E70" s="31">
        <v>150</v>
      </c>
      <c r="F70" s="33">
        <v>-1.7000000000000001E-2</v>
      </c>
      <c r="G70" s="262">
        <v>2.1999999999999999E-2</v>
      </c>
      <c r="H70" s="31">
        <v>150</v>
      </c>
      <c r="I70" s="33">
        <v>-4.5999999999999999E-2</v>
      </c>
      <c r="J70" s="262">
        <v>3.5999999999999997E-2</v>
      </c>
      <c r="K70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2.8999999999999998E-2</v>
      </c>
      <c r="L70"/>
    </row>
    <row r="71" spans="2:12" x14ac:dyDescent="0.3">
      <c r="B71" s="56">
        <v>11</v>
      </c>
      <c r="C71" s="176" t="str">
        <f t="shared" si="2"/>
        <v>NI-MCPP-05</v>
      </c>
      <c r="D71" s="38"/>
      <c r="E71" s="31">
        <v>50</v>
      </c>
      <c r="F71" s="33">
        <v>-1.0999999999999999E-2</v>
      </c>
      <c r="G71" s="262">
        <v>2.4E-2</v>
      </c>
      <c r="H71" s="31">
        <v>50</v>
      </c>
      <c r="I71" s="33">
        <v>-1.7999999999999999E-2</v>
      </c>
      <c r="J71" s="262">
        <v>3.4000000000000002E-2</v>
      </c>
      <c r="K71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6.9999999999999993E-3</v>
      </c>
      <c r="L71"/>
    </row>
    <row r="72" spans="2:12" x14ac:dyDescent="0.3">
      <c r="B72" s="56">
        <v>12</v>
      </c>
      <c r="C72" s="176" t="str">
        <f t="shared" si="2"/>
        <v>NI-MCPP-05</v>
      </c>
      <c r="D72" s="38"/>
      <c r="E72" s="31">
        <v>1.4999999999999999E-2</v>
      </c>
      <c r="F72" s="33">
        <v>-1.2999999999999999E-2</v>
      </c>
      <c r="G72" s="262">
        <v>2.7E-2</v>
      </c>
      <c r="H72" s="31">
        <v>0</v>
      </c>
      <c r="I72" s="33">
        <v>-1.9E-2</v>
      </c>
      <c r="J72" s="262">
        <v>3.4000000000000002E-2</v>
      </c>
      <c r="K72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6.0000000000000001E-3</v>
      </c>
      <c r="L72"/>
    </row>
    <row r="73" spans="2:12" x14ac:dyDescent="0.3">
      <c r="B73" s="56">
        <v>13</v>
      </c>
      <c r="C73" s="176" t="str">
        <f t="shared" si="2"/>
        <v>NI-MCPP-05</v>
      </c>
      <c r="D73" s="38"/>
      <c r="E73" s="31">
        <v>-6</v>
      </c>
      <c r="F73" s="33">
        <v>-2E-3</v>
      </c>
      <c r="G73" s="262">
        <v>2.1000000000000001E-2</v>
      </c>
      <c r="H73" s="31">
        <v>-6</v>
      </c>
      <c r="I73" s="33">
        <v>-4.8000000000000001E-2</v>
      </c>
      <c r="J73" s="262">
        <v>0.04</v>
      </c>
      <c r="K73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4.5999999999999999E-2</v>
      </c>
      <c r="L73"/>
    </row>
    <row r="74" spans="2:12" x14ac:dyDescent="0.3">
      <c r="B74" s="56">
        <v>14</v>
      </c>
      <c r="C74" s="176" t="str">
        <f t="shared" si="2"/>
        <v>NI-MCPP-05</v>
      </c>
      <c r="D74" s="38"/>
      <c r="E74" s="31">
        <v>-12</v>
      </c>
      <c r="F74" s="33">
        <v>-1E-3</v>
      </c>
      <c r="G74" s="33">
        <v>2.1000000000000001E-2</v>
      </c>
      <c r="H74" s="31">
        <v>-12</v>
      </c>
      <c r="I74" s="33">
        <v>-1E-3</v>
      </c>
      <c r="J74" s="33">
        <v>3.4000000000000002E-2</v>
      </c>
      <c r="K74" s="173">
        <f>IFERROR(IF(AND(Cert_patrones[[#This Row],[p calibr.act]]&lt;&gt;"",Cert_patrones[[#This Row],[p calibr.ant]]&lt;&gt;""),ABS(Cert_patrones[[#This Row],[Correccion.act]]-Cert_patrones[[#This Row],[Correccion.ant]]),IF(Cert_patrones[[#This Row],[p calibr.act]]&lt;0,VLOOKUP(Cert_patrones[[#This Row],[Código Patrón]],tblBD_Patrones[[Código Patrón]:[Presión positiva]],14,FALSE)/SQRT(3),VLOOKUP(Cert_patrones[[#This Row],[Código Patrón]],tblBD_Patrones[[Código Patrón]:[Presión positiva]],15,FALSE)/SQRT(3))),"")</f>
        <v>0</v>
      </c>
      <c r="L74"/>
    </row>
    <row r="75" spans="2:12" x14ac:dyDescent="0.3">
      <c r="B75" s="56">
        <v>15</v>
      </c>
      <c r="C75" s="176" t="str">
        <f t="shared" si="2"/>
        <v>NI-MCPP-05</v>
      </c>
      <c r="D75" s="38"/>
      <c r="E75" s="31"/>
      <c r="F75" s="33"/>
      <c r="G75" s="33"/>
      <c r="H75" s="20"/>
      <c r="I75" s="20"/>
      <c r="J75" s="164"/>
      <c r="K75" s="173"/>
      <c r="L75"/>
    </row>
    <row r="76" spans="2:12" x14ac:dyDescent="0.3">
      <c r="B76" s="56">
        <v>16</v>
      </c>
      <c r="C76" s="176" t="str">
        <f t="shared" si="2"/>
        <v>NI-MCPP-05</v>
      </c>
      <c r="D76" s="38"/>
      <c r="E76" s="31"/>
      <c r="F76" s="33"/>
      <c r="G76" s="33"/>
      <c r="H76" s="20"/>
      <c r="I76" s="20"/>
      <c r="J76" s="164"/>
      <c r="K76" s="173"/>
      <c r="L76"/>
    </row>
    <row r="77" spans="2:12" x14ac:dyDescent="0.3">
      <c r="B77" s="56">
        <v>17</v>
      </c>
      <c r="C77" s="176" t="str">
        <f t="shared" si="2"/>
        <v>NI-MCPP-05</v>
      </c>
      <c r="D77" s="38"/>
      <c r="E77" s="31"/>
      <c r="F77" s="33"/>
      <c r="G77" s="262"/>
      <c r="H77" s="20"/>
      <c r="I77" s="20"/>
      <c r="J77" s="164"/>
      <c r="K77" s="173"/>
      <c r="L77"/>
    </row>
    <row r="78" spans="2:12" x14ac:dyDescent="0.3">
      <c r="B78" s="56">
        <v>18</v>
      </c>
      <c r="C78" s="176" t="str">
        <f t="shared" si="2"/>
        <v>NI-MCPP-05</v>
      </c>
      <c r="D78" s="38"/>
      <c r="E78" s="31"/>
      <c r="F78" s="33"/>
      <c r="G78" s="262"/>
      <c r="H78" s="20"/>
      <c r="I78" s="20"/>
      <c r="J78" s="164"/>
      <c r="K78" s="173"/>
      <c r="L78"/>
    </row>
    <row r="79" spans="2:12" x14ac:dyDescent="0.3">
      <c r="B79" s="56">
        <v>19</v>
      </c>
      <c r="C79" s="176" t="str">
        <f t="shared" si="2"/>
        <v>NI-MCPP-05</v>
      </c>
      <c r="D79" s="38"/>
      <c r="E79" s="31"/>
      <c r="F79" s="33"/>
      <c r="G79" s="33"/>
      <c r="H79" s="20"/>
      <c r="I79" s="20"/>
      <c r="J79" s="164"/>
      <c r="K79" s="173"/>
      <c r="L79"/>
    </row>
    <row r="80" spans="2:12" x14ac:dyDescent="0.3">
      <c r="B80" s="56">
        <v>20</v>
      </c>
      <c r="C80" s="176" t="str">
        <f t="shared" si="2"/>
        <v>NI-MCPP-05</v>
      </c>
      <c r="D80" s="38"/>
      <c r="E80" s="31"/>
      <c r="F80" s="33"/>
      <c r="G80" s="262"/>
      <c r="H80" s="20"/>
      <c r="I80" s="20"/>
      <c r="J80" s="164"/>
      <c r="K80" s="173"/>
      <c r="L80"/>
    </row>
    <row r="81" spans="1:12" x14ac:dyDescent="0.3">
      <c r="B81" s="56">
        <v>21</v>
      </c>
      <c r="C81" s="176" t="str">
        <f t="shared" si="2"/>
        <v>NI-MCPP-05</v>
      </c>
      <c r="D81" s="38"/>
      <c r="E81" s="31"/>
      <c r="F81" s="33"/>
      <c r="G81" s="262"/>
      <c r="H81" s="20"/>
      <c r="I81" s="20"/>
      <c r="J81" s="164"/>
      <c r="K81" s="173"/>
      <c r="L81"/>
    </row>
    <row r="82" spans="1:12" x14ac:dyDescent="0.3">
      <c r="B82" s="56">
        <v>22</v>
      </c>
      <c r="C82" s="176" t="str">
        <f t="shared" si="2"/>
        <v>NI-MCPP-05</v>
      </c>
      <c r="D82" s="38"/>
      <c r="E82" s="31"/>
      <c r="F82" s="33"/>
      <c r="G82" s="262"/>
      <c r="H82" s="20"/>
      <c r="I82" s="20"/>
      <c r="J82" s="164"/>
      <c r="K82" s="173"/>
      <c r="L82"/>
    </row>
    <row r="83" spans="1:12" x14ac:dyDescent="0.3">
      <c r="B83" s="56">
        <v>23</v>
      </c>
      <c r="C83" s="176" t="str">
        <f t="shared" si="2"/>
        <v>NI-MCPP-05</v>
      </c>
      <c r="D83" s="38"/>
      <c r="E83" s="31"/>
      <c r="F83" s="33"/>
      <c r="G83" s="262"/>
      <c r="H83" s="20"/>
      <c r="I83" s="20"/>
      <c r="J83" s="164"/>
      <c r="K83" s="173"/>
      <c r="L83"/>
    </row>
    <row r="84" spans="1:12" x14ac:dyDescent="0.3">
      <c r="B84" s="56">
        <v>24</v>
      </c>
      <c r="C84" s="176" t="str">
        <f t="shared" si="2"/>
        <v>NI-MCPP-05</v>
      </c>
      <c r="D84" s="38"/>
      <c r="E84" s="31"/>
      <c r="F84" s="33"/>
      <c r="G84" s="262"/>
      <c r="H84" s="20"/>
      <c r="I84" s="20"/>
      <c r="J84" s="59"/>
      <c r="K84" s="173"/>
      <c r="L84"/>
    </row>
    <row r="85" spans="1:12" x14ac:dyDescent="0.3">
      <c r="B85" s="56">
        <v>25</v>
      </c>
      <c r="C85" s="176" t="str">
        <f t="shared" si="2"/>
        <v>NI-MCPP-05</v>
      </c>
      <c r="D85" s="38"/>
      <c r="E85" s="31"/>
      <c r="F85" s="33"/>
      <c r="G85" s="262"/>
      <c r="H85" s="20"/>
      <c r="I85" s="20"/>
      <c r="J85" s="59"/>
      <c r="K85" s="173"/>
      <c r="L85"/>
    </row>
    <row r="86" spans="1:12" ht="15" thickBot="1" x14ac:dyDescent="0.35">
      <c r="B86" s="57">
        <v>26</v>
      </c>
      <c r="C86" s="177" t="str">
        <f t="shared" si="2"/>
        <v>NI-MCPP-05</v>
      </c>
      <c r="D86" s="39"/>
      <c r="E86" s="42"/>
      <c r="F86" s="160"/>
      <c r="G86" s="159"/>
      <c r="H86" s="40"/>
      <c r="I86" s="40"/>
      <c r="J86" s="60"/>
      <c r="K86" s="161"/>
      <c r="L86"/>
    </row>
    <row r="87" spans="1:12" x14ac:dyDescent="0.3">
      <c r="A87" s="34"/>
      <c r="L87"/>
    </row>
    <row r="88" spans="1:12" x14ac:dyDescent="0.3">
      <c r="L88"/>
    </row>
    <row r="89" spans="1:12" ht="15" thickBot="1" x14ac:dyDescent="0.35">
      <c r="L89"/>
    </row>
    <row r="90" spans="1:12" ht="15" thickBot="1" x14ac:dyDescent="0.35">
      <c r="D90" s="402" t="s">
        <v>482</v>
      </c>
      <c r="E90" s="403"/>
      <c r="F90" s="403"/>
      <c r="G90" s="404"/>
      <c r="L90"/>
    </row>
    <row r="91" spans="1:12" x14ac:dyDescent="0.3">
      <c r="D91" s="328" t="s">
        <v>483</v>
      </c>
      <c r="E91" s="329"/>
      <c r="F91" s="329"/>
      <c r="G91" s="330"/>
      <c r="L91"/>
    </row>
    <row r="92" spans="1:12" x14ac:dyDescent="0.3">
      <c r="D92" s="328" t="s">
        <v>484</v>
      </c>
      <c r="E92" s="329"/>
      <c r="F92" s="329"/>
      <c r="G92" s="330"/>
      <c r="L92"/>
    </row>
    <row r="93" spans="1:12" x14ac:dyDescent="0.3">
      <c r="D93" s="328" t="s">
        <v>485</v>
      </c>
      <c r="E93" s="329"/>
      <c r="F93" s="329"/>
      <c r="G93" s="330"/>
      <c r="L93"/>
    </row>
    <row r="94" spans="1:12" x14ac:dyDescent="0.3">
      <c r="D94" s="328" t="s">
        <v>486</v>
      </c>
      <c r="E94" s="329"/>
      <c r="F94" s="329"/>
      <c r="G94" s="330"/>
      <c r="L94"/>
    </row>
    <row r="95" spans="1:12" x14ac:dyDescent="0.3">
      <c r="D95" s="328" t="s">
        <v>487</v>
      </c>
      <c r="E95" s="329"/>
      <c r="F95" s="329"/>
      <c r="G95" s="330"/>
      <c r="L95"/>
    </row>
    <row r="96" spans="1:12" x14ac:dyDescent="0.3">
      <c r="D96" s="328" t="s">
        <v>488</v>
      </c>
      <c r="E96" s="329"/>
      <c r="F96" s="329"/>
      <c r="G96" s="330"/>
    </row>
    <row r="97" spans="4:7" x14ac:dyDescent="0.3">
      <c r="D97" s="328" t="s">
        <v>489</v>
      </c>
      <c r="E97" s="329"/>
      <c r="F97" s="329"/>
      <c r="G97" s="330"/>
    </row>
    <row r="98" spans="4:7" x14ac:dyDescent="0.3">
      <c r="D98" s="328" t="s">
        <v>490</v>
      </c>
      <c r="E98" s="329"/>
      <c r="F98" s="329"/>
      <c r="G98" s="330"/>
    </row>
    <row r="99" spans="4:7" x14ac:dyDescent="0.3">
      <c r="D99" s="328" t="s">
        <v>491</v>
      </c>
      <c r="E99" s="329"/>
      <c r="F99" s="329"/>
      <c r="G99" s="330"/>
    </row>
    <row r="100" spans="4:7" x14ac:dyDescent="0.3">
      <c r="D100" s="328" t="s">
        <v>492</v>
      </c>
      <c r="E100" s="329"/>
      <c r="F100" s="329"/>
      <c r="G100" s="330"/>
    </row>
    <row r="101" spans="4:7" x14ac:dyDescent="0.3">
      <c r="D101" s="328" t="s">
        <v>493</v>
      </c>
      <c r="E101" s="329"/>
      <c r="F101" s="329"/>
      <c r="G101" s="330"/>
    </row>
    <row r="102" spans="4:7" x14ac:dyDescent="0.3">
      <c r="D102" s="328" t="s">
        <v>494</v>
      </c>
      <c r="E102" s="329"/>
      <c r="F102" s="329"/>
      <c r="G102" s="330"/>
    </row>
    <row r="103" spans="4:7" x14ac:dyDescent="0.3">
      <c r="D103" s="328" t="s">
        <v>495</v>
      </c>
      <c r="E103" s="329"/>
      <c r="F103" s="329"/>
      <c r="G103" s="330"/>
    </row>
    <row r="104" spans="4:7" x14ac:dyDescent="0.3">
      <c r="D104" s="328" t="s">
        <v>496</v>
      </c>
      <c r="E104" s="329"/>
      <c r="F104" s="329"/>
      <c r="G104" s="330"/>
    </row>
    <row r="105" spans="4:7" x14ac:dyDescent="0.3">
      <c r="D105" s="328" t="s">
        <v>497</v>
      </c>
      <c r="E105" s="329"/>
      <c r="F105" s="329"/>
      <c r="G105" s="330"/>
    </row>
    <row r="106" spans="4:7" x14ac:dyDescent="0.3">
      <c r="D106" s="328" t="s">
        <v>498</v>
      </c>
      <c r="E106" s="329"/>
      <c r="F106" s="329"/>
      <c r="G106" s="330"/>
    </row>
    <row r="107" spans="4:7" x14ac:dyDescent="0.3">
      <c r="D107" s="328" t="s">
        <v>499</v>
      </c>
      <c r="E107" s="329"/>
      <c r="F107" s="329"/>
      <c r="G107" s="330"/>
    </row>
    <row r="108" spans="4:7" x14ac:dyDescent="0.3">
      <c r="D108" s="328" t="s">
        <v>500</v>
      </c>
      <c r="E108" s="329"/>
      <c r="F108" s="329"/>
      <c r="G108" s="330"/>
    </row>
    <row r="109" spans="4:7" x14ac:dyDescent="0.3">
      <c r="D109" s="328" t="s">
        <v>501</v>
      </c>
      <c r="E109" s="329"/>
      <c r="F109" s="329"/>
      <c r="G109" s="330"/>
    </row>
    <row r="110" spans="4:7" x14ac:dyDescent="0.3">
      <c r="D110" s="328" t="s">
        <v>502</v>
      </c>
      <c r="E110" s="329"/>
      <c r="F110" s="329"/>
      <c r="G110" s="330"/>
    </row>
    <row r="111" spans="4:7" x14ac:dyDescent="0.3">
      <c r="D111" s="328" t="s">
        <v>503</v>
      </c>
      <c r="E111" s="329"/>
      <c r="F111" s="329"/>
      <c r="G111" s="330"/>
    </row>
    <row r="112" spans="4:7" x14ac:dyDescent="0.3">
      <c r="D112" s="328" t="s">
        <v>504</v>
      </c>
      <c r="E112" s="329"/>
      <c r="F112" s="329"/>
      <c r="G112" s="330"/>
    </row>
    <row r="113" spans="4:7" ht="15" thickBot="1" x14ac:dyDescent="0.35">
      <c r="D113" s="331" t="s">
        <v>505</v>
      </c>
      <c r="E113" s="332"/>
      <c r="F113" s="332"/>
      <c r="G113" s="333"/>
    </row>
  </sheetData>
  <mergeCells count="33">
    <mergeCell ref="D110:G110"/>
    <mergeCell ref="D111:G111"/>
    <mergeCell ref="D112:G112"/>
    <mergeCell ref="D113:G113"/>
    <mergeCell ref="D105:G105"/>
    <mergeCell ref="D106:G106"/>
    <mergeCell ref="D107:G107"/>
    <mergeCell ref="D108:G108"/>
    <mergeCell ref="D109:G109"/>
    <mergeCell ref="D100:G100"/>
    <mergeCell ref="D101:G101"/>
    <mergeCell ref="D102:G102"/>
    <mergeCell ref="D103:G103"/>
    <mergeCell ref="D104:G104"/>
    <mergeCell ref="D95:G95"/>
    <mergeCell ref="D96:G96"/>
    <mergeCell ref="D97:G97"/>
    <mergeCell ref="D98:G98"/>
    <mergeCell ref="D99:G99"/>
    <mergeCell ref="D90:G90"/>
    <mergeCell ref="D91:G91"/>
    <mergeCell ref="D92:G92"/>
    <mergeCell ref="D93:G93"/>
    <mergeCell ref="D94:G94"/>
    <mergeCell ref="P13:Q13"/>
    <mergeCell ref="H4:I4"/>
    <mergeCell ref="J4:K4"/>
    <mergeCell ref="L4:L5"/>
    <mergeCell ref="M4:P5"/>
    <mergeCell ref="L13:M13"/>
    <mergeCell ref="H13:I13"/>
    <mergeCell ref="J13:K13"/>
    <mergeCell ref="N13:O13"/>
  </mergeCells>
  <pageMargins left="0.7" right="0.7" top="0.75" bottom="0.75" header="0.3" footer="0.3"/>
  <pageSetup orientation="portrait" horizontalDpi="1200" verticalDpi="1200" r:id="rId1"/>
  <drawing r:id="rId2"/>
  <tableParts count="2">
    <tablePart r:id="rId3"/>
    <tablePart r:id="rId4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2:H370"/>
  <sheetViews>
    <sheetView topLeftCell="A346" zoomScale="88" zoomScaleNormal="88" workbookViewId="0">
      <selection sqref="A1:XFD1048576"/>
    </sheetView>
  </sheetViews>
  <sheetFormatPr baseColWidth="10" defaultColWidth="11.44140625" defaultRowHeight="14.4" x14ac:dyDescent="0.3"/>
  <cols>
    <col min="1" max="1" width="7.109375" customWidth="1"/>
    <col min="2" max="2" width="62" bestFit="1" customWidth="1"/>
    <col min="3" max="3" width="84.44140625" bestFit="1" customWidth="1"/>
  </cols>
  <sheetData>
    <row r="2" spans="1:7" x14ac:dyDescent="0.3">
      <c r="A2" s="405" t="s">
        <v>94</v>
      </c>
      <c r="B2" s="405"/>
      <c r="C2" s="405"/>
    </row>
    <row r="3" spans="1:7" x14ac:dyDescent="0.3">
      <c r="A3" s="12"/>
      <c r="B3" s="406" t="s">
        <v>93</v>
      </c>
      <c r="C3" s="406"/>
    </row>
    <row r="4" spans="1:7" ht="6" customHeight="1" x14ac:dyDescent="0.3">
      <c r="A4" s="12"/>
      <c r="B4" s="294"/>
      <c r="C4" s="294"/>
    </row>
    <row r="5" spans="1:7" x14ac:dyDescent="0.3">
      <c r="A5" s="11" t="s">
        <v>92</v>
      </c>
      <c r="B5" s="296" t="s">
        <v>3</v>
      </c>
      <c r="C5" s="296" t="s">
        <v>735</v>
      </c>
    </row>
    <row r="6" spans="1:7" x14ac:dyDescent="0.3">
      <c r="A6" s="297">
        <v>1</v>
      </c>
      <c r="B6" s="298" t="s">
        <v>736</v>
      </c>
      <c r="C6" s="298" t="s">
        <v>90</v>
      </c>
      <c r="D6" s="9"/>
      <c r="E6" s="9"/>
      <c r="F6" s="9"/>
      <c r="G6" s="9"/>
    </row>
    <row r="7" spans="1:7" x14ac:dyDescent="0.3">
      <c r="A7" s="297">
        <v>2</v>
      </c>
      <c r="B7" s="299" t="s">
        <v>737</v>
      </c>
      <c r="C7" s="298" t="s">
        <v>738</v>
      </c>
      <c r="D7" s="9"/>
      <c r="E7" s="9"/>
      <c r="F7" s="9"/>
      <c r="G7" s="9"/>
    </row>
    <row r="8" spans="1:7" x14ac:dyDescent="0.3">
      <c r="A8" s="297">
        <v>3</v>
      </c>
      <c r="B8" s="298" t="s">
        <v>567</v>
      </c>
      <c r="C8" s="298" t="s">
        <v>568</v>
      </c>
      <c r="D8" s="9"/>
      <c r="E8" s="9"/>
      <c r="F8" s="9"/>
      <c r="G8" s="9"/>
    </row>
    <row r="9" spans="1:7" x14ac:dyDescent="0.3">
      <c r="A9" s="297">
        <v>4</v>
      </c>
      <c r="B9" s="298" t="s">
        <v>739</v>
      </c>
      <c r="C9" s="298" t="s">
        <v>740</v>
      </c>
      <c r="D9" s="9"/>
      <c r="E9" s="9"/>
      <c r="F9" s="9"/>
      <c r="G9" s="9"/>
    </row>
    <row r="10" spans="1:7" x14ac:dyDescent="0.3">
      <c r="A10" s="297">
        <v>5</v>
      </c>
      <c r="B10" s="298" t="s">
        <v>89</v>
      </c>
      <c r="C10" s="298" t="s">
        <v>88</v>
      </c>
      <c r="D10" s="9"/>
      <c r="E10" s="9"/>
      <c r="F10" s="9"/>
      <c r="G10" s="9"/>
    </row>
    <row r="11" spans="1:7" x14ac:dyDescent="0.3">
      <c r="A11" s="297">
        <v>6</v>
      </c>
      <c r="B11" s="300" t="s">
        <v>741</v>
      </c>
      <c r="C11" s="300" t="s">
        <v>742</v>
      </c>
      <c r="D11" s="9"/>
      <c r="E11" s="9"/>
      <c r="F11" s="9"/>
      <c r="G11" s="9"/>
    </row>
    <row r="12" spans="1:7" x14ac:dyDescent="0.3">
      <c r="A12" s="297">
        <v>7</v>
      </c>
      <c r="B12" s="298" t="s">
        <v>743</v>
      </c>
      <c r="C12" s="298" t="s">
        <v>744</v>
      </c>
      <c r="D12" s="9"/>
      <c r="E12" s="9"/>
      <c r="F12" s="9"/>
      <c r="G12" s="9"/>
    </row>
    <row r="13" spans="1:7" x14ac:dyDescent="0.3">
      <c r="A13" s="297">
        <v>8</v>
      </c>
      <c r="B13" s="298" t="s">
        <v>569</v>
      </c>
      <c r="C13" s="298" t="s">
        <v>570</v>
      </c>
      <c r="D13" s="9"/>
      <c r="E13" s="9"/>
      <c r="F13" s="9"/>
      <c r="G13" s="9"/>
    </row>
    <row r="14" spans="1:7" x14ac:dyDescent="0.3">
      <c r="A14" s="297">
        <v>9</v>
      </c>
      <c r="B14" s="298" t="s">
        <v>559</v>
      </c>
      <c r="C14" s="298" t="s">
        <v>560</v>
      </c>
      <c r="D14" s="9"/>
      <c r="E14" s="9"/>
      <c r="F14" s="9"/>
      <c r="G14" s="9"/>
    </row>
    <row r="15" spans="1:7" x14ac:dyDescent="0.3">
      <c r="A15" s="297">
        <v>10</v>
      </c>
      <c r="B15" s="298" t="s">
        <v>564</v>
      </c>
      <c r="C15" s="298" t="s">
        <v>565</v>
      </c>
      <c r="D15" s="9"/>
      <c r="E15" s="9"/>
      <c r="F15" s="9"/>
      <c r="G15" s="9"/>
    </row>
    <row r="16" spans="1:7" x14ac:dyDescent="0.3">
      <c r="A16" s="297">
        <v>11</v>
      </c>
      <c r="B16" s="9" t="s">
        <v>745</v>
      </c>
      <c r="C16" s="300" t="s">
        <v>746</v>
      </c>
      <c r="D16" s="9"/>
      <c r="E16" s="9"/>
      <c r="F16" s="9"/>
      <c r="G16" s="9"/>
    </row>
    <row r="17" spans="1:7" x14ac:dyDescent="0.3">
      <c r="A17" s="297">
        <v>12</v>
      </c>
      <c r="B17" s="298" t="s">
        <v>747</v>
      </c>
      <c r="C17" s="298" t="s">
        <v>748</v>
      </c>
      <c r="D17" s="9"/>
      <c r="E17" s="9"/>
      <c r="F17" s="9"/>
      <c r="G17" s="9"/>
    </row>
    <row r="18" spans="1:7" x14ac:dyDescent="0.3">
      <c r="A18" s="297">
        <v>13</v>
      </c>
      <c r="B18" s="298" t="s">
        <v>562</v>
      </c>
      <c r="C18" s="298" t="s">
        <v>563</v>
      </c>
      <c r="D18" s="9"/>
      <c r="E18" s="9"/>
      <c r="F18" s="9"/>
      <c r="G18" s="9"/>
    </row>
    <row r="19" spans="1:7" x14ac:dyDescent="0.3">
      <c r="A19" s="297">
        <v>14</v>
      </c>
      <c r="B19" s="298" t="s">
        <v>749</v>
      </c>
      <c r="C19" s="298" t="s">
        <v>613</v>
      </c>
      <c r="D19" s="9"/>
      <c r="E19" s="9"/>
      <c r="F19" s="9"/>
      <c r="G19" s="9"/>
    </row>
    <row r="20" spans="1:7" x14ac:dyDescent="0.3">
      <c r="A20" s="297">
        <v>15</v>
      </c>
      <c r="B20" s="298" t="s">
        <v>750</v>
      </c>
      <c r="C20" s="298" t="s">
        <v>751</v>
      </c>
      <c r="D20" s="9"/>
      <c r="E20" s="9"/>
      <c r="F20" s="9"/>
      <c r="G20" s="9"/>
    </row>
    <row r="21" spans="1:7" x14ac:dyDescent="0.3">
      <c r="A21" s="297">
        <v>16</v>
      </c>
      <c r="B21" s="298" t="s">
        <v>752</v>
      </c>
      <c r="C21" s="298" t="s">
        <v>571</v>
      </c>
      <c r="D21" s="9"/>
      <c r="E21" s="9"/>
      <c r="F21" s="9"/>
      <c r="G21" s="9"/>
    </row>
    <row r="22" spans="1:7" ht="26.4" x14ac:dyDescent="0.3">
      <c r="A22" s="297">
        <v>17</v>
      </c>
      <c r="B22" s="298" t="s">
        <v>753</v>
      </c>
      <c r="C22" s="298" t="s">
        <v>754</v>
      </c>
      <c r="D22" s="9"/>
      <c r="E22" s="9"/>
      <c r="F22" s="9"/>
      <c r="G22" s="9"/>
    </row>
    <row r="23" spans="1:7" x14ac:dyDescent="0.3">
      <c r="A23" s="297">
        <v>18</v>
      </c>
      <c r="B23" s="298" t="s">
        <v>755</v>
      </c>
      <c r="C23" s="298" t="s">
        <v>756</v>
      </c>
      <c r="D23" s="9"/>
      <c r="E23" s="9"/>
      <c r="F23" s="9"/>
      <c r="G23" s="9"/>
    </row>
    <row r="24" spans="1:7" x14ac:dyDescent="0.3">
      <c r="A24" s="297">
        <v>19</v>
      </c>
      <c r="B24" s="298" t="s">
        <v>757</v>
      </c>
      <c r="C24" s="298" t="s">
        <v>758</v>
      </c>
      <c r="D24" s="9"/>
      <c r="E24" s="9"/>
      <c r="F24" s="9"/>
      <c r="G24" s="9"/>
    </row>
    <row r="25" spans="1:7" ht="14.25" customHeight="1" x14ac:dyDescent="0.3">
      <c r="A25" s="297">
        <v>20</v>
      </c>
      <c r="B25" s="298" t="s">
        <v>759</v>
      </c>
      <c r="C25" s="298" t="s">
        <v>760</v>
      </c>
      <c r="D25" s="9"/>
      <c r="E25" s="9"/>
      <c r="F25" s="9"/>
      <c r="G25" s="9"/>
    </row>
    <row r="26" spans="1:7" x14ac:dyDescent="0.3">
      <c r="A26" s="297">
        <v>21</v>
      </c>
      <c r="B26" s="298" t="s">
        <v>761</v>
      </c>
      <c r="C26" s="298" t="s">
        <v>762</v>
      </c>
      <c r="D26" s="9"/>
      <c r="E26" s="9"/>
      <c r="F26" s="9"/>
      <c r="G26" s="9"/>
    </row>
    <row r="27" spans="1:7" x14ac:dyDescent="0.3">
      <c r="A27" s="297">
        <v>22</v>
      </c>
      <c r="B27" s="298" t="s">
        <v>763</v>
      </c>
      <c r="C27" s="298" t="s">
        <v>764</v>
      </c>
      <c r="D27" s="9"/>
      <c r="E27" s="9"/>
      <c r="F27" s="9"/>
      <c r="G27" s="9"/>
    </row>
    <row r="28" spans="1:7" x14ac:dyDescent="0.3">
      <c r="A28" s="297">
        <v>23</v>
      </c>
      <c r="B28" s="298" t="s">
        <v>765</v>
      </c>
      <c r="C28" s="298" t="s">
        <v>766</v>
      </c>
      <c r="D28" s="9"/>
      <c r="E28" s="9"/>
      <c r="F28" s="9"/>
      <c r="G28" s="9"/>
    </row>
    <row r="29" spans="1:7" x14ac:dyDescent="0.3">
      <c r="A29" s="297">
        <v>24</v>
      </c>
      <c r="B29" s="298" t="s">
        <v>767</v>
      </c>
      <c r="C29" s="298" t="s">
        <v>87</v>
      </c>
      <c r="D29" s="9"/>
      <c r="E29" s="9"/>
      <c r="F29" s="9"/>
      <c r="G29" s="9"/>
    </row>
    <row r="30" spans="1:7" x14ac:dyDescent="0.3">
      <c r="A30" s="297">
        <v>25</v>
      </c>
      <c r="B30" s="298" t="s">
        <v>768</v>
      </c>
      <c r="C30" s="298" t="s">
        <v>56</v>
      </c>
      <c r="D30" s="9"/>
      <c r="E30" s="9"/>
      <c r="F30" s="9"/>
      <c r="G30" s="9"/>
    </row>
    <row r="31" spans="1:7" ht="13.5" customHeight="1" x14ac:dyDescent="0.3">
      <c r="A31" s="297">
        <v>26</v>
      </c>
      <c r="B31" s="298" t="s">
        <v>769</v>
      </c>
      <c r="C31" s="298" t="s">
        <v>770</v>
      </c>
      <c r="D31" s="9"/>
      <c r="E31" s="9"/>
      <c r="F31" s="9"/>
      <c r="G31" s="9"/>
    </row>
    <row r="32" spans="1:7" x14ac:dyDescent="0.3">
      <c r="A32" s="297">
        <v>27</v>
      </c>
      <c r="B32" s="298" t="s">
        <v>771</v>
      </c>
      <c r="C32" s="298" t="s">
        <v>772</v>
      </c>
      <c r="D32" s="9"/>
      <c r="E32" s="9"/>
      <c r="F32" s="9"/>
      <c r="G32" s="9"/>
    </row>
    <row r="33" spans="1:7" x14ac:dyDescent="0.3">
      <c r="A33" s="297">
        <v>28</v>
      </c>
      <c r="B33" s="298" t="s">
        <v>566</v>
      </c>
      <c r="C33" s="299" t="s">
        <v>773</v>
      </c>
      <c r="D33" s="9"/>
      <c r="E33" s="9"/>
      <c r="F33" s="9"/>
      <c r="G33" s="9"/>
    </row>
    <row r="34" spans="1:7" x14ac:dyDescent="0.3">
      <c r="A34" s="297">
        <v>29</v>
      </c>
      <c r="B34" s="298" t="s">
        <v>774</v>
      </c>
      <c r="C34" s="298" t="s">
        <v>572</v>
      </c>
      <c r="D34" s="9"/>
      <c r="E34" s="9"/>
      <c r="F34" s="9"/>
      <c r="G34" s="9"/>
    </row>
    <row r="35" spans="1:7" x14ac:dyDescent="0.3">
      <c r="A35" s="297">
        <v>30</v>
      </c>
      <c r="B35" s="298" t="s">
        <v>775</v>
      </c>
      <c r="C35" s="298" t="s">
        <v>776</v>
      </c>
      <c r="D35" s="9"/>
      <c r="E35" s="9"/>
      <c r="F35" s="9"/>
      <c r="G35" s="9"/>
    </row>
    <row r="36" spans="1:7" x14ac:dyDescent="0.3">
      <c r="A36" s="297">
        <v>31</v>
      </c>
      <c r="B36" s="298" t="s">
        <v>777</v>
      </c>
      <c r="C36" s="298" t="s">
        <v>778</v>
      </c>
      <c r="D36" s="9"/>
      <c r="E36" s="9"/>
      <c r="F36" s="9"/>
      <c r="G36" s="9"/>
    </row>
    <row r="37" spans="1:7" x14ac:dyDescent="0.3">
      <c r="A37" s="297">
        <v>32</v>
      </c>
      <c r="B37" s="298" t="s">
        <v>573</v>
      </c>
      <c r="C37" s="298" t="s">
        <v>574</v>
      </c>
      <c r="D37" s="9"/>
      <c r="E37" s="9"/>
      <c r="F37" s="9"/>
      <c r="G37" s="9"/>
    </row>
    <row r="38" spans="1:7" x14ac:dyDescent="0.3">
      <c r="A38" s="297">
        <v>33</v>
      </c>
      <c r="B38" s="298" t="s">
        <v>779</v>
      </c>
      <c r="C38" s="298" t="s">
        <v>780</v>
      </c>
      <c r="D38" s="9"/>
      <c r="E38" s="9"/>
      <c r="F38" s="9"/>
      <c r="G38" s="9"/>
    </row>
    <row r="39" spans="1:7" x14ac:dyDescent="0.3">
      <c r="A39" s="297">
        <v>34</v>
      </c>
      <c r="B39" s="298" t="s">
        <v>781</v>
      </c>
      <c r="C39" s="298" t="s">
        <v>782</v>
      </c>
      <c r="D39" s="9"/>
      <c r="E39" s="9"/>
      <c r="F39" s="9"/>
      <c r="G39" s="9"/>
    </row>
    <row r="40" spans="1:7" x14ac:dyDescent="0.3">
      <c r="A40" s="297">
        <v>35</v>
      </c>
      <c r="B40" s="9" t="s">
        <v>783</v>
      </c>
      <c r="C40" s="298" t="s">
        <v>784</v>
      </c>
      <c r="D40" s="9"/>
      <c r="E40" s="9"/>
      <c r="F40" s="9"/>
      <c r="G40" s="9"/>
    </row>
    <row r="41" spans="1:7" x14ac:dyDescent="0.3">
      <c r="A41" s="297">
        <v>36</v>
      </c>
      <c r="B41" s="298" t="s">
        <v>575</v>
      </c>
      <c r="C41" s="298" t="s">
        <v>576</v>
      </c>
      <c r="D41" s="9"/>
      <c r="E41" s="9"/>
      <c r="F41" s="9"/>
      <c r="G41" s="9"/>
    </row>
    <row r="42" spans="1:7" x14ac:dyDescent="0.3">
      <c r="A42" s="297">
        <v>37</v>
      </c>
      <c r="B42" s="301" t="s">
        <v>785</v>
      </c>
      <c r="C42" s="298" t="s">
        <v>786</v>
      </c>
      <c r="D42" s="9"/>
      <c r="E42" s="9"/>
      <c r="F42" s="9"/>
      <c r="G42" s="9"/>
    </row>
    <row r="43" spans="1:7" x14ac:dyDescent="0.3">
      <c r="A43" s="297">
        <v>38</v>
      </c>
      <c r="B43" s="298" t="s">
        <v>787</v>
      </c>
      <c r="C43" s="298" t="s">
        <v>788</v>
      </c>
      <c r="D43" s="9"/>
      <c r="E43" s="9"/>
      <c r="F43" s="9"/>
      <c r="G43" s="9"/>
    </row>
    <row r="44" spans="1:7" x14ac:dyDescent="0.3">
      <c r="A44" s="297">
        <v>39</v>
      </c>
      <c r="B44" s="298" t="s">
        <v>789</v>
      </c>
      <c r="C44" s="298" t="s">
        <v>790</v>
      </c>
      <c r="D44" s="9"/>
      <c r="E44" s="9"/>
      <c r="F44" s="9"/>
      <c r="G44" s="9"/>
    </row>
    <row r="45" spans="1:7" x14ac:dyDescent="0.3">
      <c r="A45" s="297">
        <v>40</v>
      </c>
      <c r="B45" s="298" t="s">
        <v>791</v>
      </c>
      <c r="C45" s="298" t="s">
        <v>792</v>
      </c>
      <c r="D45" s="9"/>
      <c r="E45" s="9"/>
      <c r="F45" s="9"/>
      <c r="G45" s="9"/>
    </row>
    <row r="46" spans="1:7" x14ac:dyDescent="0.3">
      <c r="A46" s="297">
        <v>41</v>
      </c>
      <c r="B46" s="298" t="s">
        <v>793</v>
      </c>
      <c r="C46" s="298" t="s">
        <v>579</v>
      </c>
      <c r="D46" s="9"/>
      <c r="E46" s="9"/>
      <c r="F46" s="9"/>
      <c r="G46" s="9"/>
    </row>
    <row r="47" spans="1:7" x14ac:dyDescent="0.3">
      <c r="A47" s="297">
        <v>42</v>
      </c>
      <c r="B47" s="298" t="s">
        <v>794</v>
      </c>
      <c r="C47" s="298" t="s">
        <v>86</v>
      </c>
      <c r="D47" s="9"/>
      <c r="E47" s="9"/>
      <c r="F47" s="9"/>
      <c r="G47" s="9"/>
    </row>
    <row r="48" spans="1:7" x14ac:dyDescent="0.3">
      <c r="A48" s="297">
        <v>43</v>
      </c>
      <c r="B48" s="298" t="s">
        <v>795</v>
      </c>
      <c r="C48" s="298" t="s">
        <v>577</v>
      </c>
      <c r="D48" s="9"/>
      <c r="E48" s="9"/>
      <c r="F48" s="9"/>
      <c r="G48" s="9"/>
    </row>
    <row r="49" spans="1:7" x14ac:dyDescent="0.3">
      <c r="A49" s="297">
        <v>44</v>
      </c>
      <c r="B49" s="298" t="s">
        <v>580</v>
      </c>
      <c r="C49" s="298" t="s">
        <v>581</v>
      </c>
      <c r="D49" s="9"/>
      <c r="E49" s="9"/>
      <c r="F49" s="9"/>
      <c r="G49" s="9"/>
    </row>
    <row r="50" spans="1:7" x14ac:dyDescent="0.3">
      <c r="A50" s="297">
        <v>45</v>
      </c>
      <c r="B50" s="298" t="s">
        <v>796</v>
      </c>
      <c r="C50" s="298" t="s">
        <v>797</v>
      </c>
      <c r="D50" s="9"/>
      <c r="E50" s="9"/>
      <c r="F50" s="9"/>
      <c r="G50" s="9"/>
    </row>
    <row r="51" spans="1:7" x14ac:dyDescent="0.3">
      <c r="A51" s="297">
        <v>46</v>
      </c>
      <c r="B51" s="298" t="s">
        <v>798</v>
      </c>
      <c r="C51" s="298" t="s">
        <v>799</v>
      </c>
      <c r="D51" s="9"/>
      <c r="E51" s="9"/>
      <c r="F51" s="9"/>
      <c r="G51" s="9"/>
    </row>
    <row r="52" spans="1:7" x14ac:dyDescent="0.3">
      <c r="A52" s="297">
        <v>47</v>
      </c>
      <c r="B52" s="298" t="s">
        <v>800</v>
      </c>
      <c r="C52" s="298" t="s">
        <v>801</v>
      </c>
      <c r="D52" s="9"/>
      <c r="E52" s="9"/>
      <c r="F52" s="9"/>
      <c r="G52" s="9"/>
    </row>
    <row r="53" spans="1:7" x14ac:dyDescent="0.3">
      <c r="A53" s="297">
        <v>48</v>
      </c>
      <c r="B53" s="298" t="s">
        <v>802</v>
      </c>
      <c r="C53" s="298" t="s">
        <v>583</v>
      </c>
      <c r="D53" s="9"/>
      <c r="E53" s="9"/>
      <c r="F53" s="9"/>
      <c r="G53" s="9"/>
    </row>
    <row r="54" spans="1:7" x14ac:dyDescent="0.3">
      <c r="A54" s="297">
        <v>49</v>
      </c>
      <c r="B54" s="298" t="s">
        <v>803</v>
      </c>
      <c r="C54" s="298" t="s">
        <v>804</v>
      </c>
      <c r="D54" s="9"/>
      <c r="E54" s="9"/>
      <c r="F54" s="9"/>
      <c r="G54" s="9"/>
    </row>
    <row r="55" spans="1:7" x14ac:dyDescent="0.3">
      <c r="A55" s="297">
        <v>50</v>
      </c>
      <c r="B55" s="298" t="s">
        <v>805</v>
      </c>
      <c r="C55" s="298" t="s">
        <v>806</v>
      </c>
      <c r="D55" s="9"/>
      <c r="E55" s="9"/>
      <c r="F55" s="9"/>
      <c r="G55" s="9"/>
    </row>
    <row r="56" spans="1:7" x14ac:dyDescent="0.3">
      <c r="A56" s="297">
        <v>51</v>
      </c>
      <c r="B56" s="298" t="s">
        <v>807</v>
      </c>
      <c r="C56" s="298" t="s">
        <v>582</v>
      </c>
      <c r="D56" s="9"/>
      <c r="E56" s="9"/>
      <c r="F56" s="9"/>
      <c r="G56" s="9"/>
    </row>
    <row r="57" spans="1:7" x14ac:dyDescent="0.3">
      <c r="A57" s="297">
        <v>52</v>
      </c>
      <c r="B57" s="298" t="s">
        <v>808</v>
      </c>
      <c r="C57" s="298" t="s">
        <v>85</v>
      </c>
      <c r="D57" s="9"/>
      <c r="E57" s="9"/>
      <c r="F57" s="9"/>
      <c r="G57" s="9"/>
    </row>
    <row r="58" spans="1:7" x14ac:dyDescent="0.3">
      <c r="A58" s="297">
        <v>53</v>
      </c>
      <c r="B58" s="298" t="s">
        <v>809</v>
      </c>
      <c r="C58" s="298" t="s">
        <v>84</v>
      </c>
      <c r="D58" s="9"/>
      <c r="E58" s="9"/>
      <c r="F58" s="9"/>
      <c r="G58" s="9"/>
    </row>
    <row r="59" spans="1:7" x14ac:dyDescent="0.3">
      <c r="A59" s="297">
        <v>54</v>
      </c>
      <c r="B59" s="298" t="s">
        <v>810</v>
      </c>
      <c r="C59" s="298" t="s">
        <v>84</v>
      </c>
      <c r="D59" s="9"/>
      <c r="E59" s="9"/>
      <c r="F59" s="9"/>
      <c r="G59" s="9"/>
    </row>
    <row r="60" spans="1:7" x14ac:dyDescent="0.3">
      <c r="A60" s="297">
        <v>55</v>
      </c>
      <c r="B60" s="298" t="s">
        <v>811</v>
      </c>
      <c r="C60" s="298" t="s">
        <v>84</v>
      </c>
      <c r="D60" s="9"/>
      <c r="E60" s="9"/>
      <c r="F60" s="9"/>
      <c r="G60" s="9"/>
    </row>
    <row r="61" spans="1:7" x14ac:dyDescent="0.3">
      <c r="A61" s="297">
        <v>56</v>
      </c>
      <c r="B61" s="298" t="s">
        <v>812</v>
      </c>
      <c r="C61" s="298" t="s">
        <v>813</v>
      </c>
      <c r="D61" s="9"/>
      <c r="E61" s="9"/>
      <c r="F61" s="9"/>
      <c r="G61" s="9"/>
    </row>
    <row r="62" spans="1:7" x14ac:dyDescent="0.3">
      <c r="A62" s="297">
        <v>57</v>
      </c>
      <c r="B62" s="298" t="s">
        <v>814</v>
      </c>
      <c r="C62" s="298" t="s">
        <v>587</v>
      </c>
      <c r="D62" s="9"/>
      <c r="E62" s="9"/>
      <c r="F62" s="9"/>
      <c r="G62" s="9"/>
    </row>
    <row r="63" spans="1:7" x14ac:dyDescent="0.3">
      <c r="A63" s="297">
        <v>58</v>
      </c>
      <c r="B63" s="298" t="s">
        <v>815</v>
      </c>
      <c r="C63" s="298" t="s">
        <v>816</v>
      </c>
      <c r="D63" s="9"/>
      <c r="E63" s="9"/>
      <c r="F63" s="9"/>
      <c r="G63" s="9"/>
    </row>
    <row r="64" spans="1:7" x14ac:dyDescent="0.3">
      <c r="A64" s="297">
        <v>59</v>
      </c>
      <c r="B64" s="298" t="s">
        <v>817</v>
      </c>
      <c r="C64" s="298" t="s">
        <v>83</v>
      </c>
      <c r="D64" s="9"/>
      <c r="E64" s="9"/>
      <c r="F64" s="9"/>
      <c r="G64" s="9"/>
    </row>
    <row r="65" spans="1:7" x14ac:dyDescent="0.3">
      <c r="A65" s="297">
        <v>60</v>
      </c>
      <c r="B65" s="298" t="s">
        <v>818</v>
      </c>
      <c r="C65" s="302" t="s">
        <v>819</v>
      </c>
      <c r="D65" s="9"/>
      <c r="E65" s="9"/>
      <c r="F65" s="9"/>
      <c r="G65" s="9"/>
    </row>
    <row r="66" spans="1:7" x14ac:dyDescent="0.3">
      <c r="A66" s="297">
        <v>61</v>
      </c>
      <c r="B66" s="298" t="s">
        <v>820</v>
      </c>
      <c r="C66" s="302" t="s">
        <v>821</v>
      </c>
      <c r="D66" s="9"/>
      <c r="E66" s="9"/>
      <c r="F66" s="9"/>
      <c r="G66" s="9"/>
    </row>
    <row r="67" spans="1:7" x14ac:dyDescent="0.3">
      <c r="A67" s="297">
        <v>62</v>
      </c>
      <c r="B67" s="303" t="s">
        <v>822</v>
      </c>
      <c r="C67" s="303" t="s">
        <v>586</v>
      </c>
      <c r="D67" s="9"/>
      <c r="E67" s="9"/>
      <c r="F67" s="9"/>
      <c r="G67" s="9"/>
    </row>
    <row r="68" spans="1:7" x14ac:dyDescent="0.3">
      <c r="A68" s="297">
        <v>63</v>
      </c>
      <c r="B68" s="298" t="s">
        <v>823</v>
      </c>
      <c r="C68" s="298" t="s">
        <v>824</v>
      </c>
      <c r="D68" s="9"/>
      <c r="E68" s="9"/>
      <c r="F68" s="9"/>
      <c r="G68" s="9"/>
    </row>
    <row r="69" spans="1:7" x14ac:dyDescent="0.3">
      <c r="A69" s="297">
        <v>64</v>
      </c>
      <c r="B69" s="298" t="s">
        <v>825</v>
      </c>
      <c r="C69" s="298" t="s">
        <v>784</v>
      </c>
      <c r="D69" s="9"/>
      <c r="E69" s="9"/>
      <c r="F69" s="9"/>
      <c r="G69" s="9"/>
    </row>
    <row r="70" spans="1:7" x14ac:dyDescent="0.3">
      <c r="A70" s="297">
        <v>65</v>
      </c>
      <c r="B70" s="298" t="s">
        <v>826</v>
      </c>
      <c r="C70" s="298" t="s">
        <v>82</v>
      </c>
      <c r="D70" s="9"/>
      <c r="E70" s="9"/>
      <c r="F70" s="9"/>
      <c r="G70" s="9"/>
    </row>
    <row r="71" spans="1:7" x14ac:dyDescent="0.3">
      <c r="A71" s="297">
        <v>66</v>
      </c>
      <c r="B71" s="298" t="s">
        <v>827</v>
      </c>
      <c r="C71" s="298" t="s">
        <v>828</v>
      </c>
      <c r="D71" s="9"/>
      <c r="E71" s="9"/>
      <c r="F71" s="9"/>
      <c r="G71" s="9"/>
    </row>
    <row r="72" spans="1:7" x14ac:dyDescent="0.3">
      <c r="A72" s="297">
        <v>67</v>
      </c>
      <c r="B72" s="298" t="s">
        <v>81</v>
      </c>
      <c r="C72" s="298" t="s">
        <v>760</v>
      </c>
      <c r="D72" s="9"/>
      <c r="E72" s="9"/>
      <c r="F72" s="9"/>
      <c r="G72" s="9"/>
    </row>
    <row r="73" spans="1:7" x14ac:dyDescent="0.3">
      <c r="A73" s="297">
        <v>68</v>
      </c>
      <c r="B73" s="298" t="s">
        <v>829</v>
      </c>
      <c r="C73" s="298" t="s">
        <v>830</v>
      </c>
      <c r="D73" s="9"/>
      <c r="E73" s="9"/>
      <c r="F73" s="9"/>
      <c r="G73" s="9"/>
    </row>
    <row r="74" spans="1:7" x14ac:dyDescent="0.3">
      <c r="A74" s="297">
        <v>69</v>
      </c>
      <c r="B74" s="298" t="s">
        <v>831</v>
      </c>
      <c r="C74" s="298" t="s">
        <v>80</v>
      </c>
      <c r="D74" s="9"/>
      <c r="E74" s="9"/>
      <c r="F74" s="9"/>
      <c r="G74" s="9"/>
    </row>
    <row r="75" spans="1:7" x14ac:dyDescent="0.3">
      <c r="A75" s="297">
        <v>70</v>
      </c>
      <c r="B75" s="298" t="s">
        <v>832</v>
      </c>
      <c r="C75" s="298" t="s">
        <v>833</v>
      </c>
      <c r="D75" s="9"/>
      <c r="E75" s="9"/>
      <c r="F75" s="9"/>
      <c r="G75" s="9"/>
    </row>
    <row r="76" spans="1:7" x14ac:dyDescent="0.3">
      <c r="A76" s="297">
        <v>71</v>
      </c>
      <c r="B76" s="298" t="s">
        <v>834</v>
      </c>
      <c r="C76" s="298" t="s">
        <v>835</v>
      </c>
      <c r="D76" s="9"/>
      <c r="E76" s="9"/>
      <c r="F76" s="9"/>
      <c r="G76" s="9"/>
    </row>
    <row r="77" spans="1:7" x14ac:dyDescent="0.3">
      <c r="A77" s="297">
        <v>72</v>
      </c>
      <c r="B77" s="298" t="s">
        <v>836</v>
      </c>
      <c r="C77" s="298" t="s">
        <v>837</v>
      </c>
      <c r="D77" s="9"/>
      <c r="E77" s="9"/>
      <c r="F77" s="9"/>
      <c r="G77" s="9"/>
    </row>
    <row r="78" spans="1:7" x14ac:dyDescent="0.3">
      <c r="A78" s="297">
        <v>73</v>
      </c>
      <c r="B78" s="298" t="s">
        <v>838</v>
      </c>
      <c r="C78" s="298" t="s">
        <v>760</v>
      </c>
      <c r="D78" s="9"/>
      <c r="E78" s="9"/>
      <c r="F78" s="9"/>
      <c r="G78" s="9"/>
    </row>
    <row r="79" spans="1:7" x14ac:dyDescent="0.3">
      <c r="A79" s="297">
        <v>74</v>
      </c>
      <c r="B79" s="298" t="s">
        <v>839</v>
      </c>
      <c r="C79" s="298" t="s">
        <v>840</v>
      </c>
      <c r="D79" s="9"/>
      <c r="E79" s="9"/>
      <c r="F79" s="9"/>
      <c r="G79" s="9"/>
    </row>
    <row r="80" spans="1:7" x14ac:dyDescent="0.3">
      <c r="A80" s="297">
        <v>75</v>
      </c>
      <c r="B80" s="298" t="s">
        <v>841</v>
      </c>
      <c r="C80" s="298" t="s">
        <v>842</v>
      </c>
      <c r="D80" s="9"/>
      <c r="E80" s="9"/>
      <c r="F80" s="9"/>
      <c r="G80" s="9"/>
    </row>
    <row r="81" spans="1:7" x14ac:dyDescent="0.3">
      <c r="A81" s="297">
        <v>76</v>
      </c>
      <c r="B81" s="298" t="s">
        <v>588</v>
      </c>
      <c r="C81" s="298" t="s">
        <v>843</v>
      </c>
      <c r="D81" s="9"/>
      <c r="E81" s="9"/>
      <c r="F81" s="9"/>
      <c r="G81" s="9"/>
    </row>
    <row r="82" spans="1:7" x14ac:dyDescent="0.3">
      <c r="A82" s="297">
        <v>77</v>
      </c>
      <c r="B82" s="298" t="s">
        <v>590</v>
      </c>
      <c r="C82" s="298" t="s">
        <v>844</v>
      </c>
      <c r="D82" s="9"/>
      <c r="E82" s="9"/>
      <c r="F82" s="9"/>
      <c r="G82" s="9"/>
    </row>
    <row r="83" spans="1:7" x14ac:dyDescent="0.3">
      <c r="A83" s="297">
        <v>78</v>
      </c>
      <c r="B83" s="298" t="s">
        <v>845</v>
      </c>
      <c r="C83" s="298" t="s">
        <v>846</v>
      </c>
      <c r="D83" s="9"/>
      <c r="E83" s="9"/>
      <c r="F83" s="9"/>
      <c r="G83" s="9"/>
    </row>
    <row r="84" spans="1:7" x14ac:dyDescent="0.3">
      <c r="A84" s="297">
        <v>79</v>
      </c>
      <c r="B84" s="298" t="s">
        <v>847</v>
      </c>
      <c r="C84" s="298" t="s">
        <v>848</v>
      </c>
      <c r="D84" s="9"/>
      <c r="E84" s="9"/>
      <c r="F84" s="9"/>
      <c r="G84" s="9"/>
    </row>
    <row r="85" spans="1:7" x14ac:dyDescent="0.3">
      <c r="A85" s="297">
        <v>80</v>
      </c>
      <c r="B85" s="298" t="s">
        <v>849</v>
      </c>
      <c r="C85" s="298" t="s">
        <v>850</v>
      </c>
      <c r="D85" s="9"/>
      <c r="E85" s="9"/>
      <c r="F85" s="9"/>
      <c r="G85" s="9"/>
    </row>
    <row r="86" spans="1:7" x14ac:dyDescent="0.3">
      <c r="A86" s="297">
        <v>81</v>
      </c>
      <c r="B86" s="298" t="s">
        <v>851</v>
      </c>
      <c r="C86" s="9" t="s">
        <v>852</v>
      </c>
      <c r="D86" s="9"/>
      <c r="E86" s="9"/>
      <c r="F86" s="9"/>
      <c r="G86" s="9"/>
    </row>
    <row r="87" spans="1:7" x14ac:dyDescent="0.3">
      <c r="A87" s="297">
        <v>82</v>
      </c>
      <c r="B87" s="298" t="s">
        <v>853</v>
      </c>
      <c r="C87" s="298" t="s">
        <v>854</v>
      </c>
      <c r="D87" s="9"/>
      <c r="E87" s="9"/>
      <c r="F87" s="9"/>
      <c r="G87" s="9"/>
    </row>
    <row r="88" spans="1:7" x14ac:dyDescent="0.3">
      <c r="A88" s="297">
        <v>83</v>
      </c>
      <c r="B88" s="298" t="s">
        <v>855</v>
      </c>
      <c r="C88" s="298" t="s">
        <v>79</v>
      </c>
      <c r="D88" s="9"/>
      <c r="E88" s="9"/>
      <c r="F88" s="9"/>
      <c r="G88" s="9"/>
    </row>
    <row r="89" spans="1:7" x14ac:dyDescent="0.3">
      <c r="A89" s="297">
        <v>84</v>
      </c>
      <c r="B89" s="298" t="s">
        <v>856</v>
      </c>
      <c r="C89" s="298" t="s">
        <v>857</v>
      </c>
      <c r="D89" s="9"/>
      <c r="E89" s="9"/>
      <c r="F89" s="9"/>
      <c r="G89" s="9"/>
    </row>
    <row r="90" spans="1:7" x14ac:dyDescent="0.3">
      <c r="A90" s="297">
        <v>85</v>
      </c>
      <c r="B90" s="298" t="s">
        <v>858</v>
      </c>
      <c r="C90" s="298" t="s">
        <v>859</v>
      </c>
      <c r="D90" s="9"/>
      <c r="E90" s="9"/>
      <c r="F90" s="9"/>
      <c r="G90" s="9"/>
    </row>
    <row r="91" spans="1:7" x14ac:dyDescent="0.3">
      <c r="A91" s="297">
        <v>86</v>
      </c>
      <c r="B91" s="298" t="s">
        <v>860</v>
      </c>
      <c r="C91" s="298" t="s">
        <v>78</v>
      </c>
      <c r="D91" s="9"/>
      <c r="E91" s="9"/>
      <c r="F91" s="9"/>
      <c r="G91" s="9"/>
    </row>
    <row r="92" spans="1:7" x14ac:dyDescent="0.3">
      <c r="A92" s="297">
        <v>87</v>
      </c>
      <c r="B92" s="298" t="s">
        <v>592</v>
      </c>
      <c r="C92" s="298" t="s">
        <v>593</v>
      </c>
      <c r="D92" s="9"/>
      <c r="E92" s="9"/>
      <c r="F92" s="9"/>
      <c r="G92" s="9"/>
    </row>
    <row r="93" spans="1:7" x14ac:dyDescent="0.3">
      <c r="A93" s="297">
        <v>88</v>
      </c>
      <c r="B93" s="298" t="s">
        <v>861</v>
      </c>
      <c r="C93" s="298" t="s">
        <v>862</v>
      </c>
      <c r="D93" s="9"/>
      <c r="E93" s="9"/>
      <c r="F93" s="9"/>
      <c r="G93" s="9"/>
    </row>
    <row r="94" spans="1:7" x14ac:dyDescent="0.3">
      <c r="A94" s="297">
        <v>89</v>
      </c>
      <c r="B94" s="298" t="s">
        <v>863</v>
      </c>
      <c r="C94" s="298" t="s">
        <v>589</v>
      </c>
      <c r="D94" s="9"/>
      <c r="E94" s="9"/>
      <c r="F94" s="9"/>
      <c r="G94" s="9"/>
    </row>
    <row r="95" spans="1:7" x14ac:dyDescent="0.3">
      <c r="A95" s="297">
        <v>90</v>
      </c>
      <c r="B95" s="298" t="s">
        <v>864</v>
      </c>
      <c r="C95" s="298" t="s">
        <v>865</v>
      </c>
      <c r="D95" s="9"/>
      <c r="E95" s="9"/>
      <c r="F95" s="9"/>
      <c r="G95" s="9"/>
    </row>
    <row r="96" spans="1:7" x14ac:dyDescent="0.3">
      <c r="A96" s="297">
        <v>91</v>
      </c>
      <c r="B96" s="298" t="s">
        <v>866</v>
      </c>
      <c r="C96" s="298" t="s">
        <v>867</v>
      </c>
      <c r="D96" s="9"/>
      <c r="E96" s="9"/>
      <c r="F96" s="9"/>
      <c r="G96" s="9"/>
    </row>
    <row r="97" spans="1:7" x14ac:dyDescent="0.3">
      <c r="A97" s="297">
        <v>92</v>
      </c>
      <c r="B97" s="298" t="s">
        <v>868</v>
      </c>
      <c r="C97" s="298" t="s">
        <v>869</v>
      </c>
      <c r="D97" s="9"/>
      <c r="E97" s="9"/>
      <c r="F97" s="9"/>
      <c r="G97" s="9"/>
    </row>
    <row r="98" spans="1:7" x14ac:dyDescent="0.3">
      <c r="A98" s="297">
        <v>93</v>
      </c>
      <c r="B98" s="298" t="s">
        <v>870</v>
      </c>
      <c r="C98" s="298" t="s">
        <v>871</v>
      </c>
      <c r="D98" s="9"/>
      <c r="E98" s="9"/>
      <c r="F98" s="9"/>
      <c r="G98" s="9"/>
    </row>
    <row r="99" spans="1:7" x14ac:dyDescent="0.3">
      <c r="A99" s="297">
        <v>94</v>
      </c>
      <c r="B99" s="298" t="s">
        <v>872</v>
      </c>
      <c r="C99" s="298" t="s">
        <v>873</v>
      </c>
      <c r="D99" s="9"/>
      <c r="E99" s="9"/>
      <c r="F99" s="9"/>
      <c r="G99" s="9"/>
    </row>
    <row r="100" spans="1:7" x14ac:dyDescent="0.3">
      <c r="A100" s="297">
        <v>95</v>
      </c>
      <c r="B100" s="298" t="s">
        <v>874</v>
      </c>
      <c r="C100" s="298" t="s">
        <v>875</v>
      </c>
      <c r="D100" s="9"/>
      <c r="E100" s="9"/>
      <c r="F100" s="9"/>
      <c r="G100" s="9"/>
    </row>
    <row r="101" spans="1:7" x14ac:dyDescent="0.3">
      <c r="A101" s="297">
        <v>96</v>
      </c>
      <c r="B101" s="298" t="s">
        <v>876</v>
      </c>
      <c r="C101" s="298" t="s">
        <v>591</v>
      </c>
      <c r="D101" s="9"/>
      <c r="E101" s="9"/>
      <c r="F101" s="9"/>
      <c r="G101" s="9"/>
    </row>
    <row r="102" spans="1:7" x14ac:dyDescent="0.3">
      <c r="A102" s="297">
        <v>97</v>
      </c>
      <c r="B102" s="298" t="s">
        <v>877</v>
      </c>
      <c r="C102" s="298" t="s">
        <v>878</v>
      </c>
      <c r="D102" s="9"/>
      <c r="E102" s="9"/>
      <c r="F102" s="9"/>
      <c r="G102" s="9"/>
    </row>
    <row r="103" spans="1:7" x14ac:dyDescent="0.3">
      <c r="A103" s="297">
        <v>98</v>
      </c>
      <c r="B103" s="298" t="s">
        <v>879</v>
      </c>
      <c r="C103" s="298" t="s">
        <v>880</v>
      </c>
      <c r="D103" s="9"/>
      <c r="E103" s="9"/>
      <c r="F103" s="9"/>
      <c r="G103" s="9"/>
    </row>
    <row r="104" spans="1:7" x14ac:dyDescent="0.3">
      <c r="A104" s="297">
        <v>99</v>
      </c>
      <c r="B104" s="298" t="s">
        <v>881</v>
      </c>
      <c r="C104" s="298" t="s">
        <v>882</v>
      </c>
      <c r="D104" s="9"/>
      <c r="E104" s="9"/>
      <c r="F104" s="9"/>
      <c r="G104" s="9"/>
    </row>
    <row r="105" spans="1:7" x14ac:dyDescent="0.3">
      <c r="A105" s="297">
        <v>100</v>
      </c>
      <c r="B105" s="298" t="s">
        <v>883</v>
      </c>
      <c r="C105" s="298" t="s">
        <v>884</v>
      </c>
      <c r="D105" s="9"/>
      <c r="E105" s="9"/>
      <c r="F105" s="9"/>
      <c r="G105" s="9"/>
    </row>
    <row r="106" spans="1:7" x14ac:dyDescent="0.3">
      <c r="A106" s="297">
        <v>101</v>
      </c>
      <c r="B106" s="298" t="s">
        <v>885</v>
      </c>
      <c r="C106" s="298" t="s">
        <v>77</v>
      </c>
      <c r="D106" s="9"/>
      <c r="E106" s="9"/>
      <c r="F106" s="9"/>
      <c r="G106" s="9"/>
    </row>
    <row r="107" spans="1:7" x14ac:dyDescent="0.3">
      <c r="A107" s="297">
        <v>102</v>
      </c>
      <c r="B107" s="298" t="s">
        <v>886</v>
      </c>
      <c r="C107" s="298" t="s">
        <v>887</v>
      </c>
      <c r="D107" s="9"/>
      <c r="E107" s="9"/>
      <c r="F107" s="9"/>
      <c r="G107" s="9"/>
    </row>
    <row r="108" spans="1:7" x14ac:dyDescent="0.3">
      <c r="A108" s="297">
        <v>103</v>
      </c>
      <c r="B108" s="298" t="s">
        <v>888</v>
      </c>
      <c r="C108" s="298"/>
      <c r="D108" s="9"/>
      <c r="E108" s="9"/>
      <c r="F108" s="9"/>
      <c r="G108" s="9"/>
    </row>
    <row r="109" spans="1:7" x14ac:dyDescent="0.3">
      <c r="A109" s="297">
        <v>104</v>
      </c>
      <c r="B109" s="298" t="s">
        <v>889</v>
      </c>
      <c r="C109" s="298" t="s">
        <v>890</v>
      </c>
      <c r="D109" s="9"/>
      <c r="E109" s="9"/>
      <c r="F109" s="9"/>
      <c r="G109" s="9"/>
    </row>
    <row r="110" spans="1:7" x14ac:dyDescent="0.3">
      <c r="A110" s="297">
        <v>105</v>
      </c>
      <c r="B110" s="298" t="s">
        <v>891</v>
      </c>
      <c r="C110" s="298" t="s">
        <v>892</v>
      </c>
      <c r="D110" s="9"/>
      <c r="E110" s="9"/>
      <c r="F110" s="9"/>
      <c r="G110" s="9"/>
    </row>
    <row r="111" spans="1:7" x14ac:dyDescent="0.3">
      <c r="A111" s="297">
        <v>106</v>
      </c>
      <c r="B111" s="298" t="s">
        <v>893</v>
      </c>
      <c r="C111" s="298" t="s">
        <v>894</v>
      </c>
      <c r="D111" s="9"/>
      <c r="E111" s="9"/>
      <c r="F111" s="9"/>
      <c r="G111" s="9"/>
    </row>
    <row r="112" spans="1:7" x14ac:dyDescent="0.3">
      <c r="A112" s="297">
        <v>107</v>
      </c>
      <c r="B112" s="298" t="s">
        <v>595</v>
      </c>
      <c r="C112" s="298" t="s">
        <v>596</v>
      </c>
      <c r="D112" s="9"/>
      <c r="E112" s="9"/>
      <c r="F112" s="9"/>
      <c r="G112" s="9"/>
    </row>
    <row r="113" spans="1:7" x14ac:dyDescent="0.3">
      <c r="A113" s="297">
        <v>108</v>
      </c>
      <c r="B113" s="298" t="s">
        <v>895</v>
      </c>
      <c r="C113" s="298" t="s">
        <v>896</v>
      </c>
      <c r="D113" s="9"/>
      <c r="E113" s="9"/>
      <c r="F113" s="9"/>
      <c r="G113" s="9"/>
    </row>
    <row r="114" spans="1:7" x14ac:dyDescent="0.3">
      <c r="A114" s="297">
        <v>109</v>
      </c>
      <c r="B114" s="298" t="s">
        <v>897</v>
      </c>
      <c r="C114" s="298" t="s">
        <v>898</v>
      </c>
      <c r="D114" s="9"/>
      <c r="E114" s="9"/>
      <c r="F114" s="9"/>
      <c r="G114" s="9"/>
    </row>
    <row r="115" spans="1:7" x14ac:dyDescent="0.3">
      <c r="A115" s="297">
        <v>110</v>
      </c>
      <c r="B115" s="298" t="s">
        <v>899</v>
      </c>
      <c r="C115" s="298" t="s">
        <v>900</v>
      </c>
      <c r="D115" s="9"/>
      <c r="E115" s="9"/>
      <c r="F115" s="9"/>
      <c r="G115" s="9"/>
    </row>
    <row r="116" spans="1:7" x14ac:dyDescent="0.3">
      <c r="A116" s="297">
        <v>111</v>
      </c>
      <c r="B116" s="298" t="s">
        <v>901</v>
      </c>
      <c r="C116" s="298" t="s">
        <v>902</v>
      </c>
      <c r="D116" s="9"/>
      <c r="E116" s="9"/>
      <c r="F116" s="9"/>
      <c r="G116" s="9"/>
    </row>
    <row r="117" spans="1:7" x14ac:dyDescent="0.3">
      <c r="A117" s="297">
        <v>112</v>
      </c>
      <c r="B117" s="298" t="s">
        <v>903</v>
      </c>
      <c r="C117" s="298" t="s">
        <v>904</v>
      </c>
      <c r="D117" s="9"/>
      <c r="E117" s="9"/>
      <c r="F117" s="9"/>
      <c r="G117" s="9"/>
    </row>
    <row r="118" spans="1:7" x14ac:dyDescent="0.3">
      <c r="A118" s="297">
        <v>113</v>
      </c>
      <c r="B118" s="298" t="s">
        <v>905</v>
      </c>
      <c r="C118" s="298" t="s">
        <v>597</v>
      </c>
      <c r="D118" s="9"/>
      <c r="E118" s="9"/>
      <c r="F118" s="9"/>
      <c r="G118" s="9"/>
    </row>
    <row r="119" spans="1:7" x14ac:dyDescent="0.3">
      <c r="A119" s="297">
        <v>114</v>
      </c>
      <c r="B119" s="298" t="s">
        <v>599</v>
      </c>
      <c r="C119" s="298" t="s">
        <v>600</v>
      </c>
      <c r="D119" s="9"/>
      <c r="E119" s="9"/>
      <c r="F119" s="9"/>
      <c r="G119" s="9"/>
    </row>
    <row r="120" spans="1:7" x14ac:dyDescent="0.3">
      <c r="A120" s="297">
        <v>115</v>
      </c>
      <c r="B120" s="298" t="s">
        <v>906</v>
      </c>
      <c r="C120" s="298" t="s">
        <v>598</v>
      </c>
      <c r="D120" s="9"/>
      <c r="E120" s="9"/>
      <c r="F120" s="9"/>
      <c r="G120" s="9"/>
    </row>
    <row r="121" spans="1:7" x14ac:dyDescent="0.3">
      <c r="A121" s="297">
        <v>116</v>
      </c>
      <c r="B121" s="298" t="s">
        <v>907</v>
      </c>
      <c r="C121" s="298" t="s">
        <v>908</v>
      </c>
      <c r="D121" s="9"/>
      <c r="E121" s="9"/>
      <c r="F121" s="9"/>
      <c r="G121" s="9"/>
    </row>
    <row r="122" spans="1:7" x14ac:dyDescent="0.3">
      <c r="A122" s="297">
        <v>117</v>
      </c>
      <c r="B122" s="298" t="s">
        <v>909</v>
      </c>
      <c r="C122" s="298" t="s">
        <v>602</v>
      </c>
      <c r="D122" s="9"/>
      <c r="E122" s="9"/>
      <c r="F122" s="9"/>
      <c r="G122" s="9"/>
    </row>
    <row r="123" spans="1:7" x14ac:dyDescent="0.3">
      <c r="A123" s="297">
        <v>118</v>
      </c>
      <c r="B123" s="298" t="s">
        <v>910</v>
      </c>
      <c r="C123" s="298" t="s">
        <v>911</v>
      </c>
      <c r="D123" s="9"/>
      <c r="E123" s="9"/>
      <c r="F123" s="9"/>
      <c r="G123" s="9"/>
    </row>
    <row r="124" spans="1:7" x14ac:dyDescent="0.3">
      <c r="A124" s="297">
        <v>119</v>
      </c>
      <c r="B124" s="298" t="s">
        <v>912</v>
      </c>
      <c r="C124" s="298" t="s">
        <v>913</v>
      </c>
      <c r="D124" s="9"/>
      <c r="E124" s="9"/>
      <c r="F124" s="9"/>
      <c r="G124" s="9"/>
    </row>
    <row r="125" spans="1:7" x14ac:dyDescent="0.3">
      <c r="A125" s="297">
        <v>120</v>
      </c>
      <c r="B125" s="298" t="s">
        <v>914</v>
      </c>
      <c r="C125" s="298" t="s">
        <v>915</v>
      </c>
      <c r="D125" s="9"/>
      <c r="E125" s="9"/>
      <c r="F125" s="9"/>
      <c r="G125" s="9"/>
    </row>
    <row r="126" spans="1:7" x14ac:dyDescent="0.3">
      <c r="A126" s="297">
        <v>121</v>
      </c>
      <c r="B126" s="298" t="s">
        <v>310</v>
      </c>
      <c r="C126" s="298" t="s">
        <v>603</v>
      </c>
      <c r="D126" s="9"/>
      <c r="E126" s="9"/>
      <c r="F126" s="9"/>
      <c r="G126" s="9"/>
    </row>
    <row r="127" spans="1:7" x14ac:dyDescent="0.3">
      <c r="A127" s="297">
        <v>122</v>
      </c>
      <c r="B127" s="298" t="s">
        <v>916</v>
      </c>
      <c r="C127" s="298" t="s">
        <v>917</v>
      </c>
      <c r="D127" s="9"/>
      <c r="E127" s="9"/>
      <c r="F127" s="9"/>
      <c r="G127" s="9"/>
    </row>
    <row r="128" spans="1:7" x14ac:dyDescent="0.3">
      <c r="A128" s="297">
        <v>123</v>
      </c>
      <c r="B128" s="298" t="s">
        <v>918</v>
      </c>
      <c r="C128" s="298" t="s">
        <v>919</v>
      </c>
      <c r="D128" s="9"/>
      <c r="E128" s="9"/>
      <c r="F128" s="9"/>
      <c r="G128" s="9"/>
    </row>
    <row r="129" spans="1:7" x14ac:dyDescent="0.3">
      <c r="A129" s="297">
        <v>124</v>
      </c>
      <c r="B129" s="298" t="s">
        <v>920</v>
      </c>
      <c r="C129" s="298" t="s">
        <v>921</v>
      </c>
      <c r="D129" s="9"/>
      <c r="E129" s="9"/>
      <c r="F129" s="9"/>
      <c r="G129" s="9"/>
    </row>
    <row r="130" spans="1:7" x14ac:dyDescent="0.3">
      <c r="A130" s="297">
        <v>125</v>
      </c>
      <c r="B130" s="298" t="s">
        <v>922</v>
      </c>
      <c r="C130" s="298" t="s">
        <v>923</v>
      </c>
      <c r="D130" s="9"/>
      <c r="E130" s="9"/>
      <c r="F130" s="9"/>
      <c r="G130" s="9"/>
    </row>
    <row r="131" spans="1:7" x14ac:dyDescent="0.3">
      <c r="A131" s="297">
        <v>126</v>
      </c>
      <c r="B131" s="298" t="s">
        <v>601</v>
      </c>
      <c r="C131" s="298" t="s">
        <v>924</v>
      </c>
      <c r="D131" s="9"/>
      <c r="E131" s="9"/>
      <c r="F131" s="9"/>
      <c r="G131" s="9"/>
    </row>
    <row r="132" spans="1:7" x14ac:dyDescent="0.3">
      <c r="A132" s="297">
        <v>127</v>
      </c>
      <c r="B132" s="298" t="s">
        <v>925</v>
      </c>
      <c r="C132" s="298" t="s">
        <v>926</v>
      </c>
      <c r="D132" s="9"/>
      <c r="E132" s="9"/>
      <c r="F132" s="9"/>
      <c r="G132" s="9"/>
    </row>
    <row r="133" spans="1:7" x14ac:dyDescent="0.3">
      <c r="A133" s="297">
        <v>128</v>
      </c>
      <c r="B133" s="298" t="s">
        <v>927</v>
      </c>
      <c r="C133" s="298" t="s">
        <v>604</v>
      </c>
      <c r="D133" s="9"/>
      <c r="E133" s="9"/>
      <c r="F133" s="9"/>
      <c r="G133" s="9"/>
    </row>
    <row r="134" spans="1:7" x14ac:dyDescent="0.3">
      <c r="A134" s="297">
        <v>129</v>
      </c>
      <c r="B134" s="298" t="s">
        <v>928</v>
      </c>
      <c r="C134" s="298" t="s">
        <v>929</v>
      </c>
      <c r="D134" s="9"/>
      <c r="E134" s="9"/>
      <c r="F134" s="9"/>
      <c r="G134" s="9"/>
    </row>
    <row r="135" spans="1:7" x14ac:dyDescent="0.3">
      <c r="A135" s="297">
        <v>130</v>
      </c>
      <c r="B135" s="298" t="s">
        <v>930</v>
      </c>
      <c r="C135" s="298" t="s">
        <v>931</v>
      </c>
      <c r="D135" s="9"/>
      <c r="E135" s="9"/>
      <c r="F135" s="9"/>
      <c r="G135" s="9"/>
    </row>
    <row r="136" spans="1:7" x14ac:dyDescent="0.3">
      <c r="A136" s="297">
        <v>131</v>
      </c>
      <c r="B136" s="298" t="s">
        <v>932</v>
      </c>
      <c r="C136" s="298" t="s">
        <v>638</v>
      </c>
      <c r="D136" s="9"/>
      <c r="E136" s="9"/>
      <c r="F136" s="9"/>
      <c r="G136" s="9"/>
    </row>
    <row r="137" spans="1:7" x14ac:dyDescent="0.3">
      <c r="A137" s="297">
        <v>132</v>
      </c>
      <c r="B137" s="298" t="s">
        <v>933</v>
      </c>
      <c r="C137" s="298" t="s">
        <v>605</v>
      </c>
      <c r="D137" s="9"/>
      <c r="E137" s="9"/>
      <c r="F137" s="9"/>
      <c r="G137" s="9"/>
    </row>
    <row r="138" spans="1:7" x14ac:dyDescent="0.3">
      <c r="A138" s="297">
        <v>133</v>
      </c>
      <c r="B138" s="298" t="s">
        <v>934</v>
      </c>
      <c r="C138" s="298" t="s">
        <v>935</v>
      </c>
      <c r="D138" s="9"/>
      <c r="E138" s="9"/>
      <c r="F138" s="9"/>
      <c r="G138" s="9"/>
    </row>
    <row r="139" spans="1:7" x14ac:dyDescent="0.3">
      <c r="A139" s="297">
        <v>134</v>
      </c>
      <c r="B139" s="298" t="s">
        <v>936</v>
      </c>
      <c r="C139" s="298" t="s">
        <v>76</v>
      </c>
      <c r="D139" s="9"/>
      <c r="E139" s="9"/>
      <c r="F139" s="9"/>
      <c r="G139" s="9"/>
    </row>
    <row r="140" spans="1:7" ht="26.4" x14ac:dyDescent="0.3">
      <c r="A140" s="297">
        <v>135</v>
      </c>
      <c r="B140" s="298" t="s">
        <v>937</v>
      </c>
      <c r="C140" s="298" t="s">
        <v>938</v>
      </c>
      <c r="D140" s="9"/>
      <c r="E140" s="9"/>
      <c r="F140" s="9"/>
      <c r="G140" s="9"/>
    </row>
    <row r="141" spans="1:7" x14ac:dyDescent="0.3">
      <c r="A141" s="297">
        <v>136</v>
      </c>
      <c r="B141" s="298" t="s">
        <v>939</v>
      </c>
      <c r="C141" s="298" t="s">
        <v>940</v>
      </c>
      <c r="D141" s="9"/>
      <c r="E141" s="9"/>
      <c r="F141" s="9"/>
      <c r="G141" s="9"/>
    </row>
    <row r="142" spans="1:7" ht="26.4" x14ac:dyDescent="0.3">
      <c r="A142" s="297">
        <v>137</v>
      </c>
      <c r="B142" s="298" t="s">
        <v>941</v>
      </c>
      <c r="C142" s="298" t="s">
        <v>942</v>
      </c>
      <c r="D142" s="9"/>
      <c r="E142" s="9"/>
      <c r="F142" s="9"/>
      <c r="G142" s="9"/>
    </row>
    <row r="143" spans="1:7" x14ac:dyDescent="0.3">
      <c r="A143" s="297">
        <v>138</v>
      </c>
      <c r="B143" s="298" t="s">
        <v>943</v>
      </c>
      <c r="C143" s="298" t="s">
        <v>944</v>
      </c>
      <c r="D143" s="9"/>
      <c r="E143" s="9"/>
      <c r="F143" s="9"/>
      <c r="G143" s="9"/>
    </row>
    <row r="144" spans="1:7" x14ac:dyDescent="0.3">
      <c r="A144" s="297">
        <v>139</v>
      </c>
      <c r="B144" s="298" t="s">
        <v>945</v>
      </c>
      <c r="C144" s="298" t="s">
        <v>946</v>
      </c>
      <c r="D144" s="9"/>
      <c r="E144" s="9"/>
      <c r="F144" s="9"/>
      <c r="G144" s="9"/>
    </row>
    <row r="145" spans="1:7" x14ac:dyDescent="0.3">
      <c r="A145" s="297">
        <v>140</v>
      </c>
      <c r="B145" s="298" t="s">
        <v>947</v>
      </c>
      <c r="C145" s="298" t="s">
        <v>948</v>
      </c>
      <c r="D145" s="9"/>
      <c r="E145" s="9"/>
      <c r="F145" s="9"/>
      <c r="G145" s="9"/>
    </row>
    <row r="146" spans="1:7" x14ac:dyDescent="0.3">
      <c r="A146" s="297">
        <v>141</v>
      </c>
      <c r="B146" s="298" t="s">
        <v>949</v>
      </c>
      <c r="C146" s="298" t="s">
        <v>607</v>
      </c>
      <c r="D146" s="9"/>
      <c r="E146" s="9"/>
      <c r="F146" s="9"/>
      <c r="G146" s="9"/>
    </row>
    <row r="147" spans="1:7" x14ac:dyDescent="0.3">
      <c r="A147" s="297">
        <v>142</v>
      </c>
      <c r="B147" s="298" t="s">
        <v>950</v>
      </c>
      <c r="C147" s="298" t="s">
        <v>610</v>
      </c>
      <c r="D147" s="9"/>
      <c r="E147" s="9"/>
      <c r="F147" s="9"/>
      <c r="G147" s="9"/>
    </row>
    <row r="148" spans="1:7" x14ac:dyDescent="0.3">
      <c r="A148" s="297">
        <v>143</v>
      </c>
      <c r="B148" s="298" t="s">
        <v>951</v>
      </c>
      <c r="C148" s="298" t="s">
        <v>952</v>
      </c>
      <c r="D148" s="9"/>
      <c r="E148" s="9"/>
      <c r="F148" s="9"/>
      <c r="G148" s="9"/>
    </row>
    <row r="149" spans="1:7" x14ac:dyDescent="0.3">
      <c r="A149" s="297">
        <v>144</v>
      </c>
      <c r="B149" s="298" t="s">
        <v>953</v>
      </c>
      <c r="C149" s="298" t="s">
        <v>760</v>
      </c>
      <c r="D149" s="9"/>
      <c r="E149" s="9"/>
      <c r="F149" s="9"/>
      <c r="G149" s="9"/>
    </row>
    <row r="150" spans="1:7" x14ac:dyDescent="0.3">
      <c r="A150" s="297">
        <v>145</v>
      </c>
      <c r="B150" s="298" t="s">
        <v>954</v>
      </c>
      <c r="C150" s="298" t="s">
        <v>75</v>
      </c>
      <c r="D150" s="9"/>
      <c r="E150" s="9"/>
      <c r="F150" s="9"/>
      <c r="G150" s="9"/>
    </row>
    <row r="151" spans="1:7" x14ac:dyDescent="0.3">
      <c r="A151" s="297">
        <v>146</v>
      </c>
      <c r="B151" s="298" t="s">
        <v>955</v>
      </c>
      <c r="C151" s="298" t="s">
        <v>956</v>
      </c>
      <c r="D151" s="9"/>
      <c r="E151" s="9"/>
      <c r="F151" s="9"/>
      <c r="G151" s="9"/>
    </row>
    <row r="152" spans="1:7" x14ac:dyDescent="0.3">
      <c r="A152" s="297">
        <v>147</v>
      </c>
      <c r="B152" s="298" t="s">
        <v>957</v>
      </c>
      <c r="C152" s="298" t="s">
        <v>956</v>
      </c>
      <c r="D152" s="9"/>
      <c r="E152" s="9"/>
      <c r="F152" s="9"/>
      <c r="G152" s="9"/>
    </row>
    <row r="153" spans="1:7" x14ac:dyDescent="0.3">
      <c r="A153" s="297">
        <v>148</v>
      </c>
      <c r="B153" s="298" t="s">
        <v>958</v>
      </c>
      <c r="C153" s="298" t="s">
        <v>606</v>
      </c>
      <c r="D153" s="9"/>
      <c r="E153" s="9"/>
      <c r="F153" s="9"/>
      <c r="G153" s="9"/>
    </row>
    <row r="154" spans="1:7" x14ac:dyDescent="0.3">
      <c r="A154" s="297">
        <v>149</v>
      </c>
      <c r="B154" s="298" t="s">
        <v>959</v>
      </c>
      <c r="C154" s="298" t="s">
        <v>960</v>
      </c>
      <c r="D154" s="9"/>
      <c r="E154" s="9"/>
      <c r="F154" s="9"/>
      <c r="G154" s="9"/>
    </row>
    <row r="155" spans="1:7" x14ac:dyDescent="0.3">
      <c r="A155" s="297">
        <v>150</v>
      </c>
      <c r="B155" s="298" t="s">
        <v>961</v>
      </c>
      <c r="C155" s="298" t="s">
        <v>594</v>
      </c>
      <c r="D155" s="9"/>
      <c r="E155" s="9"/>
      <c r="F155" s="9"/>
      <c r="G155" s="9"/>
    </row>
    <row r="156" spans="1:7" x14ac:dyDescent="0.3">
      <c r="A156" s="297">
        <v>151</v>
      </c>
      <c r="B156" s="298" t="s">
        <v>962</v>
      </c>
      <c r="C156" s="298" t="s">
        <v>963</v>
      </c>
      <c r="D156" s="9"/>
      <c r="E156" s="9"/>
      <c r="F156" s="9"/>
      <c r="G156" s="9"/>
    </row>
    <row r="157" spans="1:7" x14ac:dyDescent="0.3">
      <c r="A157" s="297">
        <v>152</v>
      </c>
      <c r="B157" s="298" t="s">
        <v>964</v>
      </c>
      <c r="C157" s="298" t="s">
        <v>965</v>
      </c>
      <c r="D157" s="9"/>
      <c r="E157" s="9"/>
      <c r="F157" s="9"/>
      <c r="G157" s="9"/>
    </row>
    <row r="158" spans="1:7" x14ac:dyDescent="0.3">
      <c r="A158" s="297">
        <v>153</v>
      </c>
      <c r="B158" s="298" t="s">
        <v>966</v>
      </c>
      <c r="C158" s="298" t="s">
        <v>967</v>
      </c>
      <c r="D158" s="9"/>
      <c r="E158" s="9"/>
      <c r="F158" s="9"/>
      <c r="G158" s="9"/>
    </row>
    <row r="159" spans="1:7" x14ac:dyDescent="0.3">
      <c r="A159" s="297">
        <v>154</v>
      </c>
      <c r="B159" s="298" t="s">
        <v>608</v>
      </c>
      <c r="C159" s="298" t="s">
        <v>609</v>
      </c>
      <c r="D159" s="9"/>
      <c r="E159" s="9"/>
      <c r="F159" s="9"/>
      <c r="G159" s="9"/>
    </row>
    <row r="160" spans="1:7" x14ac:dyDescent="0.3">
      <c r="A160" s="297">
        <v>155</v>
      </c>
      <c r="B160" s="298" t="s">
        <v>614</v>
      </c>
      <c r="C160" s="298" t="s">
        <v>74</v>
      </c>
      <c r="D160" s="9"/>
      <c r="E160" s="9"/>
      <c r="F160" s="9"/>
      <c r="G160" s="9"/>
    </row>
    <row r="161" spans="1:7" x14ac:dyDescent="0.3">
      <c r="A161" s="297">
        <v>156</v>
      </c>
      <c r="B161" s="298" t="s">
        <v>968</v>
      </c>
      <c r="C161" s="298" t="s">
        <v>611</v>
      </c>
      <c r="D161" s="9"/>
      <c r="E161" s="9"/>
      <c r="F161" s="9"/>
      <c r="G161" s="9"/>
    </row>
    <row r="162" spans="1:7" x14ac:dyDescent="0.3">
      <c r="A162" s="297">
        <v>157</v>
      </c>
      <c r="B162" s="298" t="s">
        <v>969</v>
      </c>
      <c r="C162" s="298" t="s">
        <v>760</v>
      </c>
      <c r="D162" s="9"/>
      <c r="E162" s="9"/>
      <c r="F162" s="9"/>
      <c r="G162" s="9"/>
    </row>
    <row r="163" spans="1:7" x14ac:dyDescent="0.3">
      <c r="A163" s="297">
        <v>158</v>
      </c>
      <c r="B163" s="298" t="s">
        <v>970</v>
      </c>
      <c r="C163" s="298" t="s">
        <v>971</v>
      </c>
      <c r="D163" s="9"/>
      <c r="E163" s="9"/>
      <c r="F163" s="9"/>
      <c r="G163" s="9"/>
    </row>
    <row r="164" spans="1:7" x14ac:dyDescent="0.3">
      <c r="A164" s="297">
        <v>159</v>
      </c>
      <c r="B164" s="298" t="s">
        <v>972</v>
      </c>
      <c r="C164" s="298" t="s">
        <v>612</v>
      </c>
      <c r="D164" s="9"/>
      <c r="E164" s="9"/>
      <c r="F164" s="9"/>
      <c r="G164" s="9"/>
    </row>
    <row r="165" spans="1:7" x14ac:dyDescent="0.3">
      <c r="A165" s="297">
        <v>160</v>
      </c>
      <c r="B165" s="298" t="s">
        <v>973</v>
      </c>
      <c r="C165" s="298" t="s">
        <v>974</v>
      </c>
      <c r="D165" s="9"/>
      <c r="E165" s="9"/>
      <c r="F165" s="9"/>
      <c r="G165" s="9"/>
    </row>
    <row r="166" spans="1:7" x14ac:dyDescent="0.3">
      <c r="A166" s="297">
        <v>161</v>
      </c>
      <c r="B166" s="298" t="s">
        <v>975</v>
      </c>
      <c r="C166" s="298" t="s">
        <v>976</v>
      </c>
      <c r="D166" s="9"/>
      <c r="E166" s="9"/>
      <c r="F166" s="9"/>
      <c r="G166" s="9"/>
    </row>
    <row r="167" spans="1:7" x14ac:dyDescent="0.3">
      <c r="A167" s="297">
        <v>162</v>
      </c>
      <c r="B167" s="298" t="s">
        <v>72</v>
      </c>
      <c r="C167" s="298" t="s">
        <v>71</v>
      </c>
      <c r="D167" s="9"/>
      <c r="E167" s="9"/>
      <c r="F167" s="9"/>
      <c r="G167" s="9"/>
    </row>
    <row r="168" spans="1:7" x14ac:dyDescent="0.3">
      <c r="A168" s="297">
        <v>163</v>
      </c>
      <c r="B168" s="304" t="s">
        <v>977</v>
      </c>
      <c r="C168" s="298" t="s">
        <v>615</v>
      </c>
      <c r="D168" s="9"/>
      <c r="E168" s="9"/>
      <c r="F168" s="9"/>
      <c r="G168" s="9"/>
    </row>
    <row r="169" spans="1:7" x14ac:dyDescent="0.3">
      <c r="A169" s="297">
        <v>164</v>
      </c>
      <c r="B169" s="298" t="s">
        <v>978</v>
      </c>
      <c r="C169" s="298" t="s">
        <v>979</v>
      </c>
      <c r="D169" s="9"/>
      <c r="E169" s="9"/>
      <c r="F169" s="9"/>
      <c r="G169" s="9"/>
    </row>
    <row r="170" spans="1:7" x14ac:dyDescent="0.3">
      <c r="A170" s="297">
        <v>165</v>
      </c>
      <c r="B170" s="298" t="s">
        <v>619</v>
      </c>
      <c r="C170" s="298" t="s">
        <v>620</v>
      </c>
      <c r="D170" s="9"/>
      <c r="E170" s="9"/>
      <c r="F170" s="9"/>
      <c r="G170" s="9"/>
    </row>
    <row r="171" spans="1:7" x14ac:dyDescent="0.3">
      <c r="A171" s="297">
        <v>166</v>
      </c>
      <c r="B171" s="298" t="s">
        <v>980</v>
      </c>
      <c r="C171" s="298" t="s">
        <v>981</v>
      </c>
      <c r="D171" s="9"/>
      <c r="E171" s="9"/>
      <c r="F171" s="9"/>
      <c r="G171" s="9"/>
    </row>
    <row r="172" spans="1:7" x14ac:dyDescent="0.3">
      <c r="A172" s="297">
        <v>167</v>
      </c>
      <c r="B172" s="298" t="s">
        <v>982</v>
      </c>
      <c r="C172" s="298" t="s">
        <v>983</v>
      </c>
      <c r="D172" s="9"/>
      <c r="E172" s="9"/>
      <c r="F172" s="9"/>
      <c r="G172" s="9"/>
    </row>
    <row r="173" spans="1:7" x14ac:dyDescent="0.3">
      <c r="A173" s="297">
        <v>168</v>
      </c>
      <c r="B173" s="298" t="s">
        <v>984</v>
      </c>
      <c r="C173" s="298" t="s">
        <v>744</v>
      </c>
      <c r="D173" s="9"/>
      <c r="E173" s="9"/>
      <c r="F173" s="9"/>
      <c r="G173" s="9"/>
    </row>
    <row r="174" spans="1:7" x14ac:dyDescent="0.3">
      <c r="A174" s="297">
        <v>169</v>
      </c>
      <c r="B174" s="298" t="s">
        <v>985</v>
      </c>
      <c r="C174" s="298" t="s">
        <v>986</v>
      </c>
      <c r="D174" s="9"/>
      <c r="E174" s="9"/>
      <c r="F174" s="9"/>
      <c r="G174" s="9"/>
    </row>
    <row r="175" spans="1:7" x14ac:dyDescent="0.3">
      <c r="A175" s="297">
        <v>170</v>
      </c>
      <c r="B175" s="298" t="s">
        <v>987</v>
      </c>
      <c r="C175" s="298" t="s">
        <v>628</v>
      </c>
      <c r="D175" s="9"/>
      <c r="E175" s="9"/>
      <c r="F175" s="9"/>
      <c r="G175" s="9"/>
    </row>
    <row r="176" spans="1:7" x14ac:dyDescent="0.3">
      <c r="A176" s="297">
        <v>171</v>
      </c>
      <c r="B176" s="298" t="s">
        <v>988</v>
      </c>
      <c r="C176" s="298" t="s">
        <v>989</v>
      </c>
      <c r="D176" s="9"/>
      <c r="E176" s="9"/>
      <c r="F176" s="9"/>
      <c r="G176" s="9"/>
    </row>
    <row r="177" spans="1:8" x14ac:dyDescent="0.3">
      <c r="A177" s="297">
        <v>172</v>
      </c>
      <c r="B177" s="298" t="s">
        <v>990</v>
      </c>
      <c r="C177" s="298" t="s">
        <v>991</v>
      </c>
      <c r="D177" s="9"/>
      <c r="E177" s="9"/>
      <c r="F177" s="9"/>
      <c r="G177" s="9"/>
    </row>
    <row r="178" spans="1:8" x14ac:dyDescent="0.3">
      <c r="A178" s="297">
        <v>173</v>
      </c>
      <c r="B178" s="298" t="s">
        <v>992</v>
      </c>
      <c r="C178" s="298" t="s">
        <v>993</v>
      </c>
      <c r="D178" s="9"/>
      <c r="E178" s="9"/>
      <c r="F178" s="9"/>
      <c r="G178" s="9"/>
    </row>
    <row r="179" spans="1:8" x14ac:dyDescent="0.3">
      <c r="A179" s="297">
        <v>174</v>
      </c>
      <c r="B179" s="298" t="s">
        <v>994</v>
      </c>
      <c r="C179" s="301" t="s">
        <v>995</v>
      </c>
      <c r="D179" s="9"/>
      <c r="E179" s="9"/>
      <c r="F179" s="9"/>
      <c r="G179" s="9"/>
    </row>
    <row r="180" spans="1:8" x14ac:dyDescent="0.3">
      <c r="A180" s="297">
        <v>175</v>
      </c>
      <c r="B180" s="298" t="s">
        <v>996</v>
      </c>
      <c r="C180" s="301" t="s">
        <v>997</v>
      </c>
      <c r="D180" s="9"/>
      <c r="E180" s="9"/>
      <c r="F180" s="9"/>
      <c r="G180" s="9"/>
    </row>
    <row r="181" spans="1:8" x14ac:dyDescent="0.3">
      <c r="A181" s="297">
        <v>176</v>
      </c>
      <c r="B181" s="298" t="s">
        <v>998</v>
      </c>
      <c r="C181" s="298" t="s">
        <v>999</v>
      </c>
      <c r="D181" s="9"/>
      <c r="E181" s="9"/>
      <c r="F181" s="9"/>
      <c r="G181" s="9"/>
    </row>
    <row r="182" spans="1:8" x14ac:dyDescent="0.3">
      <c r="A182" s="297">
        <v>177</v>
      </c>
      <c r="B182" s="298" t="s">
        <v>622</v>
      </c>
      <c r="C182" s="298" t="s">
        <v>623</v>
      </c>
      <c r="D182" s="9"/>
      <c r="E182" s="9"/>
      <c r="F182" s="9"/>
      <c r="G182" s="9"/>
    </row>
    <row r="183" spans="1:8" x14ac:dyDescent="0.3">
      <c r="A183" s="297">
        <v>178</v>
      </c>
      <c r="B183" s="298" t="s">
        <v>1000</v>
      </c>
      <c r="C183" s="298" t="s">
        <v>1001</v>
      </c>
      <c r="D183" s="9"/>
      <c r="E183" s="9"/>
      <c r="F183" s="9"/>
      <c r="G183" s="9"/>
    </row>
    <row r="184" spans="1:8" x14ac:dyDescent="0.3">
      <c r="A184" s="297">
        <v>179</v>
      </c>
      <c r="B184" s="298" t="s">
        <v>1002</v>
      </c>
      <c r="C184" s="298" t="s">
        <v>1001</v>
      </c>
      <c r="D184" s="9"/>
      <c r="E184" s="9"/>
      <c r="F184" s="9"/>
      <c r="G184" s="9"/>
    </row>
    <row r="185" spans="1:8" x14ac:dyDescent="0.3">
      <c r="A185" s="297">
        <v>180</v>
      </c>
      <c r="B185" s="301" t="s">
        <v>1003</v>
      </c>
      <c r="C185" s="298" t="s">
        <v>1004</v>
      </c>
      <c r="D185" s="9"/>
      <c r="E185" s="9"/>
      <c r="F185" s="9"/>
      <c r="G185" s="9"/>
    </row>
    <row r="186" spans="1:8" x14ac:dyDescent="0.3">
      <c r="A186" s="297">
        <v>181</v>
      </c>
      <c r="B186" s="298" t="s">
        <v>1005</v>
      </c>
      <c r="C186" s="298" t="s">
        <v>626</v>
      </c>
      <c r="D186" s="9"/>
      <c r="E186" s="9"/>
      <c r="F186" s="9"/>
      <c r="G186" s="9"/>
    </row>
    <row r="187" spans="1:8" x14ac:dyDescent="0.3">
      <c r="A187" s="297">
        <v>182</v>
      </c>
      <c r="B187" s="298" t="s">
        <v>1006</v>
      </c>
      <c r="C187" s="298" t="s">
        <v>1007</v>
      </c>
      <c r="D187" s="9"/>
      <c r="E187" s="9"/>
      <c r="F187" s="9"/>
      <c r="G187" s="9"/>
    </row>
    <row r="188" spans="1:8" x14ac:dyDescent="0.3">
      <c r="A188" s="297">
        <v>183</v>
      </c>
      <c r="B188" s="298" t="s">
        <v>1008</v>
      </c>
      <c r="C188" s="298" t="s">
        <v>617</v>
      </c>
      <c r="D188" s="9"/>
      <c r="E188" s="9"/>
      <c r="F188" s="9"/>
      <c r="G188" s="9"/>
    </row>
    <row r="189" spans="1:8" x14ac:dyDescent="0.3">
      <c r="A189" s="297">
        <v>184</v>
      </c>
      <c r="B189" s="298" t="s">
        <v>1009</v>
      </c>
      <c r="C189" s="298" t="s">
        <v>1010</v>
      </c>
      <c r="D189" s="9"/>
      <c r="E189" s="9"/>
      <c r="F189" s="9"/>
      <c r="G189" s="9"/>
    </row>
    <row r="190" spans="1:8" x14ac:dyDescent="0.3">
      <c r="A190" s="297">
        <v>185</v>
      </c>
      <c r="B190" s="298" t="s">
        <v>585</v>
      </c>
      <c r="C190" s="298" t="s">
        <v>1011</v>
      </c>
      <c r="D190" s="9"/>
      <c r="E190" s="9"/>
      <c r="F190" s="9"/>
      <c r="G190" s="9"/>
    </row>
    <row r="191" spans="1:8" ht="15.75" customHeight="1" x14ac:dyDescent="0.3">
      <c r="A191" s="297">
        <v>186</v>
      </c>
      <c r="B191" s="298" t="s">
        <v>1012</v>
      </c>
      <c r="C191" s="298" t="s">
        <v>1013</v>
      </c>
      <c r="D191" s="9"/>
      <c r="E191" s="9"/>
      <c r="F191" s="9"/>
      <c r="G191" s="9"/>
      <c r="H191" s="9"/>
    </row>
    <row r="192" spans="1:8" x14ac:dyDescent="0.3">
      <c r="A192" s="297">
        <v>187</v>
      </c>
      <c r="B192" s="298" t="s">
        <v>719</v>
      </c>
      <c r="C192" s="298" t="s">
        <v>716</v>
      </c>
      <c r="D192" s="9"/>
      <c r="E192" s="9"/>
      <c r="F192" s="9"/>
      <c r="G192" s="9"/>
      <c r="H192" s="9"/>
    </row>
    <row r="193" spans="1:8" x14ac:dyDescent="0.3">
      <c r="A193" s="297">
        <v>188</v>
      </c>
      <c r="B193" s="298" t="s">
        <v>616</v>
      </c>
      <c r="C193" s="298" t="s">
        <v>1014</v>
      </c>
      <c r="D193" s="9"/>
      <c r="E193" s="9"/>
      <c r="F193" s="9"/>
      <c r="G193" s="9"/>
      <c r="H193" s="9"/>
    </row>
    <row r="194" spans="1:8" x14ac:dyDescent="0.3">
      <c r="A194" s="297">
        <v>189</v>
      </c>
      <c r="B194" s="298" t="s">
        <v>1015</v>
      </c>
      <c r="C194" s="298" t="s">
        <v>1016</v>
      </c>
      <c r="D194" s="9"/>
      <c r="E194" s="9"/>
      <c r="F194" s="9"/>
      <c r="G194" s="9"/>
      <c r="H194" s="9"/>
    </row>
    <row r="195" spans="1:8" x14ac:dyDescent="0.3">
      <c r="A195" s="297">
        <v>190</v>
      </c>
      <c r="B195" s="298" t="s">
        <v>1017</v>
      </c>
      <c r="C195" s="298" t="s">
        <v>1018</v>
      </c>
      <c r="D195" s="9"/>
      <c r="E195" s="9"/>
      <c r="F195" s="9"/>
      <c r="G195" s="9"/>
      <c r="H195" s="9"/>
    </row>
    <row r="196" spans="1:8" x14ac:dyDescent="0.3">
      <c r="A196" s="297">
        <v>191</v>
      </c>
      <c r="B196" s="298" t="s">
        <v>1019</v>
      </c>
      <c r="C196" s="298" t="s">
        <v>618</v>
      </c>
      <c r="D196" s="9"/>
      <c r="E196" s="9"/>
      <c r="F196" s="9"/>
      <c r="G196" s="9"/>
      <c r="H196" s="9"/>
    </row>
    <row r="197" spans="1:8" x14ac:dyDescent="0.3">
      <c r="A197" s="297">
        <v>192</v>
      </c>
      <c r="B197" s="298" t="s">
        <v>1020</v>
      </c>
      <c r="C197" s="298" t="s">
        <v>627</v>
      </c>
      <c r="D197" s="9"/>
      <c r="E197" s="9"/>
      <c r="F197" s="9"/>
      <c r="G197" s="9"/>
      <c r="H197" s="9"/>
    </row>
    <row r="198" spans="1:8" x14ac:dyDescent="0.3">
      <c r="A198" s="297">
        <v>193</v>
      </c>
      <c r="B198" s="298" t="s">
        <v>1021</v>
      </c>
      <c r="C198" s="298" t="s">
        <v>1022</v>
      </c>
      <c r="D198" s="9"/>
      <c r="E198" s="9"/>
      <c r="F198" s="9"/>
      <c r="G198" s="9"/>
      <c r="H198" s="9"/>
    </row>
    <row r="199" spans="1:8" x14ac:dyDescent="0.3">
      <c r="A199" s="297">
        <v>194</v>
      </c>
      <c r="B199" s="298" t="s">
        <v>1023</v>
      </c>
      <c r="C199" s="298" t="s">
        <v>1024</v>
      </c>
      <c r="D199" s="9"/>
      <c r="E199" s="9"/>
      <c r="F199" s="9"/>
      <c r="G199" s="9"/>
      <c r="H199" s="9"/>
    </row>
    <row r="200" spans="1:8" x14ac:dyDescent="0.3">
      <c r="A200" s="297">
        <v>195</v>
      </c>
      <c r="B200" s="298" t="s">
        <v>1025</v>
      </c>
      <c r="C200" s="298" t="s">
        <v>621</v>
      </c>
      <c r="D200" s="9"/>
      <c r="E200" s="9"/>
      <c r="F200" s="9"/>
      <c r="G200" s="9"/>
      <c r="H200" s="9"/>
    </row>
    <row r="201" spans="1:8" x14ac:dyDescent="0.3">
      <c r="A201" s="297">
        <v>196</v>
      </c>
      <c r="B201" s="298" t="s">
        <v>1026</v>
      </c>
      <c r="C201" s="298" t="s">
        <v>1027</v>
      </c>
      <c r="D201" s="9"/>
      <c r="E201" s="9"/>
      <c r="F201" s="9"/>
      <c r="G201" s="9"/>
      <c r="H201" s="9"/>
    </row>
    <row r="202" spans="1:8" x14ac:dyDescent="0.3">
      <c r="A202" s="297">
        <v>197</v>
      </c>
      <c r="B202" s="298" t="s">
        <v>1028</v>
      </c>
      <c r="C202" s="298" t="s">
        <v>1029</v>
      </c>
      <c r="D202" s="9"/>
      <c r="E202" s="9"/>
      <c r="F202" s="9"/>
      <c r="G202" s="9"/>
      <c r="H202" s="9"/>
    </row>
    <row r="203" spans="1:8" x14ac:dyDescent="0.3">
      <c r="A203" s="297">
        <v>198</v>
      </c>
      <c r="B203" s="298" t="s">
        <v>1030</v>
      </c>
      <c r="C203" s="298" t="s">
        <v>625</v>
      </c>
      <c r="D203" s="9"/>
      <c r="E203" s="9"/>
      <c r="F203" s="9"/>
      <c r="G203" s="9"/>
      <c r="H203" s="9"/>
    </row>
    <row r="204" spans="1:8" ht="26.4" x14ac:dyDescent="0.3">
      <c r="A204" s="297">
        <v>199</v>
      </c>
      <c r="B204" s="298" t="s">
        <v>1031</v>
      </c>
      <c r="C204" s="298" t="s">
        <v>1032</v>
      </c>
      <c r="D204" s="9"/>
      <c r="E204" s="9"/>
      <c r="F204" s="9"/>
      <c r="G204" s="9"/>
      <c r="H204" s="9"/>
    </row>
    <row r="205" spans="1:8" ht="26.4" x14ac:dyDescent="0.3">
      <c r="A205" s="297">
        <v>200</v>
      </c>
      <c r="B205" s="298" t="s">
        <v>1033</v>
      </c>
      <c r="C205" s="298" t="s">
        <v>1034</v>
      </c>
      <c r="D205" s="9"/>
      <c r="E205" s="9"/>
      <c r="F205" s="9"/>
      <c r="G205" s="9"/>
      <c r="H205" s="9"/>
    </row>
    <row r="206" spans="1:8" x14ac:dyDescent="0.3">
      <c r="A206" s="297">
        <v>201</v>
      </c>
      <c r="B206" s="298" t="s">
        <v>1035</v>
      </c>
      <c r="C206" s="298" t="s">
        <v>70</v>
      </c>
      <c r="D206" s="9"/>
      <c r="E206" s="9"/>
      <c r="F206" s="9"/>
      <c r="G206" s="9"/>
      <c r="H206" s="9"/>
    </row>
    <row r="207" spans="1:8" x14ac:dyDescent="0.3">
      <c r="A207" s="297">
        <v>202</v>
      </c>
      <c r="B207" s="298" t="s">
        <v>1036</v>
      </c>
      <c r="C207" s="298" t="s">
        <v>1037</v>
      </c>
      <c r="D207" s="9"/>
      <c r="E207" s="9"/>
      <c r="F207" s="9"/>
      <c r="G207" s="9"/>
      <c r="H207" s="9"/>
    </row>
    <row r="208" spans="1:8" x14ac:dyDescent="0.3">
      <c r="A208" s="297">
        <v>203</v>
      </c>
      <c r="B208" s="301" t="s">
        <v>1038</v>
      </c>
      <c r="C208" s="298" t="s">
        <v>1039</v>
      </c>
      <c r="D208" s="9"/>
      <c r="E208" s="9"/>
      <c r="F208" s="9"/>
      <c r="G208" s="9"/>
      <c r="H208" s="9"/>
    </row>
    <row r="209" spans="1:8" x14ac:dyDescent="0.3">
      <c r="A209" s="297">
        <v>204</v>
      </c>
      <c r="B209" s="301" t="s">
        <v>1040</v>
      </c>
      <c r="C209" s="298" t="s">
        <v>1041</v>
      </c>
      <c r="D209" s="9"/>
      <c r="E209" s="9"/>
      <c r="F209" s="9"/>
      <c r="G209" s="9"/>
      <c r="H209" s="9"/>
    </row>
    <row r="210" spans="1:8" x14ac:dyDescent="0.3">
      <c r="A210" s="297">
        <v>205</v>
      </c>
      <c r="B210" s="298" t="s">
        <v>1042</v>
      </c>
      <c r="C210" s="298" t="s">
        <v>1043</v>
      </c>
      <c r="D210" s="9"/>
      <c r="E210" s="9"/>
      <c r="F210" s="9"/>
      <c r="G210" s="9"/>
      <c r="H210" s="9"/>
    </row>
    <row r="211" spans="1:8" x14ac:dyDescent="0.3">
      <c r="A211" s="297">
        <v>206</v>
      </c>
      <c r="B211" s="298" t="s">
        <v>1044</v>
      </c>
      <c r="C211" s="298" t="s">
        <v>1045</v>
      </c>
      <c r="D211" s="9"/>
      <c r="E211" s="9"/>
      <c r="F211" s="9"/>
      <c r="G211" s="9"/>
      <c r="H211" s="9"/>
    </row>
    <row r="212" spans="1:8" x14ac:dyDescent="0.3">
      <c r="A212" s="297">
        <v>207</v>
      </c>
      <c r="B212" s="298" t="s">
        <v>1046</v>
      </c>
      <c r="C212" s="298" t="s">
        <v>1047</v>
      </c>
      <c r="D212" s="9"/>
      <c r="E212" s="9"/>
      <c r="F212" s="9"/>
      <c r="G212" s="9"/>
      <c r="H212" s="9"/>
    </row>
    <row r="213" spans="1:8" x14ac:dyDescent="0.3">
      <c r="A213" s="297">
        <v>208</v>
      </c>
      <c r="B213" s="298" t="s">
        <v>1048</v>
      </c>
      <c r="C213" s="298" t="s">
        <v>1049</v>
      </c>
      <c r="D213" s="9"/>
      <c r="E213" s="9"/>
      <c r="F213" s="9"/>
      <c r="G213" s="9"/>
      <c r="H213" s="9"/>
    </row>
    <row r="214" spans="1:8" x14ac:dyDescent="0.3">
      <c r="A214" s="297">
        <v>209</v>
      </c>
      <c r="B214" s="298" t="s">
        <v>1050</v>
      </c>
      <c r="C214" s="298" t="s">
        <v>1051</v>
      </c>
      <c r="D214" s="9"/>
      <c r="E214" s="9"/>
      <c r="F214" s="9"/>
      <c r="G214" s="9"/>
      <c r="H214" s="9"/>
    </row>
    <row r="215" spans="1:8" x14ac:dyDescent="0.3">
      <c r="A215" s="297">
        <v>210</v>
      </c>
      <c r="B215" s="298" t="s">
        <v>1052</v>
      </c>
      <c r="C215" s="301" t="s">
        <v>632</v>
      </c>
      <c r="D215" s="9"/>
      <c r="E215" s="9"/>
      <c r="F215" s="9"/>
      <c r="G215" s="9"/>
      <c r="H215" s="9"/>
    </row>
    <row r="216" spans="1:8" x14ac:dyDescent="0.3">
      <c r="A216" s="297">
        <v>211</v>
      </c>
      <c r="B216" s="298" t="s">
        <v>1053</v>
      </c>
      <c r="C216" s="298" t="s">
        <v>1054</v>
      </c>
      <c r="D216" s="9"/>
      <c r="E216" s="9"/>
      <c r="F216" s="9"/>
      <c r="G216" s="9"/>
      <c r="H216" s="9"/>
    </row>
    <row r="217" spans="1:8" x14ac:dyDescent="0.3">
      <c r="A217" s="297">
        <v>212</v>
      </c>
      <c r="B217" s="298" t="s">
        <v>47</v>
      </c>
      <c r="C217" s="298" t="s">
        <v>1055</v>
      </c>
      <c r="D217" s="9"/>
      <c r="E217" s="9"/>
      <c r="F217" s="9"/>
      <c r="G217" s="9"/>
      <c r="H217" s="9"/>
    </row>
    <row r="218" spans="1:8" x14ac:dyDescent="0.3">
      <c r="A218" s="297">
        <v>213</v>
      </c>
      <c r="B218" s="298" t="s">
        <v>1056</v>
      </c>
      <c r="C218" s="298" t="s">
        <v>1057</v>
      </c>
      <c r="D218" s="9"/>
      <c r="E218" s="9"/>
      <c r="F218" s="9"/>
      <c r="G218" s="9"/>
      <c r="H218" s="9"/>
    </row>
    <row r="219" spans="1:8" x14ac:dyDescent="0.3">
      <c r="A219" s="297">
        <v>214</v>
      </c>
      <c r="B219" s="298" t="s">
        <v>639</v>
      </c>
      <c r="C219" s="298" t="s">
        <v>640</v>
      </c>
      <c r="D219" s="9"/>
      <c r="E219" s="9"/>
      <c r="F219" s="9"/>
      <c r="G219" s="9"/>
      <c r="H219" s="9"/>
    </row>
    <row r="220" spans="1:8" x14ac:dyDescent="0.3">
      <c r="A220" s="297">
        <v>215</v>
      </c>
      <c r="B220" s="298" t="s">
        <v>1058</v>
      </c>
      <c r="C220" s="298" t="s">
        <v>1059</v>
      </c>
      <c r="D220" s="9"/>
      <c r="E220" s="9"/>
      <c r="F220" s="9"/>
      <c r="G220" s="9"/>
      <c r="H220" s="9"/>
    </row>
    <row r="221" spans="1:8" x14ac:dyDescent="0.3">
      <c r="A221" s="297">
        <v>216</v>
      </c>
      <c r="B221" s="298" t="s">
        <v>1060</v>
      </c>
      <c r="C221" s="298" t="s">
        <v>1061</v>
      </c>
      <c r="D221" s="9"/>
      <c r="E221" s="9"/>
      <c r="F221" s="9"/>
      <c r="G221" s="9"/>
      <c r="H221" s="9"/>
    </row>
    <row r="222" spans="1:8" x14ac:dyDescent="0.3">
      <c r="A222" s="297">
        <v>217</v>
      </c>
      <c r="B222" s="298" t="s">
        <v>1062</v>
      </c>
      <c r="C222" s="298" t="s">
        <v>1063</v>
      </c>
      <c r="D222" s="9"/>
      <c r="E222" s="9"/>
      <c r="F222" s="9"/>
      <c r="G222" s="9"/>
      <c r="H222" s="9"/>
    </row>
    <row r="223" spans="1:8" ht="26.4" x14ac:dyDescent="0.3">
      <c r="A223" s="297">
        <v>218</v>
      </c>
      <c r="B223" s="298" t="s">
        <v>633</v>
      </c>
      <c r="C223" s="298" t="s">
        <v>1063</v>
      </c>
      <c r="D223" s="9"/>
      <c r="E223" s="9"/>
      <c r="F223" s="9"/>
      <c r="G223" s="9"/>
      <c r="H223" s="9"/>
    </row>
    <row r="224" spans="1:8" x14ac:dyDescent="0.3">
      <c r="A224" s="297">
        <v>219</v>
      </c>
      <c r="B224" s="298" t="s">
        <v>634</v>
      </c>
      <c r="C224" s="298" t="s">
        <v>635</v>
      </c>
      <c r="D224" s="9"/>
      <c r="E224" s="9"/>
      <c r="F224" s="9"/>
      <c r="G224" s="9"/>
      <c r="H224" s="9"/>
    </row>
    <row r="225" spans="1:8" x14ac:dyDescent="0.3">
      <c r="A225" s="297">
        <v>220</v>
      </c>
      <c r="B225" s="298" t="s">
        <v>1064</v>
      </c>
      <c r="C225" s="298" t="s">
        <v>1065</v>
      </c>
      <c r="D225" s="9"/>
      <c r="E225" s="9"/>
      <c r="F225" s="9"/>
      <c r="G225" s="9"/>
      <c r="H225" s="9"/>
    </row>
    <row r="226" spans="1:8" x14ac:dyDescent="0.3">
      <c r="A226" s="297">
        <v>221</v>
      </c>
      <c r="B226" s="298" t="s">
        <v>630</v>
      </c>
      <c r="C226" s="298" t="s">
        <v>631</v>
      </c>
      <c r="D226" s="9"/>
      <c r="E226" s="9"/>
      <c r="F226" s="9"/>
      <c r="G226" s="9"/>
      <c r="H226" s="9"/>
    </row>
    <row r="227" spans="1:8" x14ac:dyDescent="0.3">
      <c r="A227" s="297">
        <v>222</v>
      </c>
      <c r="B227" s="298" t="s">
        <v>1066</v>
      </c>
      <c r="C227" s="298" t="s">
        <v>637</v>
      </c>
      <c r="D227" s="9"/>
      <c r="E227" s="9"/>
      <c r="F227" s="9"/>
      <c r="G227" s="9"/>
      <c r="H227" s="9"/>
    </row>
    <row r="228" spans="1:8" x14ac:dyDescent="0.3">
      <c r="A228" s="297">
        <v>223</v>
      </c>
      <c r="B228" s="298" t="s">
        <v>1067</v>
      </c>
      <c r="C228" s="298" t="s">
        <v>629</v>
      </c>
      <c r="D228" s="9"/>
      <c r="E228" s="9"/>
      <c r="F228" s="9"/>
      <c r="G228" s="9"/>
      <c r="H228" s="9"/>
    </row>
    <row r="229" spans="1:8" x14ac:dyDescent="0.3">
      <c r="A229" s="297">
        <v>224</v>
      </c>
      <c r="B229" s="298" t="s">
        <v>1068</v>
      </c>
      <c r="C229" s="298" t="s">
        <v>636</v>
      </c>
      <c r="D229" s="9"/>
      <c r="E229" s="9"/>
      <c r="F229" s="9"/>
      <c r="G229" s="9"/>
      <c r="H229" s="9"/>
    </row>
    <row r="230" spans="1:8" x14ac:dyDescent="0.3">
      <c r="A230" s="297">
        <v>225</v>
      </c>
      <c r="B230" s="298" t="s">
        <v>1069</v>
      </c>
      <c r="C230" s="298" t="s">
        <v>1070</v>
      </c>
      <c r="D230" s="9"/>
      <c r="E230" s="9"/>
      <c r="F230" s="9"/>
      <c r="G230" s="9"/>
      <c r="H230" s="9"/>
    </row>
    <row r="231" spans="1:8" x14ac:dyDescent="0.3">
      <c r="A231" s="297">
        <v>226</v>
      </c>
      <c r="B231" s="298" t="s">
        <v>1071</v>
      </c>
      <c r="C231" s="298" t="s">
        <v>1072</v>
      </c>
      <c r="D231" s="9"/>
      <c r="E231" s="9"/>
      <c r="F231" s="9"/>
      <c r="G231" s="9"/>
      <c r="H231" s="9"/>
    </row>
    <row r="232" spans="1:8" x14ac:dyDescent="0.3">
      <c r="A232" s="297">
        <v>227</v>
      </c>
      <c r="B232" s="298" t="s">
        <v>1073</v>
      </c>
      <c r="C232" s="298" t="s">
        <v>1074</v>
      </c>
      <c r="D232" s="9"/>
      <c r="E232" s="9"/>
      <c r="F232" s="9"/>
      <c r="G232" s="9"/>
      <c r="H232" s="9"/>
    </row>
    <row r="233" spans="1:8" x14ac:dyDescent="0.3">
      <c r="A233" s="297">
        <v>228</v>
      </c>
      <c r="B233" s="298" t="s">
        <v>1075</v>
      </c>
      <c r="C233" s="298" t="s">
        <v>1076</v>
      </c>
      <c r="D233" s="9"/>
      <c r="E233" s="9"/>
      <c r="F233" s="9"/>
      <c r="G233" s="9"/>
      <c r="H233" s="9"/>
    </row>
    <row r="234" spans="1:8" x14ac:dyDescent="0.3">
      <c r="A234" s="297">
        <v>229</v>
      </c>
      <c r="B234" s="298" t="s">
        <v>1077</v>
      </c>
      <c r="C234" s="298" t="s">
        <v>1078</v>
      </c>
      <c r="D234" s="9"/>
      <c r="E234" s="9"/>
      <c r="F234" s="9"/>
      <c r="G234" s="9"/>
      <c r="H234" s="9"/>
    </row>
    <row r="235" spans="1:8" x14ac:dyDescent="0.3">
      <c r="A235" s="297">
        <v>230</v>
      </c>
      <c r="B235" s="298" t="s">
        <v>1079</v>
      </c>
      <c r="C235" s="298" t="s">
        <v>1080</v>
      </c>
      <c r="D235" s="9"/>
      <c r="E235" s="9"/>
      <c r="F235" s="9"/>
      <c r="G235" s="9"/>
      <c r="H235" s="9"/>
    </row>
    <row r="236" spans="1:8" x14ac:dyDescent="0.3">
      <c r="A236" s="297">
        <v>231</v>
      </c>
      <c r="B236" s="298" t="s">
        <v>1081</v>
      </c>
      <c r="C236" s="298" t="s">
        <v>1082</v>
      </c>
      <c r="D236" s="9"/>
      <c r="E236" s="9"/>
      <c r="F236" s="9"/>
      <c r="G236" s="9"/>
      <c r="H236" s="9"/>
    </row>
    <row r="237" spans="1:8" x14ac:dyDescent="0.3">
      <c r="A237" s="297">
        <v>232</v>
      </c>
      <c r="B237" s="299" t="s">
        <v>69</v>
      </c>
      <c r="C237" s="299" t="s">
        <v>68</v>
      </c>
      <c r="D237" s="9"/>
      <c r="E237" s="9"/>
      <c r="F237" s="9"/>
      <c r="G237" s="9"/>
      <c r="H237" s="9"/>
    </row>
    <row r="238" spans="1:8" x14ac:dyDescent="0.3">
      <c r="A238" s="297">
        <v>233</v>
      </c>
      <c r="B238" s="298" t="s">
        <v>1083</v>
      </c>
      <c r="C238" s="298" t="s">
        <v>638</v>
      </c>
      <c r="D238" s="9"/>
      <c r="E238" s="9"/>
      <c r="F238" s="9"/>
      <c r="G238" s="9"/>
      <c r="H238" s="9"/>
    </row>
    <row r="239" spans="1:8" x14ac:dyDescent="0.3">
      <c r="A239" s="297">
        <v>234</v>
      </c>
      <c r="B239" s="298" t="s">
        <v>1084</v>
      </c>
      <c r="C239" s="298" t="s">
        <v>1085</v>
      </c>
      <c r="D239" s="9"/>
      <c r="E239" s="9"/>
      <c r="F239" s="9"/>
      <c r="G239" s="9"/>
      <c r="H239" s="9"/>
    </row>
    <row r="240" spans="1:8" x14ac:dyDescent="0.3">
      <c r="A240" s="297">
        <v>235</v>
      </c>
      <c r="B240" s="298" t="s">
        <v>1086</v>
      </c>
      <c r="C240" s="298" t="s">
        <v>1087</v>
      </c>
      <c r="D240" s="9"/>
      <c r="E240" s="9"/>
      <c r="F240" s="9"/>
      <c r="G240" s="9"/>
      <c r="H240" s="9"/>
    </row>
    <row r="241" spans="1:8" ht="26.4" x14ac:dyDescent="0.3">
      <c r="A241" s="297">
        <v>236</v>
      </c>
      <c r="B241" s="298" t="s">
        <v>643</v>
      </c>
      <c r="C241" s="298" t="s">
        <v>644</v>
      </c>
      <c r="D241" s="9"/>
      <c r="E241" s="9"/>
      <c r="F241" s="9"/>
      <c r="G241" s="9"/>
      <c r="H241" s="9"/>
    </row>
    <row r="242" spans="1:8" x14ac:dyDescent="0.3">
      <c r="A242" s="297">
        <v>237</v>
      </c>
      <c r="B242" s="298" t="s">
        <v>641</v>
      </c>
      <c r="C242" s="298" t="s">
        <v>642</v>
      </c>
      <c r="D242" s="9"/>
      <c r="E242" s="9"/>
      <c r="F242" s="9"/>
      <c r="G242" s="9"/>
      <c r="H242" s="9"/>
    </row>
    <row r="243" spans="1:8" x14ac:dyDescent="0.3">
      <c r="A243" s="297">
        <v>238</v>
      </c>
      <c r="B243" s="298" t="s">
        <v>1088</v>
      </c>
      <c r="C243" s="298" t="s">
        <v>584</v>
      </c>
      <c r="D243" s="9"/>
      <c r="E243" s="9"/>
      <c r="F243" s="9"/>
      <c r="G243" s="9"/>
      <c r="H243" s="9"/>
    </row>
    <row r="244" spans="1:8" x14ac:dyDescent="0.3">
      <c r="A244" s="297">
        <v>239</v>
      </c>
      <c r="B244" s="298" t="s">
        <v>1089</v>
      </c>
      <c r="C244" s="298" t="s">
        <v>1090</v>
      </c>
      <c r="D244" s="9"/>
      <c r="E244" s="9"/>
      <c r="F244" s="9"/>
      <c r="G244" s="9"/>
      <c r="H244" s="9"/>
    </row>
    <row r="245" spans="1:8" ht="26.4" x14ac:dyDescent="0.3">
      <c r="A245" s="297">
        <v>240</v>
      </c>
      <c r="B245" s="298" t="s">
        <v>1091</v>
      </c>
      <c r="C245" s="298" t="s">
        <v>1092</v>
      </c>
      <c r="D245" s="9"/>
      <c r="E245" s="9"/>
      <c r="F245" s="9"/>
      <c r="G245" s="9"/>
      <c r="H245" s="9"/>
    </row>
    <row r="246" spans="1:8" x14ac:dyDescent="0.3">
      <c r="A246" s="297">
        <v>241</v>
      </c>
      <c r="B246" s="298" t="s">
        <v>648</v>
      </c>
      <c r="C246" s="298" t="s">
        <v>649</v>
      </c>
      <c r="D246" s="9"/>
      <c r="E246" s="9"/>
      <c r="F246" s="9"/>
      <c r="G246" s="9"/>
      <c r="H246" s="9"/>
    </row>
    <row r="247" spans="1:8" x14ac:dyDescent="0.3">
      <c r="A247" s="297">
        <v>242</v>
      </c>
      <c r="B247" s="298" t="s">
        <v>67</v>
      </c>
      <c r="C247" s="298" t="s">
        <v>66</v>
      </c>
      <c r="D247" s="9"/>
      <c r="E247" s="9"/>
      <c r="F247" s="9"/>
      <c r="G247" s="9"/>
      <c r="H247" s="9"/>
    </row>
    <row r="248" spans="1:8" x14ac:dyDescent="0.3">
      <c r="A248" s="297">
        <v>243</v>
      </c>
      <c r="B248" s="298" t="s">
        <v>1093</v>
      </c>
      <c r="C248" s="298" t="s">
        <v>1094</v>
      </c>
      <c r="D248" s="9"/>
      <c r="E248" s="9"/>
      <c r="F248" s="9"/>
      <c r="G248" s="9"/>
      <c r="H248" s="9"/>
    </row>
    <row r="249" spans="1:8" x14ac:dyDescent="0.3">
      <c r="A249" s="297">
        <v>244</v>
      </c>
      <c r="B249" s="298" t="s">
        <v>647</v>
      </c>
      <c r="C249" s="298" t="s">
        <v>1095</v>
      </c>
      <c r="D249" s="9"/>
      <c r="E249" s="9"/>
      <c r="F249" s="9"/>
      <c r="G249" s="9"/>
      <c r="H249" s="9"/>
    </row>
    <row r="250" spans="1:8" x14ac:dyDescent="0.3">
      <c r="A250" s="297">
        <v>245</v>
      </c>
      <c r="B250" s="298" t="s">
        <v>645</v>
      </c>
      <c r="C250" s="298" t="s">
        <v>646</v>
      </c>
      <c r="D250" s="9"/>
      <c r="E250" s="9"/>
      <c r="F250" s="9"/>
      <c r="G250" s="9"/>
      <c r="H250" s="9"/>
    </row>
    <row r="251" spans="1:8" x14ac:dyDescent="0.3">
      <c r="A251" s="297">
        <v>246</v>
      </c>
      <c r="B251" s="298" t="s">
        <v>1096</v>
      </c>
      <c r="C251" s="298" t="s">
        <v>578</v>
      </c>
      <c r="D251" s="9"/>
      <c r="E251" s="9"/>
      <c r="F251" s="9"/>
      <c r="G251" s="9"/>
      <c r="H251" s="9"/>
    </row>
    <row r="252" spans="1:8" x14ac:dyDescent="0.3">
      <c r="A252" s="297">
        <v>247</v>
      </c>
      <c r="B252" s="298" t="s">
        <v>1097</v>
      </c>
      <c r="C252" s="298" t="s">
        <v>1098</v>
      </c>
      <c r="D252" s="9"/>
      <c r="E252" s="9"/>
      <c r="F252" s="9"/>
      <c r="G252" s="9"/>
      <c r="H252" s="9"/>
    </row>
    <row r="253" spans="1:8" x14ac:dyDescent="0.3">
      <c r="A253" s="297">
        <v>248</v>
      </c>
      <c r="B253" s="298" t="s">
        <v>1099</v>
      </c>
      <c r="C253" s="298" t="s">
        <v>65</v>
      </c>
      <c r="D253" s="9"/>
      <c r="E253" s="9"/>
      <c r="F253" s="9"/>
      <c r="G253" s="9"/>
      <c r="H253" s="9"/>
    </row>
    <row r="254" spans="1:8" x14ac:dyDescent="0.3">
      <c r="A254" s="297">
        <v>249</v>
      </c>
      <c r="B254" s="298" t="s">
        <v>1100</v>
      </c>
      <c r="C254" s="298" t="s">
        <v>1098</v>
      </c>
      <c r="D254" s="9"/>
      <c r="E254" s="9"/>
      <c r="F254" s="9"/>
      <c r="G254" s="9"/>
      <c r="H254" s="9"/>
    </row>
    <row r="255" spans="1:8" x14ac:dyDescent="0.3">
      <c r="A255" s="297">
        <v>250</v>
      </c>
      <c r="B255" s="298" t="s">
        <v>1101</v>
      </c>
      <c r="C255" s="298" t="s">
        <v>760</v>
      </c>
      <c r="D255" s="9"/>
      <c r="E255" s="9"/>
      <c r="F255" s="9"/>
      <c r="G255" s="9"/>
      <c r="H255" s="9"/>
    </row>
    <row r="256" spans="1:8" x14ac:dyDescent="0.3">
      <c r="A256" s="297">
        <v>251</v>
      </c>
      <c r="B256" s="298" t="s">
        <v>650</v>
      </c>
      <c r="C256" s="298" t="s">
        <v>651</v>
      </c>
      <c r="D256" s="9"/>
      <c r="E256" s="9"/>
      <c r="F256" s="9"/>
      <c r="G256" s="9"/>
      <c r="H256" s="9"/>
    </row>
    <row r="257" spans="1:8" x14ac:dyDescent="0.3">
      <c r="A257" s="297">
        <v>252</v>
      </c>
      <c r="B257" s="298" t="s">
        <v>1102</v>
      </c>
      <c r="C257" s="298" t="s">
        <v>1103</v>
      </c>
      <c r="D257" s="9"/>
      <c r="E257" s="9"/>
      <c r="F257" s="9"/>
      <c r="G257" s="9"/>
      <c r="H257" s="9"/>
    </row>
    <row r="258" spans="1:8" x14ac:dyDescent="0.3">
      <c r="A258" s="297">
        <v>253</v>
      </c>
      <c r="B258" s="298" t="s">
        <v>1104</v>
      </c>
      <c r="C258" s="298" t="s">
        <v>1105</v>
      </c>
      <c r="D258" s="9"/>
      <c r="E258" s="9"/>
      <c r="F258" s="9"/>
      <c r="G258" s="9"/>
      <c r="H258" s="9"/>
    </row>
    <row r="259" spans="1:8" x14ac:dyDescent="0.3">
      <c r="A259" s="297">
        <v>254</v>
      </c>
      <c r="B259" s="298" t="s">
        <v>1106</v>
      </c>
      <c r="C259" s="298" t="s">
        <v>1107</v>
      </c>
      <c r="D259" s="9"/>
      <c r="E259" s="9"/>
      <c r="F259" s="9"/>
      <c r="G259" s="9"/>
      <c r="H259" s="9"/>
    </row>
    <row r="260" spans="1:8" ht="26.4" x14ac:dyDescent="0.3">
      <c r="A260" s="297">
        <v>255</v>
      </c>
      <c r="B260" s="298" t="s">
        <v>652</v>
      </c>
      <c r="C260" s="298" t="s">
        <v>653</v>
      </c>
      <c r="D260" s="9"/>
      <c r="E260" s="9"/>
      <c r="F260" s="9"/>
      <c r="G260" s="9"/>
      <c r="H260" s="9"/>
    </row>
    <row r="261" spans="1:8" x14ac:dyDescent="0.3">
      <c r="A261" s="297">
        <v>256</v>
      </c>
      <c r="B261" s="301" t="s">
        <v>1108</v>
      </c>
      <c r="C261" s="298" t="s">
        <v>1109</v>
      </c>
      <c r="D261" s="9"/>
      <c r="E261" s="9"/>
      <c r="F261" s="9"/>
      <c r="G261" s="9"/>
      <c r="H261" s="9"/>
    </row>
    <row r="262" spans="1:8" x14ac:dyDescent="0.3">
      <c r="A262" s="297">
        <v>257</v>
      </c>
      <c r="B262" s="298" t="s">
        <v>656</v>
      </c>
      <c r="C262" s="298" t="s">
        <v>657</v>
      </c>
      <c r="D262" s="9"/>
      <c r="E262" s="9"/>
      <c r="F262" s="9"/>
      <c r="G262" s="9"/>
      <c r="H262" s="9"/>
    </row>
    <row r="263" spans="1:8" x14ac:dyDescent="0.3">
      <c r="A263" s="297">
        <v>258</v>
      </c>
      <c r="B263" s="301" t="s">
        <v>654</v>
      </c>
      <c r="C263" s="298" t="s">
        <v>655</v>
      </c>
      <c r="D263" s="9"/>
      <c r="E263" s="9"/>
      <c r="F263" s="9"/>
      <c r="G263" s="9"/>
      <c r="H263" s="9"/>
    </row>
    <row r="264" spans="1:8" x14ac:dyDescent="0.3">
      <c r="A264" s="297">
        <v>259</v>
      </c>
      <c r="B264" s="301" t="s">
        <v>1110</v>
      </c>
      <c r="C264" s="298" t="s">
        <v>1111</v>
      </c>
      <c r="D264" s="9"/>
      <c r="E264" s="9"/>
      <c r="F264" s="9"/>
      <c r="G264" s="9"/>
      <c r="H264" s="9"/>
    </row>
    <row r="265" spans="1:8" x14ac:dyDescent="0.3">
      <c r="A265" s="297">
        <v>260</v>
      </c>
      <c r="B265" s="301" t="s">
        <v>1112</v>
      </c>
      <c r="C265" s="298" t="s">
        <v>658</v>
      </c>
      <c r="D265" s="9"/>
      <c r="E265" s="9"/>
      <c r="F265" s="9"/>
      <c r="G265" s="9"/>
      <c r="H265" s="9"/>
    </row>
    <row r="266" spans="1:8" x14ac:dyDescent="0.3">
      <c r="A266" s="297">
        <v>261</v>
      </c>
      <c r="B266" s="301" t="s">
        <v>1113</v>
      </c>
      <c r="C266" s="298" t="s">
        <v>1114</v>
      </c>
      <c r="D266" s="9"/>
      <c r="E266" s="9"/>
      <c r="F266" s="9"/>
      <c r="G266" s="9"/>
      <c r="H266" s="9"/>
    </row>
    <row r="267" spans="1:8" x14ac:dyDescent="0.3">
      <c r="A267" s="297">
        <v>262</v>
      </c>
      <c r="B267" s="301" t="s">
        <v>1115</v>
      </c>
      <c r="C267" s="298" t="s">
        <v>64</v>
      </c>
      <c r="D267" s="9"/>
      <c r="E267" s="9"/>
      <c r="F267" s="9"/>
      <c r="G267" s="9"/>
      <c r="H267" s="9"/>
    </row>
    <row r="268" spans="1:8" x14ac:dyDescent="0.3">
      <c r="A268" s="297">
        <v>263</v>
      </c>
      <c r="B268" s="301" t="s">
        <v>1116</v>
      </c>
      <c r="C268" s="298" t="s">
        <v>62</v>
      </c>
      <c r="D268" s="9"/>
      <c r="E268" s="9"/>
      <c r="F268" s="9"/>
      <c r="G268" s="9"/>
      <c r="H268" s="9"/>
    </row>
    <row r="269" spans="1:8" x14ac:dyDescent="0.3">
      <c r="A269" s="297">
        <v>264</v>
      </c>
      <c r="B269" s="301" t="s">
        <v>63</v>
      </c>
      <c r="C269" s="298" t="s">
        <v>1117</v>
      </c>
      <c r="D269" s="9"/>
      <c r="E269" s="9"/>
      <c r="F269" s="9"/>
      <c r="G269" s="9"/>
      <c r="H269" s="9"/>
    </row>
    <row r="270" spans="1:8" x14ac:dyDescent="0.3">
      <c r="A270" s="297">
        <v>265</v>
      </c>
      <c r="B270" s="301" t="s">
        <v>1118</v>
      </c>
      <c r="C270" s="298" t="s">
        <v>1119</v>
      </c>
      <c r="D270" s="9"/>
      <c r="E270" s="9"/>
      <c r="F270" s="9"/>
      <c r="G270" s="9"/>
      <c r="H270" s="9"/>
    </row>
    <row r="271" spans="1:8" x14ac:dyDescent="0.3">
      <c r="A271" s="297">
        <v>266</v>
      </c>
      <c r="B271" s="301" t="s">
        <v>1120</v>
      </c>
      <c r="C271" s="298" t="s">
        <v>1121</v>
      </c>
      <c r="D271" s="9"/>
      <c r="E271" s="9"/>
      <c r="F271" s="9"/>
      <c r="G271" s="9"/>
      <c r="H271" s="9"/>
    </row>
    <row r="272" spans="1:8" x14ac:dyDescent="0.3">
      <c r="A272" s="297">
        <v>267</v>
      </c>
      <c r="B272" s="305" t="s">
        <v>1122</v>
      </c>
      <c r="C272" s="298" t="s">
        <v>1123</v>
      </c>
      <c r="D272" s="9"/>
      <c r="E272" s="9"/>
      <c r="F272" s="9"/>
      <c r="G272" s="9"/>
      <c r="H272" s="9"/>
    </row>
    <row r="273" spans="1:8" ht="26.4" x14ac:dyDescent="0.3">
      <c r="A273" s="297">
        <v>268</v>
      </c>
      <c r="B273" s="9" t="s">
        <v>1124</v>
      </c>
      <c r="C273" s="298" t="s">
        <v>1125</v>
      </c>
      <c r="D273" s="9"/>
      <c r="E273" s="9"/>
      <c r="F273" s="9"/>
      <c r="G273" s="9"/>
      <c r="H273" s="9"/>
    </row>
    <row r="274" spans="1:8" x14ac:dyDescent="0.3">
      <c r="A274" s="297">
        <v>269</v>
      </c>
      <c r="B274" s="301" t="s">
        <v>1126</v>
      </c>
      <c r="C274" s="298" t="s">
        <v>1127</v>
      </c>
      <c r="D274" s="9"/>
      <c r="E274" s="9"/>
      <c r="F274" s="9"/>
      <c r="G274" s="9"/>
      <c r="H274" s="9"/>
    </row>
    <row r="275" spans="1:8" x14ac:dyDescent="0.3">
      <c r="A275" s="297">
        <v>270</v>
      </c>
      <c r="B275" s="306" t="s">
        <v>1128</v>
      </c>
      <c r="C275" s="299" t="s">
        <v>1129</v>
      </c>
      <c r="D275" s="9"/>
      <c r="E275" s="9"/>
      <c r="F275" s="9"/>
      <c r="G275" s="9"/>
      <c r="H275" s="9"/>
    </row>
    <row r="276" spans="1:8" x14ac:dyDescent="0.3">
      <c r="A276" s="297">
        <v>271</v>
      </c>
      <c r="B276" s="306" t="s">
        <v>1130</v>
      </c>
      <c r="C276" s="299" t="s">
        <v>60</v>
      </c>
      <c r="D276" s="9"/>
      <c r="E276" s="9"/>
      <c r="F276" s="9"/>
      <c r="G276" s="9"/>
      <c r="H276" s="9"/>
    </row>
    <row r="277" spans="1:8" x14ac:dyDescent="0.3">
      <c r="A277" s="297">
        <v>272</v>
      </c>
      <c r="B277" s="301" t="s">
        <v>1131</v>
      </c>
      <c r="C277" s="298" t="s">
        <v>1132</v>
      </c>
      <c r="D277" s="9"/>
      <c r="E277" s="9"/>
      <c r="F277" s="9"/>
      <c r="G277" s="9"/>
      <c r="H277" s="9"/>
    </row>
    <row r="278" spans="1:8" x14ac:dyDescent="0.3">
      <c r="A278" s="297">
        <v>273</v>
      </c>
      <c r="B278" s="301" t="s">
        <v>1133</v>
      </c>
      <c r="C278" s="301" t="s">
        <v>1134</v>
      </c>
      <c r="D278" s="9"/>
      <c r="E278" s="9"/>
      <c r="F278" s="9"/>
      <c r="G278" s="9"/>
      <c r="H278" s="9"/>
    </row>
    <row r="279" spans="1:8" x14ac:dyDescent="0.3">
      <c r="A279" s="297">
        <v>274</v>
      </c>
      <c r="B279" s="301" t="s">
        <v>1135</v>
      </c>
      <c r="C279" s="298" t="s">
        <v>1136</v>
      </c>
      <c r="D279" s="9"/>
      <c r="E279" s="9"/>
      <c r="F279" s="9"/>
      <c r="G279" s="9"/>
      <c r="H279" s="9"/>
    </row>
    <row r="280" spans="1:8" x14ac:dyDescent="0.3">
      <c r="A280" s="297">
        <v>275</v>
      </c>
      <c r="B280" s="301" t="s">
        <v>1137</v>
      </c>
      <c r="C280" s="298" t="s">
        <v>661</v>
      </c>
      <c r="D280" s="9"/>
      <c r="E280" s="9"/>
      <c r="F280" s="9"/>
      <c r="G280" s="9"/>
      <c r="H280" s="9"/>
    </row>
    <row r="281" spans="1:8" x14ac:dyDescent="0.3">
      <c r="A281" s="297">
        <v>276</v>
      </c>
      <c r="B281" s="301" t="s">
        <v>659</v>
      </c>
      <c r="C281" s="298" t="s">
        <v>59</v>
      </c>
      <c r="D281" s="9"/>
      <c r="E281" s="9"/>
      <c r="F281" s="9"/>
      <c r="G281" s="9"/>
      <c r="H281" s="9"/>
    </row>
    <row r="282" spans="1:8" x14ac:dyDescent="0.3">
      <c r="A282" s="297">
        <v>277</v>
      </c>
      <c r="B282" s="301" t="s">
        <v>660</v>
      </c>
      <c r="C282" s="298" t="s">
        <v>1138</v>
      </c>
      <c r="D282" s="9"/>
      <c r="E282" s="9"/>
      <c r="F282" s="9"/>
      <c r="G282" s="9"/>
      <c r="H282" s="9"/>
    </row>
    <row r="283" spans="1:8" x14ac:dyDescent="0.3">
      <c r="A283" s="297">
        <v>278</v>
      </c>
      <c r="B283" s="301" t="s">
        <v>1139</v>
      </c>
      <c r="C283" s="307" t="s">
        <v>1140</v>
      </c>
      <c r="D283" s="9"/>
      <c r="E283" s="9"/>
      <c r="F283" s="9"/>
      <c r="G283" s="9"/>
      <c r="H283" s="9"/>
    </row>
    <row r="284" spans="1:8" x14ac:dyDescent="0.3">
      <c r="A284" s="297">
        <v>279</v>
      </c>
      <c r="B284" s="301" t="s">
        <v>1141</v>
      </c>
      <c r="C284" s="307" t="s">
        <v>1142</v>
      </c>
      <c r="D284" s="9"/>
      <c r="E284" s="9"/>
      <c r="F284" s="9"/>
      <c r="G284" s="9"/>
      <c r="H284" s="9"/>
    </row>
    <row r="285" spans="1:8" x14ac:dyDescent="0.3">
      <c r="A285" s="297">
        <v>280</v>
      </c>
      <c r="B285" s="298" t="s">
        <v>1143</v>
      </c>
      <c r="C285" s="298" t="s">
        <v>624</v>
      </c>
      <c r="D285" s="9"/>
      <c r="E285" s="9"/>
      <c r="F285" s="9"/>
      <c r="G285" s="9"/>
      <c r="H285" s="9"/>
    </row>
    <row r="286" spans="1:8" x14ac:dyDescent="0.3">
      <c r="A286" s="297">
        <v>281</v>
      </c>
      <c r="B286" s="301" t="s">
        <v>1144</v>
      </c>
      <c r="C286" s="298" t="s">
        <v>58</v>
      </c>
      <c r="D286" s="9"/>
      <c r="E286" s="9"/>
      <c r="F286" s="9"/>
      <c r="G286" s="9"/>
      <c r="H286" s="9"/>
    </row>
    <row r="287" spans="1:8" x14ac:dyDescent="0.3">
      <c r="A287" s="297">
        <v>282</v>
      </c>
      <c r="B287" s="301" t="s">
        <v>1145</v>
      </c>
      <c r="C287" s="298" t="s">
        <v>1146</v>
      </c>
      <c r="D287" s="9"/>
      <c r="E287" s="9"/>
      <c r="F287" s="9"/>
      <c r="G287" s="9"/>
      <c r="H287" s="9"/>
    </row>
    <row r="288" spans="1:8" x14ac:dyDescent="0.3">
      <c r="A288" s="297">
        <v>283</v>
      </c>
      <c r="B288" s="301" t="s">
        <v>1147</v>
      </c>
      <c r="C288" s="298" t="s">
        <v>1148</v>
      </c>
      <c r="D288" s="9"/>
      <c r="E288" s="9"/>
      <c r="F288" s="9"/>
      <c r="G288" s="9"/>
      <c r="H288" s="9"/>
    </row>
    <row r="289" spans="1:8" x14ac:dyDescent="0.3">
      <c r="A289" s="297">
        <v>284</v>
      </c>
      <c r="B289" s="301" t="s">
        <v>667</v>
      </c>
      <c r="C289" s="298" t="s">
        <v>668</v>
      </c>
      <c r="D289" s="9"/>
      <c r="E289" s="9"/>
      <c r="F289" s="9"/>
      <c r="G289" s="9"/>
      <c r="H289" s="9"/>
    </row>
    <row r="290" spans="1:8" x14ac:dyDescent="0.3">
      <c r="A290" s="297">
        <v>285</v>
      </c>
      <c r="B290" s="301" t="s">
        <v>1149</v>
      </c>
      <c r="C290" s="298" t="s">
        <v>1150</v>
      </c>
      <c r="D290" s="9"/>
      <c r="E290" s="9"/>
      <c r="F290" s="9"/>
      <c r="G290" s="9"/>
      <c r="H290" s="9"/>
    </row>
    <row r="291" spans="1:8" x14ac:dyDescent="0.3">
      <c r="A291" s="297">
        <v>286</v>
      </c>
      <c r="B291" s="301" t="s">
        <v>1151</v>
      </c>
      <c r="C291" s="298" t="s">
        <v>1152</v>
      </c>
      <c r="D291" s="9"/>
      <c r="E291" s="9"/>
      <c r="F291" s="9"/>
      <c r="G291" s="9"/>
      <c r="H291" s="9"/>
    </row>
    <row r="292" spans="1:8" x14ac:dyDescent="0.3">
      <c r="A292" s="297">
        <v>287</v>
      </c>
      <c r="B292" s="301" t="s">
        <v>1153</v>
      </c>
      <c r="C292" s="298" t="s">
        <v>1154</v>
      </c>
      <c r="D292" s="9"/>
      <c r="E292" s="9"/>
      <c r="F292" s="9"/>
      <c r="G292" s="9"/>
      <c r="H292" s="9"/>
    </row>
    <row r="293" spans="1:8" x14ac:dyDescent="0.3">
      <c r="A293" s="297">
        <v>288</v>
      </c>
      <c r="B293" s="301" t="s">
        <v>1155</v>
      </c>
      <c r="C293" s="298" t="s">
        <v>1156</v>
      </c>
      <c r="D293" s="9"/>
      <c r="E293" s="9"/>
      <c r="F293" s="9"/>
      <c r="G293" s="9"/>
      <c r="H293" s="9"/>
    </row>
    <row r="294" spans="1:8" x14ac:dyDescent="0.3">
      <c r="A294" s="297">
        <v>289</v>
      </c>
      <c r="B294" s="298" t="s">
        <v>1157</v>
      </c>
      <c r="C294" s="298" t="s">
        <v>665</v>
      </c>
      <c r="D294" s="9"/>
      <c r="E294" s="9"/>
      <c r="F294" s="9"/>
      <c r="G294" s="9"/>
      <c r="H294" s="9"/>
    </row>
    <row r="295" spans="1:8" x14ac:dyDescent="0.3">
      <c r="A295" s="297">
        <v>290</v>
      </c>
      <c r="B295" s="301" t="s">
        <v>1158</v>
      </c>
      <c r="C295" s="298" t="s">
        <v>1159</v>
      </c>
      <c r="D295" s="9"/>
      <c r="E295" s="9"/>
      <c r="F295" s="9"/>
      <c r="G295" s="9"/>
      <c r="H295" s="9"/>
    </row>
    <row r="296" spans="1:8" x14ac:dyDescent="0.3">
      <c r="A296" s="297">
        <v>291</v>
      </c>
      <c r="B296" s="301" t="s">
        <v>1160</v>
      </c>
      <c r="C296" s="298" t="s">
        <v>664</v>
      </c>
      <c r="D296" s="9"/>
      <c r="E296" s="9"/>
      <c r="F296" s="9"/>
      <c r="G296" s="9"/>
      <c r="H296" s="9"/>
    </row>
    <row r="297" spans="1:8" x14ac:dyDescent="0.3">
      <c r="A297" s="297">
        <v>292</v>
      </c>
      <c r="B297" s="301" t="s">
        <v>1161</v>
      </c>
      <c r="C297" s="298" t="s">
        <v>993</v>
      </c>
      <c r="D297" s="9"/>
      <c r="E297" s="9"/>
      <c r="F297" s="9"/>
      <c r="G297" s="9"/>
      <c r="H297" s="9"/>
    </row>
    <row r="298" spans="1:8" x14ac:dyDescent="0.3">
      <c r="A298" s="297">
        <v>293</v>
      </c>
      <c r="B298" s="301" t="s">
        <v>1162</v>
      </c>
      <c r="C298" s="298" t="s">
        <v>1163</v>
      </c>
      <c r="D298" s="9"/>
      <c r="E298" s="9"/>
      <c r="F298" s="9"/>
      <c r="G298" s="9"/>
      <c r="H298" s="9"/>
    </row>
    <row r="299" spans="1:8" x14ac:dyDescent="0.3">
      <c r="A299" s="297">
        <v>294</v>
      </c>
      <c r="B299" s="301" t="s">
        <v>662</v>
      </c>
      <c r="C299" s="298" t="s">
        <v>663</v>
      </c>
      <c r="D299" s="9"/>
      <c r="E299" s="9"/>
      <c r="F299" s="9"/>
      <c r="G299" s="9"/>
      <c r="H299" s="9"/>
    </row>
    <row r="300" spans="1:8" x14ac:dyDescent="0.3">
      <c r="A300" s="297">
        <v>295</v>
      </c>
      <c r="B300" s="301" t="s">
        <v>1164</v>
      </c>
      <c r="C300" s="298" t="s">
        <v>1165</v>
      </c>
      <c r="D300" s="9"/>
      <c r="E300" s="9"/>
      <c r="F300" s="9"/>
      <c r="G300" s="9"/>
      <c r="H300" s="9"/>
    </row>
    <row r="301" spans="1:8" x14ac:dyDescent="0.3">
      <c r="A301" s="297">
        <v>296</v>
      </c>
      <c r="B301" s="301" t="s">
        <v>1166</v>
      </c>
      <c r="C301" s="298" t="s">
        <v>1167</v>
      </c>
      <c r="D301" s="9"/>
      <c r="E301" s="9"/>
      <c r="F301" s="9"/>
      <c r="G301" s="9"/>
      <c r="H301" s="9"/>
    </row>
    <row r="302" spans="1:8" x14ac:dyDescent="0.3">
      <c r="A302" s="297">
        <v>297</v>
      </c>
      <c r="B302" s="301" t="s">
        <v>1168</v>
      </c>
      <c r="C302" s="298" t="s">
        <v>1169</v>
      </c>
      <c r="D302" s="9"/>
      <c r="E302" s="9"/>
      <c r="F302" s="9"/>
      <c r="G302" s="9"/>
      <c r="H302" s="9"/>
    </row>
    <row r="303" spans="1:8" x14ac:dyDescent="0.3">
      <c r="A303" s="297">
        <v>298</v>
      </c>
      <c r="B303" s="301" t="s">
        <v>1170</v>
      </c>
      <c r="C303" s="298" t="s">
        <v>666</v>
      </c>
      <c r="D303" s="9"/>
      <c r="E303" s="9"/>
      <c r="F303" s="9"/>
      <c r="G303" s="9"/>
      <c r="H303" s="9"/>
    </row>
    <row r="304" spans="1:8" x14ac:dyDescent="0.3">
      <c r="A304" s="297">
        <v>299</v>
      </c>
      <c r="B304" s="301" t="s">
        <v>1171</v>
      </c>
      <c r="C304" s="298" t="s">
        <v>57</v>
      </c>
      <c r="D304" s="9"/>
      <c r="E304" s="9"/>
      <c r="F304" s="9"/>
      <c r="G304" s="9"/>
      <c r="H304" s="9"/>
    </row>
    <row r="305" spans="1:8" x14ac:dyDescent="0.3">
      <c r="A305" s="297">
        <v>300</v>
      </c>
      <c r="B305" s="301" t="s">
        <v>1172</v>
      </c>
      <c r="C305" s="298" t="s">
        <v>1173</v>
      </c>
      <c r="D305" s="9"/>
      <c r="E305" s="9"/>
      <c r="F305" s="9"/>
      <c r="G305" s="9"/>
      <c r="H305" s="9"/>
    </row>
    <row r="306" spans="1:8" x14ac:dyDescent="0.3">
      <c r="A306" s="297">
        <v>301</v>
      </c>
      <c r="B306" s="301" t="s">
        <v>1174</v>
      </c>
      <c r="C306" s="298" t="s">
        <v>669</v>
      </c>
      <c r="D306" s="9"/>
      <c r="E306" s="9"/>
      <c r="F306" s="9"/>
      <c r="G306" s="9"/>
      <c r="H306" s="9"/>
    </row>
    <row r="307" spans="1:8" x14ac:dyDescent="0.3">
      <c r="A307" s="297">
        <v>302</v>
      </c>
      <c r="B307" s="298" t="s">
        <v>1175</v>
      </c>
      <c r="C307" s="299" t="s">
        <v>1176</v>
      </c>
      <c r="D307" s="9"/>
      <c r="E307" s="9"/>
      <c r="F307" s="9"/>
      <c r="G307" s="9"/>
      <c r="H307" s="9"/>
    </row>
    <row r="308" spans="1:8" x14ac:dyDescent="0.3">
      <c r="A308" s="297">
        <v>303</v>
      </c>
      <c r="B308" s="301" t="s">
        <v>1177</v>
      </c>
      <c r="C308" s="298" t="s">
        <v>1178</v>
      </c>
      <c r="D308" s="9"/>
      <c r="E308" s="9"/>
      <c r="F308" s="9"/>
      <c r="G308" s="9"/>
      <c r="H308" s="9"/>
    </row>
    <row r="309" spans="1:8" x14ac:dyDescent="0.3">
      <c r="A309" s="297">
        <v>304</v>
      </c>
      <c r="B309" s="301" t="s">
        <v>670</v>
      </c>
      <c r="C309" s="298" t="s">
        <v>1179</v>
      </c>
      <c r="D309" s="9"/>
      <c r="E309" s="9"/>
      <c r="F309" s="9"/>
      <c r="G309" s="9"/>
      <c r="H309" s="9"/>
    </row>
    <row r="310" spans="1:8" x14ac:dyDescent="0.3">
      <c r="A310" s="297">
        <v>305</v>
      </c>
      <c r="B310" s="301" t="s">
        <v>1180</v>
      </c>
      <c r="C310" s="298" t="s">
        <v>671</v>
      </c>
      <c r="D310" s="9"/>
      <c r="E310" s="9"/>
      <c r="F310" s="9"/>
      <c r="G310" s="9"/>
      <c r="H310" s="9"/>
    </row>
    <row r="311" spans="1:8" x14ac:dyDescent="0.3">
      <c r="A311" s="297">
        <v>306</v>
      </c>
      <c r="B311" s="301" t="s">
        <v>1181</v>
      </c>
      <c r="C311" s="298" t="s">
        <v>56</v>
      </c>
      <c r="D311" s="9"/>
      <c r="E311" s="9"/>
      <c r="F311" s="9"/>
      <c r="G311" s="9"/>
      <c r="H311" s="9"/>
    </row>
    <row r="312" spans="1:8" x14ac:dyDescent="0.3">
      <c r="A312" s="297">
        <v>307</v>
      </c>
      <c r="B312" s="301" t="s">
        <v>1182</v>
      </c>
      <c r="C312" s="298" t="s">
        <v>664</v>
      </c>
      <c r="D312" s="9"/>
      <c r="E312" s="9"/>
      <c r="F312" s="9"/>
      <c r="G312" s="9"/>
      <c r="H312" s="9"/>
    </row>
    <row r="313" spans="1:8" x14ac:dyDescent="0.3">
      <c r="A313" s="297">
        <v>308</v>
      </c>
      <c r="B313" s="301" t="s">
        <v>1183</v>
      </c>
      <c r="C313" s="298" t="s">
        <v>1184</v>
      </c>
      <c r="D313" s="9"/>
      <c r="E313" s="9"/>
      <c r="F313" s="9"/>
      <c r="G313" s="9"/>
      <c r="H313" s="9"/>
    </row>
    <row r="314" spans="1:8" x14ac:dyDescent="0.3">
      <c r="A314" s="297">
        <v>309</v>
      </c>
      <c r="B314" s="301" t="s">
        <v>1185</v>
      </c>
      <c r="C314" s="298" t="s">
        <v>1186</v>
      </c>
      <c r="D314" s="9"/>
      <c r="E314" s="9"/>
      <c r="F314" s="9"/>
      <c r="G314" s="9"/>
      <c r="H314" s="9"/>
    </row>
    <row r="315" spans="1:8" x14ac:dyDescent="0.3">
      <c r="A315" s="297">
        <v>310</v>
      </c>
      <c r="B315" s="301" t="s">
        <v>1187</v>
      </c>
      <c r="C315" s="298" t="s">
        <v>1188</v>
      </c>
      <c r="D315" s="9"/>
      <c r="E315" s="9"/>
      <c r="F315" s="9"/>
      <c r="G315" s="9"/>
      <c r="H315" s="9"/>
    </row>
    <row r="316" spans="1:8" x14ac:dyDescent="0.3">
      <c r="A316" s="297">
        <v>311</v>
      </c>
      <c r="B316" s="301" t="s">
        <v>1189</v>
      </c>
      <c r="C316" s="298" t="s">
        <v>1190</v>
      </c>
      <c r="D316" s="9"/>
      <c r="E316" s="9"/>
      <c r="F316" s="9"/>
      <c r="G316" s="9"/>
      <c r="H316" s="9"/>
    </row>
    <row r="317" spans="1:8" ht="26.4" x14ac:dyDescent="0.3">
      <c r="A317" s="297">
        <v>312</v>
      </c>
      <c r="B317" s="301" t="s">
        <v>1191</v>
      </c>
      <c r="C317" s="298" t="s">
        <v>1192</v>
      </c>
      <c r="D317" s="9"/>
      <c r="E317" s="9"/>
      <c r="F317" s="9"/>
      <c r="G317" s="9"/>
      <c r="H317" s="9"/>
    </row>
    <row r="318" spans="1:8" x14ac:dyDescent="0.3">
      <c r="A318" s="297">
        <v>313</v>
      </c>
      <c r="B318" s="301" t="s">
        <v>1193</v>
      </c>
      <c r="C318" s="298" t="s">
        <v>1194</v>
      </c>
      <c r="D318" s="9"/>
      <c r="E318" s="9"/>
      <c r="F318" s="9"/>
      <c r="G318" s="9"/>
      <c r="H318" s="9"/>
    </row>
    <row r="319" spans="1:8" x14ac:dyDescent="0.3">
      <c r="A319" s="297">
        <v>314</v>
      </c>
      <c r="B319" s="301" t="s">
        <v>1195</v>
      </c>
      <c r="C319" s="298" t="s">
        <v>61</v>
      </c>
      <c r="D319" s="9"/>
      <c r="E319" s="9"/>
      <c r="F319" s="9"/>
      <c r="G319" s="9"/>
      <c r="H319" s="9"/>
    </row>
    <row r="320" spans="1:8" x14ac:dyDescent="0.3">
      <c r="A320" s="297">
        <v>315</v>
      </c>
      <c r="B320" s="301" t="s">
        <v>1196</v>
      </c>
      <c r="C320" s="298" t="s">
        <v>602</v>
      </c>
      <c r="D320" s="9"/>
      <c r="E320" s="9"/>
      <c r="F320" s="9"/>
      <c r="G320" s="9"/>
      <c r="H320" s="9"/>
    </row>
    <row r="321" spans="1:8" x14ac:dyDescent="0.3">
      <c r="A321" s="297">
        <v>316</v>
      </c>
      <c r="B321" s="301" t="s">
        <v>1197</v>
      </c>
      <c r="C321" s="298" t="s">
        <v>672</v>
      </c>
      <c r="D321" s="9"/>
      <c r="E321" s="9"/>
      <c r="F321" s="9"/>
      <c r="G321" s="9"/>
      <c r="H321" s="9"/>
    </row>
    <row r="322" spans="1:8" x14ac:dyDescent="0.3">
      <c r="A322" s="297">
        <v>317</v>
      </c>
      <c r="B322" s="301" t="s">
        <v>1198</v>
      </c>
      <c r="C322" s="298" t="s">
        <v>1199</v>
      </c>
      <c r="D322" s="9"/>
      <c r="E322" s="9"/>
      <c r="F322" s="9"/>
      <c r="G322" s="9"/>
      <c r="H322" s="9"/>
    </row>
    <row r="323" spans="1:8" ht="26.4" x14ac:dyDescent="0.3">
      <c r="A323" s="297">
        <v>318</v>
      </c>
      <c r="B323" s="301" t="s">
        <v>1200</v>
      </c>
      <c r="C323" s="298" t="s">
        <v>674</v>
      </c>
      <c r="D323" s="9"/>
      <c r="E323" s="9"/>
      <c r="F323" s="9"/>
      <c r="G323" s="9"/>
      <c r="H323" s="9"/>
    </row>
    <row r="324" spans="1:8" x14ac:dyDescent="0.3">
      <c r="A324" s="297">
        <v>319</v>
      </c>
      <c r="B324" s="301" t="s">
        <v>1201</v>
      </c>
      <c r="C324" s="298" t="s">
        <v>1202</v>
      </c>
      <c r="D324" s="9"/>
      <c r="E324" s="9"/>
      <c r="F324" s="9"/>
      <c r="G324" s="9"/>
      <c r="H324" s="9"/>
    </row>
    <row r="325" spans="1:8" x14ac:dyDescent="0.3">
      <c r="A325" s="297">
        <v>320</v>
      </c>
      <c r="B325" s="301" t="s">
        <v>1203</v>
      </c>
      <c r="C325" s="298" t="s">
        <v>673</v>
      </c>
      <c r="D325" s="9"/>
      <c r="E325" s="9"/>
      <c r="F325" s="9"/>
      <c r="G325" s="9"/>
      <c r="H325" s="9"/>
    </row>
    <row r="326" spans="1:8" x14ac:dyDescent="0.3">
      <c r="A326" s="297">
        <v>321</v>
      </c>
      <c r="B326" s="301" t="s">
        <v>1204</v>
      </c>
      <c r="C326" s="298" t="s">
        <v>1205</v>
      </c>
      <c r="D326" s="9"/>
      <c r="E326" s="9"/>
      <c r="F326" s="9"/>
      <c r="G326" s="9"/>
      <c r="H326" s="9"/>
    </row>
    <row r="327" spans="1:8" x14ac:dyDescent="0.3">
      <c r="A327" s="297">
        <v>322</v>
      </c>
      <c r="B327" s="301" t="s">
        <v>1206</v>
      </c>
      <c r="C327" s="298" t="s">
        <v>1207</v>
      </c>
      <c r="D327" s="9"/>
      <c r="E327" s="9"/>
      <c r="F327" s="9"/>
      <c r="G327" s="9"/>
      <c r="H327" s="9"/>
    </row>
    <row r="328" spans="1:8" x14ac:dyDescent="0.3">
      <c r="A328" s="297">
        <v>323</v>
      </c>
      <c r="B328" s="301" t="s">
        <v>1208</v>
      </c>
      <c r="C328" s="298" t="s">
        <v>677</v>
      </c>
      <c r="D328" s="9"/>
      <c r="E328" s="9"/>
      <c r="F328" s="9"/>
      <c r="G328" s="9"/>
      <c r="H328" s="9"/>
    </row>
    <row r="329" spans="1:8" x14ac:dyDescent="0.3">
      <c r="A329" s="297">
        <v>324</v>
      </c>
      <c r="B329" s="301" t="s">
        <v>1209</v>
      </c>
      <c r="C329" s="298" t="s">
        <v>1210</v>
      </c>
      <c r="D329" s="9"/>
      <c r="E329" s="9"/>
      <c r="F329" s="9"/>
      <c r="G329" s="9"/>
      <c r="H329" s="9"/>
    </row>
    <row r="330" spans="1:8" x14ac:dyDescent="0.3">
      <c r="A330" s="297">
        <v>325</v>
      </c>
      <c r="B330" s="301" t="s">
        <v>1211</v>
      </c>
      <c r="C330" s="298" t="s">
        <v>1212</v>
      </c>
      <c r="D330" s="9"/>
      <c r="E330" s="9"/>
      <c r="F330" s="9"/>
      <c r="G330" s="9"/>
      <c r="H330" s="9"/>
    </row>
    <row r="331" spans="1:8" x14ac:dyDescent="0.3">
      <c r="A331" s="297">
        <v>326</v>
      </c>
      <c r="B331" s="301" t="s">
        <v>675</v>
      </c>
      <c r="C331" s="298" t="s">
        <v>676</v>
      </c>
      <c r="D331" s="9"/>
      <c r="E331" s="9"/>
      <c r="F331" s="9"/>
      <c r="G331" s="9"/>
      <c r="H331" s="9"/>
    </row>
    <row r="332" spans="1:8" x14ac:dyDescent="0.3">
      <c r="A332" s="297">
        <v>327</v>
      </c>
      <c r="B332" s="301" t="s">
        <v>1213</v>
      </c>
      <c r="C332" s="298" t="s">
        <v>1214</v>
      </c>
      <c r="D332" s="9"/>
      <c r="E332" s="9"/>
      <c r="F332" s="9"/>
      <c r="G332" s="9"/>
      <c r="H332" s="9"/>
    </row>
    <row r="333" spans="1:8" x14ac:dyDescent="0.3">
      <c r="A333" s="297">
        <v>328</v>
      </c>
      <c r="B333" s="301" t="s">
        <v>1215</v>
      </c>
      <c r="C333" s="298" t="s">
        <v>1216</v>
      </c>
      <c r="D333" s="9"/>
      <c r="E333" s="9"/>
      <c r="F333" s="9"/>
      <c r="G333" s="9"/>
      <c r="H333" s="9"/>
    </row>
    <row r="334" spans="1:8" x14ac:dyDescent="0.3">
      <c r="A334" s="297">
        <v>329</v>
      </c>
      <c r="B334" s="301" t="s">
        <v>680</v>
      </c>
      <c r="C334" s="298" t="s">
        <v>681</v>
      </c>
    </row>
    <row r="335" spans="1:8" x14ac:dyDescent="0.3">
      <c r="A335" s="297">
        <v>330</v>
      </c>
      <c r="B335" s="298" t="s">
        <v>1217</v>
      </c>
      <c r="C335" s="298" t="s">
        <v>85</v>
      </c>
    </row>
    <row r="336" spans="1:8" x14ac:dyDescent="0.3">
      <c r="A336" s="297">
        <v>331</v>
      </c>
      <c r="B336" s="298" t="s">
        <v>1218</v>
      </c>
      <c r="C336" s="298" t="s">
        <v>1219</v>
      </c>
    </row>
    <row r="337" spans="1:3" x14ac:dyDescent="0.3">
      <c r="A337" s="297">
        <v>332</v>
      </c>
      <c r="B337" s="298" t="s">
        <v>678</v>
      </c>
      <c r="C337" s="298" t="s">
        <v>55</v>
      </c>
    </row>
    <row r="338" spans="1:3" x14ac:dyDescent="0.3">
      <c r="A338" s="297">
        <v>333</v>
      </c>
      <c r="B338" s="301" t="s">
        <v>1220</v>
      </c>
      <c r="C338" s="298" t="s">
        <v>679</v>
      </c>
    </row>
    <row r="339" spans="1:3" ht="26.4" x14ac:dyDescent="0.3">
      <c r="A339" s="297">
        <v>334</v>
      </c>
      <c r="B339" s="301" t="s">
        <v>1221</v>
      </c>
      <c r="C339" s="298" t="s">
        <v>1222</v>
      </c>
    </row>
    <row r="340" spans="1:3" x14ac:dyDescent="0.3">
      <c r="A340" s="297">
        <v>335</v>
      </c>
      <c r="B340" s="301" t="s">
        <v>1223</v>
      </c>
      <c r="C340" s="298" t="s">
        <v>688</v>
      </c>
    </row>
    <row r="341" spans="1:3" x14ac:dyDescent="0.3">
      <c r="A341" s="297">
        <v>336</v>
      </c>
      <c r="B341" s="301" t="s">
        <v>1224</v>
      </c>
      <c r="C341" s="298" t="s">
        <v>1225</v>
      </c>
    </row>
    <row r="342" spans="1:3" x14ac:dyDescent="0.3">
      <c r="A342" s="297">
        <v>337</v>
      </c>
      <c r="B342" s="301" t="s">
        <v>1226</v>
      </c>
      <c r="C342" s="298" t="s">
        <v>685</v>
      </c>
    </row>
    <row r="343" spans="1:3" x14ac:dyDescent="0.3">
      <c r="A343" s="297">
        <v>338</v>
      </c>
      <c r="B343" s="301" t="s">
        <v>684</v>
      </c>
      <c r="C343" s="298" t="s">
        <v>73</v>
      </c>
    </row>
    <row r="344" spans="1:3" x14ac:dyDescent="0.3">
      <c r="A344" s="297">
        <v>339</v>
      </c>
      <c r="B344" s="301" t="s">
        <v>682</v>
      </c>
      <c r="C344" s="298" t="s">
        <v>683</v>
      </c>
    </row>
    <row r="345" spans="1:3" x14ac:dyDescent="0.3">
      <c r="A345" s="297">
        <v>340</v>
      </c>
      <c r="B345" s="301" t="s">
        <v>1227</v>
      </c>
      <c r="C345" s="298" t="s">
        <v>686</v>
      </c>
    </row>
    <row r="346" spans="1:3" x14ac:dyDescent="0.3">
      <c r="A346" s="297">
        <v>341</v>
      </c>
      <c r="B346" s="301" t="s">
        <v>1228</v>
      </c>
      <c r="C346" s="298" t="s">
        <v>54</v>
      </c>
    </row>
    <row r="347" spans="1:3" x14ac:dyDescent="0.3">
      <c r="A347" s="297">
        <v>342</v>
      </c>
      <c r="B347" s="301" t="s">
        <v>53</v>
      </c>
      <c r="C347" s="298" t="s">
        <v>1229</v>
      </c>
    </row>
    <row r="348" spans="1:3" x14ac:dyDescent="0.3">
      <c r="A348" s="297">
        <v>343</v>
      </c>
      <c r="B348" s="301" t="s">
        <v>1230</v>
      </c>
      <c r="C348" s="298" t="s">
        <v>561</v>
      </c>
    </row>
    <row r="349" spans="1:3" x14ac:dyDescent="0.3">
      <c r="A349" s="297">
        <v>344</v>
      </c>
      <c r="B349" s="301" t="s">
        <v>1231</v>
      </c>
      <c r="C349" s="298" t="s">
        <v>49</v>
      </c>
    </row>
    <row r="350" spans="1:3" x14ac:dyDescent="0.3">
      <c r="A350" s="297">
        <v>345</v>
      </c>
      <c r="B350" s="301" t="s">
        <v>1232</v>
      </c>
      <c r="C350" s="298" t="s">
        <v>1233</v>
      </c>
    </row>
    <row r="351" spans="1:3" x14ac:dyDescent="0.3">
      <c r="A351" s="297">
        <v>346</v>
      </c>
      <c r="B351" s="301" t="s">
        <v>52</v>
      </c>
      <c r="C351" s="298" t="s">
        <v>1234</v>
      </c>
    </row>
    <row r="352" spans="1:3" x14ac:dyDescent="0.3">
      <c r="A352" s="297">
        <v>347</v>
      </c>
      <c r="B352" s="301" t="s">
        <v>1235</v>
      </c>
      <c r="C352" s="298" t="s">
        <v>1236</v>
      </c>
    </row>
    <row r="353" spans="1:3" x14ac:dyDescent="0.3">
      <c r="A353" s="297">
        <v>348</v>
      </c>
      <c r="B353" s="301" t="s">
        <v>51</v>
      </c>
      <c r="C353" s="298" t="s">
        <v>50</v>
      </c>
    </row>
    <row r="354" spans="1:3" x14ac:dyDescent="0.3">
      <c r="A354" s="297">
        <v>349</v>
      </c>
      <c r="B354" s="301" t="s">
        <v>687</v>
      </c>
      <c r="C354" s="298" t="s">
        <v>1237</v>
      </c>
    </row>
    <row r="355" spans="1:3" x14ac:dyDescent="0.3">
      <c r="A355" s="297">
        <v>350</v>
      </c>
      <c r="B355" s="301" t="s">
        <v>1238</v>
      </c>
      <c r="C355" s="298" t="s">
        <v>1239</v>
      </c>
    </row>
    <row r="356" spans="1:3" x14ac:dyDescent="0.3">
      <c r="A356" s="297">
        <v>351</v>
      </c>
      <c r="B356" s="301" t="s">
        <v>1240</v>
      </c>
      <c r="C356" s="298" t="s">
        <v>1241</v>
      </c>
    </row>
    <row r="357" spans="1:3" x14ac:dyDescent="0.3">
      <c r="A357" s="297">
        <v>352</v>
      </c>
      <c r="B357" s="301" t="s">
        <v>1242</v>
      </c>
      <c r="C357" s="298" t="s">
        <v>689</v>
      </c>
    </row>
    <row r="358" spans="1:3" x14ac:dyDescent="0.3">
      <c r="A358" s="297">
        <v>353</v>
      </c>
      <c r="B358" s="301" t="s">
        <v>692</v>
      </c>
      <c r="C358" s="298" t="s">
        <v>693</v>
      </c>
    </row>
    <row r="359" spans="1:3" x14ac:dyDescent="0.3">
      <c r="A359" s="297">
        <v>354</v>
      </c>
      <c r="B359" s="301" t="s">
        <v>1243</v>
      </c>
      <c r="C359" s="301" t="s">
        <v>691</v>
      </c>
    </row>
    <row r="360" spans="1:3" x14ac:dyDescent="0.3">
      <c r="A360" s="297">
        <v>355</v>
      </c>
      <c r="B360" s="301" t="s">
        <v>1244</v>
      </c>
      <c r="C360" s="301" t="s">
        <v>1245</v>
      </c>
    </row>
    <row r="361" spans="1:3" x14ac:dyDescent="0.3">
      <c r="A361" s="297">
        <v>356</v>
      </c>
      <c r="B361" s="301" t="s">
        <v>1246</v>
      </c>
      <c r="C361" s="301" t="s">
        <v>690</v>
      </c>
    </row>
    <row r="362" spans="1:3" x14ac:dyDescent="0.3">
      <c r="A362" s="297">
        <v>357</v>
      </c>
      <c r="B362" s="301" t="s">
        <v>1247</v>
      </c>
      <c r="C362" s="301" t="s">
        <v>1248</v>
      </c>
    </row>
    <row r="363" spans="1:3" x14ac:dyDescent="0.3">
      <c r="A363" s="297">
        <v>358</v>
      </c>
      <c r="B363" s="301" t="s">
        <v>1249</v>
      </c>
      <c r="C363" s="301" t="s">
        <v>857</v>
      </c>
    </row>
    <row r="364" spans="1:3" x14ac:dyDescent="0.3">
      <c r="A364" s="297">
        <v>359</v>
      </c>
      <c r="B364" s="301" t="s">
        <v>1250</v>
      </c>
      <c r="C364" s="301" t="s">
        <v>1251</v>
      </c>
    </row>
    <row r="365" spans="1:3" x14ac:dyDescent="0.3">
      <c r="A365" s="297">
        <v>360</v>
      </c>
      <c r="B365" s="301" t="s">
        <v>1252</v>
      </c>
      <c r="C365" s="301" t="s">
        <v>1253</v>
      </c>
    </row>
    <row r="366" spans="1:3" x14ac:dyDescent="0.3">
      <c r="A366" s="297">
        <v>361</v>
      </c>
      <c r="B366" s="301" t="s">
        <v>1254</v>
      </c>
      <c r="C366" s="301" t="s">
        <v>694</v>
      </c>
    </row>
    <row r="367" spans="1:3" x14ac:dyDescent="0.3">
      <c r="A367" s="297">
        <v>362</v>
      </c>
      <c r="B367" s="301" t="s">
        <v>1255</v>
      </c>
      <c r="C367" s="301" t="s">
        <v>48</v>
      </c>
    </row>
    <row r="368" spans="1:3" x14ac:dyDescent="0.3">
      <c r="A368" s="297">
        <v>363</v>
      </c>
      <c r="B368" s="301" t="s">
        <v>1256</v>
      </c>
      <c r="C368" s="301" t="s">
        <v>760</v>
      </c>
    </row>
    <row r="369" spans="1:3" x14ac:dyDescent="0.3">
      <c r="A369" s="297">
        <v>364</v>
      </c>
      <c r="B369" s="301" t="s">
        <v>1257</v>
      </c>
      <c r="C369" s="301" t="s">
        <v>1258</v>
      </c>
    </row>
    <row r="370" spans="1:3" x14ac:dyDescent="0.3">
      <c r="A370" s="297">
        <v>365</v>
      </c>
      <c r="B370" s="2" t="s">
        <v>1259</v>
      </c>
      <c r="C370" s="2" t="s">
        <v>760</v>
      </c>
    </row>
  </sheetData>
  <mergeCells count="2">
    <mergeCell ref="A2:C2"/>
    <mergeCell ref="B3:C3"/>
  </mergeCells>
  <conditionalFormatting sqref="B27">
    <cfRule type="duplicateValues" dxfId="20" priority="7"/>
  </conditionalFormatting>
  <conditionalFormatting sqref="B93">
    <cfRule type="duplicateValues" dxfId="19" priority="15"/>
  </conditionalFormatting>
  <conditionalFormatting sqref="B115">
    <cfRule type="duplicateValues" dxfId="18" priority="4"/>
  </conditionalFormatting>
  <conditionalFormatting sqref="B131:B132">
    <cfRule type="duplicateValues" dxfId="17" priority="11"/>
  </conditionalFormatting>
  <conditionalFormatting sqref="B152">
    <cfRule type="duplicateValues" dxfId="16" priority="6"/>
  </conditionalFormatting>
  <conditionalFormatting sqref="B161">
    <cfRule type="duplicateValues" dxfId="15" priority="14"/>
  </conditionalFormatting>
  <conditionalFormatting sqref="B183">
    <cfRule type="duplicateValues" dxfId="14" priority="2"/>
  </conditionalFormatting>
  <conditionalFormatting sqref="B190">
    <cfRule type="duplicateValues" dxfId="13" priority="9"/>
  </conditionalFormatting>
  <conditionalFormatting sqref="B206">
    <cfRule type="duplicateValues" dxfId="12" priority="13"/>
  </conditionalFormatting>
  <conditionalFormatting sqref="B210:B211">
    <cfRule type="duplicateValues" dxfId="11" priority="17"/>
  </conditionalFormatting>
  <conditionalFormatting sqref="B212:B213">
    <cfRule type="duplicateValues" dxfId="10" priority="10"/>
  </conditionalFormatting>
  <conditionalFormatting sqref="B234:B235">
    <cfRule type="duplicateValues" dxfId="9" priority="18"/>
  </conditionalFormatting>
  <conditionalFormatting sqref="B236">
    <cfRule type="duplicateValues" dxfId="8" priority="8"/>
  </conditionalFormatting>
  <conditionalFormatting sqref="B258">
    <cfRule type="duplicateValues" dxfId="7" priority="5"/>
  </conditionalFormatting>
  <conditionalFormatting sqref="B265">
    <cfRule type="duplicateValues" dxfId="6" priority="12"/>
  </conditionalFormatting>
  <conditionalFormatting sqref="B298">
    <cfRule type="duplicateValues" dxfId="5" priority="16"/>
  </conditionalFormatting>
  <conditionalFormatting sqref="B299:B331 B237:B245 B94:B114 B162:B182 B5:B11 B207:B209 B266:B271 B133:B151 B214:B233 B44:B92 B17:B26 B191:B205 B247:B257 B119:B130 B13:B15 B28:B42 B153:B160 B259:B264 B116:B117 B333:B338 B184:B189 B340:B358 B367:B368 B273:B297">
    <cfRule type="duplicateValues" dxfId="4" priority="19"/>
  </conditionalFormatting>
  <conditionalFormatting sqref="B332">
    <cfRule type="duplicateValues" dxfId="3" priority="3"/>
  </conditionalFormatting>
  <conditionalFormatting sqref="B339">
    <cfRule type="duplicateValues" dxfId="2" priority="1"/>
  </conditionalFormatting>
  <conditionalFormatting sqref="B359:C366">
    <cfRule type="duplicateValues" dxfId="1" priority="21"/>
  </conditionalFormatting>
  <conditionalFormatting sqref="B369:C369">
    <cfRule type="duplicateValues" dxfId="0" priority="20"/>
  </conditionalFormatting>
  <hyperlinks>
    <hyperlink ref="B285" r:id="rId1" display="http://www.retecsa.com.ni/" xr:uid="{00000000-0004-0000-0900-000000000000}"/>
  </hyperlinks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10</vt:i4>
      </vt:variant>
      <vt:variant>
        <vt:lpstr>Rangos con nombre</vt:lpstr>
      </vt:variant>
      <vt:variant>
        <vt:i4>36</vt:i4>
      </vt:variant>
    </vt:vector>
  </HeadingPairs>
  <TitlesOfParts>
    <vt:vector size="46" baseType="lpstr">
      <vt:lpstr>General</vt:lpstr>
      <vt:lpstr>Calibración</vt:lpstr>
      <vt:lpstr>kU(E)</vt:lpstr>
      <vt:lpstr>Datos Etiquetas</vt:lpstr>
      <vt:lpstr>DA Unid-kPa (5 ptos)</vt:lpstr>
      <vt:lpstr>FA Unid-kPa (5 ptos)</vt:lpstr>
      <vt:lpstr>CMC Presión</vt:lpstr>
      <vt:lpstr>Trazabilidad</vt:lpstr>
      <vt:lpstr>BD Patron</vt:lpstr>
      <vt:lpstr>BD Clientes</vt:lpstr>
      <vt:lpstr>CertCode</vt:lpstr>
      <vt:lpstr>CertDate</vt:lpstr>
      <vt:lpstr>CertHR</vt:lpstr>
      <vt:lpstr>CertHRIncerti</vt:lpstr>
      <vt:lpstr>CertNum</vt:lpstr>
      <vt:lpstr>CertPres</vt:lpstr>
      <vt:lpstr>CertPresIncert</vt:lpstr>
      <vt:lpstr>CertTempC</vt:lpstr>
      <vt:lpstr>CertTempFin</vt:lpstr>
      <vt:lpstr>CertTempIncerti</vt:lpstr>
      <vt:lpstr>CertTempIni</vt:lpstr>
      <vt:lpstr>ClientAdr</vt:lpstr>
      <vt:lpstr>ClientName</vt:lpstr>
      <vt:lpstr>ClientPlace</vt:lpstr>
      <vt:lpstr>coef_unidad</vt:lpstr>
      <vt:lpstr>decim</vt:lpstr>
      <vt:lpstr>dif_alt</vt:lpstr>
      <vt:lpstr>DivEscala</vt:lpstr>
      <vt:lpstr>DivEscalaPatr</vt:lpstr>
      <vt:lpstr>EquipoCode</vt:lpstr>
      <vt:lpstr>EquipoIncertid</vt:lpstr>
      <vt:lpstr>EquipoMarca</vt:lpstr>
      <vt:lpstr>EquipoModelo</vt:lpstr>
      <vt:lpstr>EquipoSerie</vt:lpstr>
      <vt:lpstr>EquipoTipo</vt:lpstr>
      <vt:lpstr>Histeresis</vt:lpstr>
      <vt:lpstr>medio</vt:lpstr>
      <vt:lpstr>NumPuntosCalib</vt:lpstr>
      <vt:lpstr>NumPuntosCalib2</vt:lpstr>
      <vt:lpstr>RangoMed_max</vt:lpstr>
      <vt:lpstr>RangoMed_min</vt:lpstr>
      <vt:lpstr>Rcuadrado</vt:lpstr>
      <vt:lpstr>ResolInst</vt:lpstr>
      <vt:lpstr>'DA Unid-kPa (5 ptos)'!tblComp_U</vt:lpstr>
      <vt:lpstr>tblComp_U</vt:lpstr>
      <vt:lpstr>unidad</vt:lpstr>
    </vt:vector>
  </TitlesOfParts>
  <Company>Personal Use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Irina Olegovna Skvortsova</dc:creator>
  <cp:lastModifiedBy>FRANCISCO JAVIER GARCIA CALIX</cp:lastModifiedBy>
  <cp:lastPrinted>2019-03-10T23:43:59Z</cp:lastPrinted>
  <dcterms:created xsi:type="dcterms:W3CDTF">2017-11-13T20:02:16Z</dcterms:created>
  <dcterms:modified xsi:type="dcterms:W3CDTF">2024-07-16T23:02:25Z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6a89805a-dd8f-4f5c-b145-0444218b6695</vt:lpwstr>
  </property>
</Properties>
</file>