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D4E9396A-4BF2-4704-A107-AE517F8DD813}" xr6:coauthVersionLast="47" xr6:coauthVersionMax="47" xr10:uidLastSave="{00000000-0000-0000-0000-000000000000}"/>
  <bookViews>
    <workbookView xWindow="-108" yWindow="-108" windowWidth="23256" windowHeight="12456" tabRatio="887" firstSheet="1" activeTab="2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4" i="14"/>
  <c r="F43" i="9"/>
  <c r="F44" i="9" s="1"/>
  <c r="E16" i="9"/>
  <c r="N11" i="11"/>
  <c r="N11" i="14"/>
  <c r="A84" i="11"/>
  <c r="A120" i="14"/>
  <c r="I127" i="14"/>
  <c r="W80" i="14"/>
  <c r="J79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W26" i="10"/>
  <c r="D49" i="10" s="1"/>
  <c r="W27" i="10"/>
  <c r="D50" i="10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1" i="8"/>
  <c r="C73" i="8" s="1"/>
  <c r="C44" i="8"/>
  <c r="C45" i="8" s="1"/>
  <c r="K45" i="8" s="1"/>
  <c r="C26" i="8"/>
  <c r="C29" i="8" s="1"/>
  <c r="K44" i="8"/>
  <c r="K53" i="8"/>
  <c r="K46" i="8"/>
  <c r="K48" i="8"/>
  <c r="K50" i="8"/>
  <c r="K78" i="8"/>
  <c r="K70" i="8"/>
  <c r="K62" i="8"/>
  <c r="K74" i="8"/>
  <c r="K81" i="8"/>
  <c r="K80" i="8"/>
  <c r="K77" i="8"/>
  <c r="K69" i="8"/>
  <c r="K66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P18" i="10"/>
  <c r="J16" i="9" s="1"/>
  <c r="O11" i="9"/>
  <c r="O26" i="10" l="1"/>
  <c r="P15" i="10"/>
  <c r="G16" i="9" s="1"/>
  <c r="P17" i="10"/>
  <c r="I16" i="9" s="1"/>
  <c r="P21" i="10"/>
  <c r="M16" i="9" s="1"/>
  <c r="P23" i="10"/>
  <c r="O16" i="9" s="1"/>
  <c r="O23" i="10"/>
  <c r="O16" i="10"/>
  <c r="O24" i="10"/>
  <c r="L11" i="10"/>
  <c r="E37" i="10"/>
  <c r="L27" i="14" s="1"/>
  <c r="O21" i="10"/>
  <c r="AB33" i="10"/>
  <c r="AI25" i="10"/>
  <c r="C11" i="10"/>
  <c r="K37" i="10"/>
  <c r="AC5" i="9"/>
  <c r="F37" i="10"/>
  <c r="R27" i="11" s="1"/>
  <c r="W7" i="10"/>
  <c r="X6" i="10"/>
  <c r="Y6" i="10"/>
  <c r="C84" i="8"/>
  <c r="K84" i="8" s="1"/>
  <c r="O27" i="10"/>
  <c r="P19" i="10"/>
  <c r="K16" i="9" s="1"/>
  <c r="P29" i="10"/>
  <c r="P25" i="10"/>
  <c r="P28" i="10"/>
  <c r="O25" i="10"/>
  <c r="O29" i="10"/>
  <c r="P26" i="10"/>
  <c r="O22" i="10"/>
  <c r="C36" i="8"/>
  <c r="P27" i="10"/>
  <c r="O15" i="10"/>
  <c r="O20" i="10"/>
  <c r="O17" i="10"/>
  <c r="P22" i="10"/>
  <c r="N16" i="9" s="1"/>
  <c r="P16" i="10"/>
  <c r="H16" i="9" s="1"/>
  <c r="O19" i="10"/>
  <c r="P24" i="10"/>
  <c r="P16" i="9" s="1"/>
  <c r="P34" i="9" s="1"/>
  <c r="O18" i="10"/>
  <c r="C37" i="8"/>
  <c r="P20" i="10"/>
  <c r="L16" i="9" s="1"/>
  <c r="C41" i="8"/>
  <c r="K41" i="8" s="1"/>
  <c r="E7" i="10"/>
  <c r="Q19" i="10" s="1"/>
  <c r="I18" i="2"/>
  <c r="AI2" i="10"/>
  <c r="AI14" i="10"/>
  <c r="AI36" i="10"/>
  <c r="AI47" i="10"/>
  <c r="AI58" i="10"/>
  <c r="W33" i="10"/>
  <c r="D8" i="10"/>
  <c r="V6" i="10" s="1"/>
  <c r="G81" i="14"/>
  <c r="C38" i="8"/>
  <c r="C40" i="8"/>
  <c r="K40" i="8" s="1"/>
  <c r="F27" i="11"/>
  <c r="C30" i="8"/>
  <c r="U26" i="10"/>
  <c r="V26" i="10" s="1"/>
  <c r="C49" i="10" s="1"/>
  <c r="Y26" i="10"/>
  <c r="H43" i="10"/>
  <c r="F70" i="14" s="1"/>
  <c r="H38" i="10"/>
  <c r="F65" i="14" s="1"/>
  <c r="C37" i="10"/>
  <c r="D27" i="14" s="1"/>
  <c r="S13" i="10"/>
  <c r="I8" i="2"/>
  <c r="AB23" i="10" s="1"/>
  <c r="C83" i="8"/>
  <c r="K83" i="8" s="1"/>
  <c r="G46" i="11"/>
  <c r="C63" i="8"/>
  <c r="P5" i="10"/>
  <c r="X5" i="10"/>
  <c r="X7" i="10"/>
  <c r="C64" i="8"/>
  <c r="C71" i="8"/>
  <c r="D27" i="11"/>
  <c r="C76" i="8"/>
  <c r="C86" i="8"/>
  <c r="K86" i="8" s="1"/>
  <c r="C77" i="8"/>
  <c r="C82" i="8"/>
  <c r="I13" i="2"/>
  <c r="E81" i="14" s="1"/>
  <c r="H40" i="10"/>
  <c r="F67" i="14" s="1"/>
  <c r="H51" i="10"/>
  <c r="F28" i="11"/>
  <c r="X23" i="10"/>
  <c r="I46" i="10" s="1"/>
  <c r="L73" i="14" s="1"/>
  <c r="H41" i="10"/>
  <c r="F68" i="14" s="1"/>
  <c r="H45" i="10"/>
  <c r="F72" i="14" s="1"/>
  <c r="Y27" i="10"/>
  <c r="D40" i="10"/>
  <c r="F30" i="14" s="1"/>
  <c r="N20" i="14"/>
  <c r="Z27" i="10"/>
  <c r="F31" i="14"/>
  <c r="U6" i="10"/>
  <c r="L27" i="11"/>
  <c r="G52" i="10"/>
  <c r="D51" i="10"/>
  <c r="C39" i="8"/>
  <c r="C80" i="8"/>
  <c r="H52" i="10"/>
  <c r="C66" i="8"/>
  <c r="C85" i="8"/>
  <c r="K85" i="8" s="1"/>
  <c r="C65" i="8"/>
  <c r="Z28" i="10"/>
  <c r="C31" i="8"/>
  <c r="C33" i="8"/>
  <c r="C27" i="8"/>
  <c r="C34" i="8"/>
  <c r="H48" i="10"/>
  <c r="Y23" i="10"/>
  <c r="C35" i="8"/>
  <c r="Y28" i="10"/>
  <c r="C43" i="8"/>
  <c r="K43" i="8" s="1"/>
  <c r="C32" i="8"/>
  <c r="C28" i="8"/>
  <c r="C42" i="8"/>
  <c r="K42" i="8" s="1"/>
  <c r="AF17" i="10" a="1"/>
  <c r="AN17" i="10" s="1"/>
  <c r="Y25" i="10"/>
  <c r="H47" i="10"/>
  <c r="F74" i="14" s="1"/>
  <c r="U24" i="10"/>
  <c r="AF61" i="10" a="1"/>
  <c r="AM61" i="10" s="1"/>
  <c r="H50" i="10"/>
  <c r="Z29" i="10"/>
  <c r="X29" i="10"/>
  <c r="I52" i="10" s="1"/>
  <c r="H46" i="10"/>
  <c r="F73" i="14" s="1"/>
  <c r="AF39" i="10" a="1"/>
  <c r="AM39" i="10" s="1"/>
  <c r="H44" i="10"/>
  <c r="F71" i="14" s="1"/>
  <c r="Z23" i="10"/>
  <c r="AF28" i="10" a="1"/>
  <c r="AF28" i="10" s="1"/>
  <c r="Z25" i="10"/>
  <c r="Y29" i="10"/>
  <c r="V27" i="10"/>
  <c r="C50" i="10" s="1"/>
  <c r="C46" i="10"/>
  <c r="D36" i="14" s="1"/>
  <c r="G46" i="10"/>
  <c r="D73" i="14" s="1"/>
  <c r="Q24" i="10"/>
  <c r="Q22" i="10"/>
  <c r="Q17" i="10"/>
  <c r="Q23" i="10"/>
  <c r="G11" i="10"/>
  <c r="Q25" i="10"/>
  <c r="Q20" i="10"/>
  <c r="Q27" i="10"/>
  <c r="Q16" i="10"/>
  <c r="Q26" i="10"/>
  <c r="K11" i="10"/>
  <c r="Q15" i="10"/>
  <c r="Q28" i="10"/>
  <c r="Q29" i="10"/>
  <c r="Q18" i="10"/>
  <c r="AA27" i="10"/>
  <c r="AB22" i="10"/>
  <c r="AB24" i="10"/>
  <c r="T46" i="11"/>
  <c r="Q21" i="10"/>
  <c r="C51" i="10"/>
  <c r="X28" i="10"/>
  <c r="G51" i="10"/>
  <c r="H49" i="10"/>
  <c r="P4" i="10"/>
  <c r="P6" i="10"/>
  <c r="C54" i="8"/>
  <c r="K54" i="8" s="1"/>
  <c r="C49" i="8"/>
  <c r="K49" i="8" s="1"/>
  <c r="C46" i="8"/>
  <c r="C57" i="8"/>
  <c r="C51" i="8"/>
  <c r="C50" i="8"/>
  <c r="C52" i="8"/>
  <c r="K52" i="8" s="1"/>
  <c r="C47" i="8"/>
  <c r="K47" i="8" s="1"/>
  <c r="C60" i="8"/>
  <c r="K60" i="8" s="1"/>
  <c r="C53" i="8"/>
  <c r="C48" i="8"/>
  <c r="C59" i="8"/>
  <c r="K59" i="8" s="1"/>
  <c r="C58" i="8"/>
  <c r="K58" i="8" s="1"/>
  <c r="C56" i="8"/>
  <c r="K56" i="8" s="1"/>
  <c r="C55" i="8"/>
  <c r="X25" i="10"/>
  <c r="C48" i="10"/>
  <c r="G48" i="10"/>
  <c r="U7" i="10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67" i="8"/>
  <c r="C62" i="8"/>
  <c r="C68" i="8"/>
  <c r="C81" i="8"/>
  <c r="C75" i="8"/>
  <c r="C79" i="8"/>
  <c r="C78" i="8"/>
  <c r="C72" i="8"/>
  <c r="C74" i="8"/>
  <c r="C69" i="8"/>
  <c r="C70" i="8"/>
  <c r="O10" i="9"/>
  <c r="O12" i="9"/>
  <c r="P11" i="9"/>
  <c r="P12" i="9"/>
  <c r="P10" i="9"/>
  <c r="AA21" i="10" l="1"/>
  <c r="AB21" i="10"/>
  <c r="AB20" i="10"/>
  <c r="E80" i="14"/>
  <c r="AA16" i="10"/>
  <c r="AB18" i="10"/>
  <c r="AB27" i="10"/>
  <c r="AA20" i="10"/>
  <c r="AA25" i="10"/>
  <c r="AB25" i="10"/>
  <c r="AB29" i="10"/>
  <c r="AA22" i="10"/>
  <c r="AB17" i="10"/>
  <c r="AB26" i="10"/>
  <c r="AB28" i="10"/>
  <c r="E46" i="11"/>
  <c r="AB15" i="10"/>
  <c r="AB16" i="10"/>
  <c r="AA23" i="10"/>
  <c r="AA29" i="10"/>
  <c r="AA17" i="10"/>
  <c r="AA19" i="10"/>
  <c r="AA15" i="10"/>
  <c r="R27" i="14"/>
  <c r="AB19" i="10"/>
  <c r="V7" i="10"/>
  <c r="V5" i="10"/>
  <c r="BA7" i="10"/>
  <c r="AA18" i="10"/>
  <c r="AA24" i="10"/>
  <c r="AA28" i="10"/>
  <c r="E47" i="11"/>
  <c r="AA26" i="10"/>
  <c r="U5" i="10"/>
  <c r="P3" i="10"/>
  <c r="P7" i="10" s="1"/>
  <c r="T80" i="14"/>
  <c r="F39" i="11"/>
  <c r="AK17" i="10"/>
  <c r="AJ17" i="10"/>
  <c r="X26" i="10"/>
  <c r="E49" i="10" s="1"/>
  <c r="G49" i="10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X27" i="10"/>
  <c r="I50" i="10" s="1"/>
  <c r="AG39" i="10"/>
  <c r="F49" i="10"/>
  <c r="J49" i="10" s="1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J50" i="10" s="1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J48" i="10" s="1"/>
  <c r="K48" i="10"/>
  <c r="F51" i="10"/>
  <c r="J51" i="10" s="1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6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I48" i="10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9" i="14"/>
  <c r="E51" i="10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46" i="10" l="1"/>
  <c r="R73" i="14" s="1"/>
  <c r="R36" i="14"/>
  <c r="I49" i="10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4" i="14" s="1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K24" i="15" l="1"/>
  <c r="Y24" i="15"/>
  <c r="AF24" i="15"/>
  <c r="R24" i="15"/>
  <c r="AM51" i="10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4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4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AF25" i="15" l="1"/>
  <c r="Y25" i="15"/>
  <c r="R25" i="15"/>
  <c r="K25" i="15"/>
  <c r="U17" i="10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J12" i="9"/>
  <c r="I12" i="9"/>
  <c r="G10" i="9"/>
  <c r="K12" i="9"/>
  <c r="L11" i="9"/>
  <c r="M12" i="9"/>
  <c r="N11" i="9"/>
  <c r="I10" i="9"/>
  <c r="J10" i="9"/>
  <c r="J11" i="9"/>
  <c r="G12" i="9"/>
  <c r="L12" i="9"/>
  <c r="K10" i="9"/>
  <c r="K11" i="9"/>
  <c r="H10" i="9"/>
  <c r="N12" i="9"/>
  <c r="G11" i="9"/>
  <c r="H12" i="9"/>
  <c r="M10" i="9"/>
  <c r="I11" i="9"/>
  <c r="H11" i="9"/>
  <c r="M11" i="9"/>
  <c r="N10" i="9"/>
  <c r="L10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2" i="14" s="1"/>
  <c r="G40" i="10"/>
  <c r="X17" i="10"/>
  <c r="C40" i="10"/>
  <c r="X18" i="10"/>
  <c r="C41" i="10"/>
  <c r="G41" i="10"/>
  <c r="C43" i="10"/>
  <c r="D33" i="14" s="1"/>
  <c r="G43" i="10"/>
  <c r="D70" i="14" s="1"/>
  <c r="X20" i="10"/>
  <c r="G44" i="10"/>
  <c r="D71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2" i="14" s="1"/>
  <c r="K43" i="10"/>
  <c r="L7" i="9"/>
  <c r="L25" i="9" s="1"/>
  <c r="I41" i="10"/>
  <c r="E41" i="10"/>
  <c r="I44" i="10"/>
  <c r="L71" i="14" s="1"/>
  <c r="E44" i="10"/>
  <c r="L34" i="14" s="1"/>
  <c r="E43" i="10"/>
  <c r="L33" i="14" s="1"/>
  <c r="I43" i="10"/>
  <c r="L70" i="14" s="1"/>
  <c r="J19" i="15"/>
  <c r="X19" i="15"/>
  <c r="AE19" i="15"/>
  <c r="D68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7" i="14"/>
  <c r="X18" i="15"/>
  <c r="D41" i="11"/>
  <c r="J45" i="10" l="1"/>
  <c r="R72" i="14" s="1"/>
  <c r="R35" i="14"/>
  <c r="J44" i="10"/>
  <c r="R71" i="14" s="1"/>
  <c r="R34" i="14"/>
  <c r="J43" i="10"/>
  <c r="R70" i="14" s="1"/>
  <c r="R33" i="14"/>
  <c r="F39" i="10"/>
  <c r="R29" i="11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6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5" i="14"/>
  <c r="X16" i="15"/>
  <c r="J16" i="15"/>
  <c r="D39" i="11"/>
  <c r="D32" i="14"/>
  <c r="D32" i="11"/>
  <c r="K42" i="10"/>
  <c r="K7" i="9"/>
  <c r="K25" i="9" s="1"/>
  <c r="Q20" i="15"/>
  <c r="D69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R21" i="15"/>
  <c r="K21" i="15"/>
  <c r="AF21" i="15"/>
  <c r="M18" i="15"/>
  <c r="L18" i="15"/>
  <c r="L21" i="15"/>
  <c r="M21" i="15"/>
  <c r="M22" i="15"/>
  <c r="L22" i="15"/>
  <c r="L30" i="14"/>
  <c r="L30" i="11"/>
  <c r="AG19" i="15"/>
  <c r="AH19" i="15"/>
  <c r="AA23" i="15"/>
  <c r="Z23" i="15"/>
  <c r="T21" i="15"/>
  <c r="S21" i="15"/>
  <c r="T22" i="15"/>
  <c r="S22" i="15"/>
  <c r="L41" i="11"/>
  <c r="L67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8" i="14"/>
  <c r="L42" i="11"/>
  <c r="S23" i="15"/>
  <c r="T23" i="15"/>
  <c r="Y21" i="15" l="1"/>
  <c r="Y23" i="15"/>
  <c r="AF23" i="15"/>
  <c r="K23" i="15"/>
  <c r="R23" i="15"/>
  <c r="AF22" i="15"/>
  <c r="R22" i="15"/>
  <c r="Y22" i="15"/>
  <c r="K22" i="15"/>
  <c r="R29" i="14"/>
  <c r="J39" i="10"/>
  <c r="K17" i="15" s="1"/>
  <c r="R30" i="14"/>
  <c r="R39" i="11"/>
  <c r="K16" i="15"/>
  <c r="AF16" i="15"/>
  <c r="R32" i="11"/>
  <c r="R30" i="11"/>
  <c r="R65" i="14"/>
  <c r="R28" i="14"/>
  <c r="Y16" i="15"/>
  <c r="R16" i="15"/>
  <c r="R28" i="11"/>
  <c r="L66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5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9" i="14"/>
  <c r="L43" i="11"/>
  <c r="L32" i="11"/>
  <c r="L32" i="14"/>
  <c r="M20" i="15"/>
  <c r="L20" i="15"/>
  <c r="J41" i="10"/>
  <c r="R68" i="14" s="1"/>
  <c r="R31" i="11"/>
  <c r="K18" i="15"/>
  <c r="AF18" i="15"/>
  <c r="R18" i="15"/>
  <c r="R67" i="14"/>
  <c r="Y18" i="15"/>
  <c r="R41" i="11"/>
  <c r="Y17" i="15" l="1"/>
  <c r="R40" i="11"/>
  <c r="R66" i="14"/>
  <c r="R17" i="15"/>
  <c r="AF17" i="15"/>
  <c r="R69" i="14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<sst xmlns="http://schemas.openxmlformats.org/spreadsheetml/2006/main" count="2120" uniqueCount="1529">
  <si>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</si>
  <si>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</si>
  <si>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</si>
  <si>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</si>
  <si>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</si>
  <si>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</si>
  <si>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</si>
  <si>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</si>
  <si>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</si>
  <si>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</si>
  <si>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</si>
  <si>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</si>
  <si>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</si>
  <si>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</si>
  <si>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</si>
  <si>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</si>
  <si>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</si>
  <si>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</si>
  <si>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</si>
  <si>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</si>
  <si>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</si>
  <si>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</si>
  <si>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</si>
  <si>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</si>
  <si>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</si>
  <si>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</si>
  <si>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</si>
  <si>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</si>
  <si>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</si>
  <si>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</si>
  <si>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</si>
  <si>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</si>
  <si>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</si>
  <si>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</si>
  <si>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</si>
  <si>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</si>
  <si>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</si>
  <si>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</si>
  <si>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</si>
  <si>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</si>
  <si>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</si>
  <si>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</si>
  <si>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</si>
  <si>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</si>
  <si>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</si>
  <si>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</si>
  <si>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</si>
  <si>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</si>
  <si>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</si>
  <si>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</si>
  <si>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</si>
  <si>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</si>
  <si>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</si>
  <si>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</si>
  <si>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</si>
  <si>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</si>
  <si>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</si>
  <si>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</si>
  <si>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</si>
  <si>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</si>
  <si>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</si>
  <si>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</si>
  <si>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</si>
  <si>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</si>
  <si>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</si>
  <si>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</si>
  <si>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</si>
  <si>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</si>
  <si>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</si>
  <si>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</si>
  <si>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</si>
  <si>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</si>
  <si>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</si>
  <si>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</si>
  <si>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</si>
  <si>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</si>
  <si>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</si>
  <si>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</si>
  <si>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</si>
  <si>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</si>
  <si>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</si>
  <si>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</si>
  <si>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</si>
  <si>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</si>
  <si>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</si>
  <si>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</si>
  <si>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</si>
  <si>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</si>
  <si>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</si>
  <si>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</si>
  <si>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</si>
  <si>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</si>
  <si>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</si>
  <si>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</si>
  <si>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</si>
  <si>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</si>
  <si>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</si>
  <si>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</si>
  <si>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</si>
  <si>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</si>
  <si>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</si>
  <si>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</si>
  <si>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</si>
  <si>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</si>
  <si>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</si>
  <si>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</si>
  <si>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</si>
  <si>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</si>
  <si>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</si>
  <si>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</si>
  <si>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</si>
  <si>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</si>
  <si>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</si>
  <si>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</si>
  <si>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</si>
  <si>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</si>
  <si>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</si>
  <si>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</si>
  <si>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</si>
  <si>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</si>
  <si>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</si>
  <si>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</si>
  <si>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</si>
  <si>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</si>
  <si>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</si>
  <si>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</si>
  <si>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</si>
  <si>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</si>
  <si>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</si>
  <si>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</si>
  <si>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</si>
  <si>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</si>
  <si>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</si>
  <si>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</si>
  <si>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</si>
  <si>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</si>
  <si>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</si>
  <si>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</si>
  <si>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</si>
  <si>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</si>
  <si>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</si>
  <si>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</si>
  <si>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</si>
  <si>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</si>
  <si>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</si>
  <si>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</si>
  <si>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</si>
  <si>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</si>
  <si>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</si>
  <si>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</si>
  <si>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</si>
  <si>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</si>
  <si>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</si>
  <si>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</si>
  <si>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</si>
  <si>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</si>
  <si>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</si>
  <si>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</si>
  <si>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</si>
  <si>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</si>
  <si>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</si>
  <si>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</si>
  <si>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</si>
  <si>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</si>
  <si>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</si>
  <si>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</si>
  <si>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</si>
  <si>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</si>
  <si>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</si>
  <si>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</si>
  <si>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</si>
  <si>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</si>
  <si>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</si>
  <si>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</si>
  <si>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</si>
  <si>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</si>
  <si>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</si>
  <si>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</si>
  <si>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</si>
  <si>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</si>
  <si>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</si>
  <si>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</si>
  <si>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</si>
  <si>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</si>
  <si>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</si>
  <si>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</si>
  <si>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</si>
  <si>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</si>
  <si>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</si>
  <si>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</si>
  <si>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</si>
  <si>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</si>
  <si>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</si>
  <si>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</si>
  <si>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</si>
  <si>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</si>
  <si>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</si>
  <si>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</si>
  <si>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</si>
  <si>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</si>
  <si>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</si>
  <si>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</si>
  <si>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</si>
  <si>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</si>
  <si>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</si>
  <si>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</si>
  <si>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</si>
  <si>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</si>
  <si>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</si>
  <si>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</si>
  <si>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</si>
  <si>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</si>
  <si>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</si>
  <si>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</si>
  <si>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</si>
  <si>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</si>
  <si>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</si>
  <si>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</si>
  <si>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</si>
  <si>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</si>
  <si>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</si>
  <si>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</si>
  <si>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</si>
  <si>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</si>
  <si>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</si>
  <si>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</si>
  <si>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</si>
  <si>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</si>
  <si>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</si>
  <si>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</si>
  <si>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</si>
  <si>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</si>
  <si>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</si>
  <si>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</si>
  <si>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</si>
  <si>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</si>
  <si>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</si>
  <si>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</si>
  <si>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</si>
  <si>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</si>
  <si>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</si>
  <si>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</si>
  <si>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</si>
  <si>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</si>
  <si>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</si>
  <si>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</si>
  <si>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</si>
  <si>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</si>
  <si>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</si>
  <si>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</si>
  <si>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</si>
  <si>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</si>
  <si>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</si>
  <si>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</si>
  <si>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</si>
  <si>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</si>
  <si>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</si>
  <si>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</si>
  <si>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</si>
  <si>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</si>
  <si>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</si>
  <si>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</si>
  <si>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</si>
  <si>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</si>
  <si>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</si>
  <si>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</si>
  <si>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</si>
  <si>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</si>
  <si>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</si>
  <si>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</si>
  <si>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</si>
  <si>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</si>
  <si>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</si>
  <si>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</si>
  <si>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</si>
  <si>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</si>
  <si>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</si>
  <si>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</si>
  <si>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</si>
  <si>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</si>
  <si>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</si>
  <si>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</si>
  <si>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</si>
  <si>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</si>
  <si>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</si>
  <si>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</si>
  <si>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</si>
  <si>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</si>
  <si>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</si>
  <si>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</si>
  <si>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</si>
  <si>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</si>
  <si>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</si>
  <si>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</si>
  <si>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</si>
  <si>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</si>
  <si>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</si>
  <si>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</si>
  <si>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</si>
  <si>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</si>
  <si>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</si>
  <si>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</si>
  <si>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</si>
  <si>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</si>
  <si>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</si>
  <si>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</si>
  <si>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</si>
  <si>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</si>
  <si>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</si>
  <si>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</si>
  <si>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</si>
  <si>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</si>
  <si>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</si>
  <si>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</si>
  <si>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</si>
  <si>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</si>
  <si>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</si>
  <si>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</si>
  <si>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</si>
  <si>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</si>
  <si>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</si>
  <si>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</si>
  <si>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</si>
  <si>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</si>
  <si>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</si>
  <si>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</si>
  <si>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</si>
  <si>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</si>
  <si>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</si>
  <si>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</si>
  <si>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</si>
  <si>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</si>
  <si>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</si>
  <si>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</si>
  <si>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</si>
  <si>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</si>
  <si>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</si>
  <si>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</si>
  <si>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</si>
  <si>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</si>
  <si>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</si>
  <si>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</si>
  <si>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</si>
  <si>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</si>
  <si>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</si>
  <si>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</si>
  <si>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</si>
  <si>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</si>
  <si>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</si>
  <si>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</si>
  <si>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</si>
  <si>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</si>
  <si>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</si>
  <si>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</si>
  <si>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</si>
  <si>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</si>
  <si>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</si>
  <si>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</si>
  <si>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</si>
  <si>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</si>
  <si>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</si>
  <si>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</si>
  <si>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</si>
  <si>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</si>
  <si>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</si>
  <si>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</si>
  <si>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</si>
  <si>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</si>
  <si>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</si>
  <si>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</si>
  <si>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</si>
  <si>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</si>
  <si>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</si>
  <si>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</si>
  <si>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</si>
  <si>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</si>
  <si>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</si>
  <si>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</si>
  <si>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</si>
  <si>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</si>
  <si>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</si>
  <si>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</si>
  <si>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</si>
  <si>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</si>
  <si>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</si>
  <si>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</si>
  <si>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</si>
  <si>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</si>
  <si>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</si>
  <si>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</si>
  <si>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</si>
  <si>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</si>
  <si>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</si>
  <si>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</si>
  <si>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</si>
  <si>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</si>
  <si>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</si>
  <si>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</si>
  <si>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</si>
  <si>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</si>
  <si>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</si>
  <si>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</si>
  <si>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</si>
  <si>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</si>
  <si>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</si>
  <si>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</si>
  <si>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</si>
  <si>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</si>
  <si>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</si>
  <si>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</si>
  <si>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</si>
  <si>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</si>
  <si>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</si>
  <si>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</si>
  <si>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</si>
  <si>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</si>
  <si>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</si>
  <si>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</si>
  <si>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</si>
  <si>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</si>
  <si>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</si>
  <si>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</si>
  <si>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</si>
  <si>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</si>
  <si>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</si>
  <si>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</si>
  <si>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</si>
  <si>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</si>
  <si>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</si>
  <si>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</si>
  <si>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</si>
  <si>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</si>
  <si>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</si>
  <si>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</si>
  <si>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</si>
  <si>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</si>
  <si>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</si>
  <si>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</si>
  <si>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</si>
  <si>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</si>
  <si>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</si>
  <si>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</si>
  <si>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</si>
  <si>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</si>
  <si>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</si>
  <si>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</si>
  <si>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</si>
  <si>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</si>
  <si>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</si>
  <si>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</si>
  <si>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</si>
  <si>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</si>
  <si>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</si>
  <si>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</si>
  <si>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</si>
  <si>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</si>
  <si>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</si>
  <si>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</si>
  <si>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</si>
  <si>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</si>
  <si>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</si>
  <si>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</si>
  <si>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</si>
  <si>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</si>
  <si>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</si>
  <si>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</si>
  <si>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</si>
  <si>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</si>
  <si>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</si>
  <si>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</si>
  <si>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</si>
  <si>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</si>
  <si>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</si>
  <si>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</si>
  <si>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</si>
  <si>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</si>
  <si>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</si>
  <si>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</si>
  <si>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</si>
  <si>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</si>
  <si>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</si>
  <si>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</si>
  <si>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</si>
  <si>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</si>
  <si>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</si>
  <si>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</si>
  <si>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</si>
  <si>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</si>
  <si>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</si>
  <si>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</si>
  <si>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</si>
  <si>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</si>
  <si>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</si>
  <si>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</si>
  <si>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</si>
  <si>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</si>
  <si>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</si>
  <si>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</si>
  <si>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</si>
  <si>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</si>
  <si>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</si>
  <si>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</si>
  <si>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</si>
  <si>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</si>
  <si>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</si>
  <si>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</si>
  <si>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</si>
  <si>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</si>
  <si>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</si>
  <si>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</si>
  <si>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</si>
  <si>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</si>
  <si>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</si>
  <si>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</si>
  <si>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</si>
  <si>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</si>
  <si>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</si>
  <si>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</si>
  <si>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</si>
  <si>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</si>
  <si>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</si>
  <si>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</si>
  <si>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</si>
  <si>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</si>
  <si>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</si>
  <si>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</si>
  <si>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</si>
  <si>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</si>
  <si>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</si>
  <si>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</si>
  <si>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</si>
  <si>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</si>
  <si>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</si>
  <si>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</si>
  <si>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</si>
  <si>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</si>
  <si>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</si>
  <si>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</si>
  <si>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</si>
  <si>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</si>
  <si>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</si>
  <si>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</si>
  <si>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</si>
  <si>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</si>
  <si>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</si>
  <si>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</si>
  <si>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</si>
  <si>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</si>
  <si>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</si>
  <si>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</si>
  <si>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</si>
  <si>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</si>
  <si>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</si>
  <si>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</si>
  <si>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</si>
  <si>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</si>
  <si>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</si>
  <si>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</si>
  <si>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</si>
  <si>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</si>
  <si>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</si>
  <si>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</si>
  <si>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</si>
  <si>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</si>
  <si>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</si>
  <si>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</si>
  <si>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</si>
  <si>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</si>
  <si>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</si>
  <si>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</si>
  <si>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</si>
  <si>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</si>
  <si>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</si>
  <si>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</si>
  <si>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</si>
  <si>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</si>
  <si>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</si>
  <si>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</si>
  <si>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</si>
  <si>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</si>
  <si>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</si>
  <si>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</si>
  <si>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</si>
  <si>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</si>
  <si>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</si>
  <si>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</si>
  <si>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</si>
  <si>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</si>
  <si>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</si>
  <si>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</si>
  <si>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</si>
  <si>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</si>
  <si>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</si>
  <si>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</si>
  <si>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</si>
  <si>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</si>
  <si>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</si>
  <si>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</si>
  <si>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</si>
  <si>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</si>
  <si>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</si>
  <si>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</si>
  <si>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</si>
  <si>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</si>
  <si>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</si>
  <si>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</si>
  <si>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</si>
  <si>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</si>
  <si>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</si>
  <si>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</si>
  <si>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</si>
  <si>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</si>
  <si>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</si>
  <si>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</si>
  <si>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</si>
  <si>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</si>
  <si>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</si>
  <si>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</si>
  <si>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</si>
  <si>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</si>
  <si>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</si>
  <si>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</si>
  <si>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</si>
  <si>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</si>
  <si>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</si>
  <si>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</si>
  <si>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</si>
  <si>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</si>
  <si>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</si>
  <si>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</si>
  <si>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</si>
  <si>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</si>
  <si>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</si>
  <si>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</si>
  <si>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</si>
  <si>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</si>
  <si>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</si>
  <si>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</si>
  <si>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</si>
  <si>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</si>
  <si>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</si>
  <si>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</si>
  <si>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</si>
  <si>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</si>
  <si>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</si>
  <si>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</si>
  <si>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</si>
  <si>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</si>
  <si>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</si>
  <si>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</si>
  <si>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</si>
  <si>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</si>
  <si>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</si>
  <si>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</si>
  <si>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</si>
  <si>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</si>
  <si>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</si>
  <si>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</si>
  <si>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</si>
  <si>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</si>
  <si>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</si>
  <si>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</si>
  <si>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</si>
  <si>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</si>
  <si>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</si>
  <si>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</si>
  <si>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</si>
  <si>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</si>
  <si>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</si>
  <si>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</si>
  <si>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</si>
  <si>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</si>
  <si>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</si>
  <si>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</si>
  <si>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</si>
  <si>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</si>
  <si>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</si>
  <si>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</si>
  <si>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</si>
  <si>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</si>
  <si>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</si>
  <si>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</si>
  <si>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</si>
  <si>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</si>
  <si>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</si>
  <si>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</si>
  <si>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</si>
  <si>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</si>
  <si>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</si>
  <si>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</si>
  <si>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</si>
  <si>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</si>
  <si>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</si>
  <si>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</si>
  <si>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</si>
  <si>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</si>
  <si>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</si>
  <si>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</si>
  <si>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</si>
  <si>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</si>
  <si>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</si>
  <si>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</si>
  <si>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</si>
  <si>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</si>
  <si>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</si>
  <si>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</si>
  <si>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</si>
  <si>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</si>
  <si>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</si>
  <si>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</si>
  <si>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</si>
  <si>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</si>
  <si>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</si>
  <si>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</si>
  <si>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</si>
  <si>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</si>
  <si>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</si>
  <si>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</si>
  <si>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</si>
  <si>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</si>
  <si>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</si>
  <si>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</si>
  <si>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</si>
  <si>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</si>
  <si>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</si>
  <si>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</si>
  <si>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</si>
  <si>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</si>
  <si>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</si>
  <si>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</si>
  <si>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</si>
  <si>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</si>
  <si>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</si>
  <si>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</si>
  <si>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</si>
  <si>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</si>
  <si>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</si>
  <si>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</si>
  <si>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</si>
  <si>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</si>
  <si>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</si>
  <si>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</si>
  <si>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</si>
  <si>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</si>
  <si>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</si>
  <si>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</si>
  <si>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</si>
  <si>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</si>
  <si>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</si>
  <si>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</si>
  <si>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</si>
  <si>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</si>
  <si>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</si>
  <si>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</si>
  <si>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</si>
  <si>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</si>
  <si>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</si>
  <si>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</si>
  <si>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</si>
  <si>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</si>
  <si>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</si>
  <si>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</si>
  <si>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</si>
  <si>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</si>
  <si>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</si>
  <si>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</si>
  <si>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</si>
  <si>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</si>
  <si>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</si>
  <si>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</si>
  <si>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</si>
  <si>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</si>
  <si>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</si>
  <si>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</si>
  <si>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</si>
  <si>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</si>
  <si>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</si>
  <si>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</si>
  <si>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</si>
  <si>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</si>
  <si>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</si>
  <si>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</si>
  <si>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</si>
  <si>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</si>
  <si>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</si>
  <si>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</si>
  <si>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</si>
  <si>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</si>
  <si>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</si>
  <si>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</si>
  <si>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</si>
  <si>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</si>
  <si>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</si>
  <si>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</si>
  <si>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</si>
  <si>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</si>
  <si>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</si>
  <si>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</si>
  <si>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</si>
  <si>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</si>
  <si>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</si>
  <si>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</si>
  <si>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</si>
  <si>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</si>
  <si>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</si>
  <si>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</si>
  <si>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</si>
  <si>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</si>
  <si>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</si>
  <si>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</si>
  <si>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</si>
  <si>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</si>
  <si>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</si>
  <si>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</si>
  <si>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</si>
  <si>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</si>
  <si>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</si>
  <si>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</si>
  <si>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</si>
  <si>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</si>
  <si>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</si>
  <si>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</si>
  <si>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</si>
  <si>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</si>
  <si>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</si>
  <si>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</si>
  <si>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</si>
  <si>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</si>
  <si>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</si>
  <si>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0,5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</si>
  <si>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</si>
  <si>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</si>
  <si>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</si>
  <si>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</si>
  <si>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</si>
  <si>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</si>
  <si>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</si>
  <si>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</si>
  <si>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</si>
  <si>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</si>
  <si>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</si>
  <si>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</si>
  <si>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</si>
  <si>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</si>
  <si>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</si>
  <si>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</si>
  <si>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</si>
  <si>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</si>
  <si>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</si>
  <si>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</si>
  <si>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</si>
  <si>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</si>
  <si>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</si>
  <si>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</si>
  <si>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</si>
  <si>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</si>
  <si>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</si>
  <si>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</si>
  <si>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</si>
  <si>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</si>
  <si>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</si>
  <si>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</si>
  <si>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</si>
  <si>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</si>
  <si>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</si>
  <si>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</si>
  <si>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</si>
  <si>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</si>
  <si>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</si>
  <si>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</si>
  <si>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</si>
  <si>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</si>
  <si>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</si>
  <si>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</si>
  <si>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</si>
  <si>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</si>
  <si>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</si>
  <si>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</si>
  <si>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</si>
  <si>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</si>
  <si>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</si>
  <si>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</si>
  <si>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</si>
  <si>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</si>
  <si>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</si>
  <si>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</si>
  <si>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</si>
  <si>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</si>
  <si>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</si>
  <si>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</si>
  <si>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</si>
  <si>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</si>
  <si>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</si>
  <si>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</si>
  <si>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</si>
  <si>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</si>
  <si>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</si>
  <si>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</si>
  <si>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</si>
  <si>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</si>
  <si>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</si>
  <si>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</si>
  <si>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</si>
  <si>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</si>
  <si>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</si>
  <si>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</si>
  <si>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</si>
  <si>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</si>
  <si>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</si>
  <si>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</si>
  <si>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</si>
  <si>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</si>
  <si>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</si>
  <si>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</si>
  <si>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</si>
  <si>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</si>
  <si>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</si>
  <si>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</si>
  <si>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</si>
  <si>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</si>
  <si>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</si>
  <si>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</si>
  <si>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</si>
  <si>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</si>
  <si>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</si>
  <si>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</si>
  <si>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</si>
  <si>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</si>
  <si>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</si>
  <si>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</si>
  <si>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</si>
  <si>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</si>
  <si>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</si>
  <si>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</si>
  <si>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</si>
  <si>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</si>
  <si>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</si>
  <si>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</si>
  <si>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</si>
  <si>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</si>
  <si>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</si>
  <si>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</si>
  <si>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</si>
  <si>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</si>
  <si>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</si>
  <si>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</si>
  <si>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</si>
  <si>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</si>
  <si>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</si>
  <si>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</si>
  <si>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</si>
  <si>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</si>
  <si>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</si>
  <si>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</si>
  <si>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</si>
  <si>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</si>
  <si>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</si>
  <si>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</si>
  <si>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</si>
  <si>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</si>
  <si>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</si>
  <si>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</si>
  <si>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</si>
  <si>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</si>
  <si>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</si>
  <si>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</si>
  <si>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</si>
  <si>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</si>
  <si>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</si>
  <si>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</si>
  <si>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</si>
  <si>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</si>
  <si>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</si>
  <si>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</si>
  <si>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</si>
  <si>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</si>
  <si>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</si>
  <si>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</si>
  <si>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</si>
  <si>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</si>
  <si>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</si>
  <si>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</si>
  <si>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</si>
  <si>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</si>
  <si>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</si>
  <si>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</si>
  <si>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</si>
  <si>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</si>
  <si>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</si>
  <si>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</si>
  <si>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</si>
  <si>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</si>
  <si>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</si>
  <si>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</si>
  <si>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</si>
  <si>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</si>
  <si>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</si>
  <si>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</si>
  <si>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</si>
  <si>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</si>
  <si>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</si>
  <si>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</si>
  <si>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</si>
  <si>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</si>
  <si>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</si>
  <si>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</si>
  <si>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</si>
  <si>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</si>
  <si>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</si>
  <si>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</si>
  <si>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</si>
  <si>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</si>
  <si>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</si>
  <si>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</si>
  <si>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</si>
  <si>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</si>
  <si>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</si>
  <si>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</si>
  <si>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</si>
  <si>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</si>
  <si>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</si>
  <si>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</si>
  <si>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</si>
  <si>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</si>
  <si>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</si>
  <si>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</si>
  <si>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</si>
  <si>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</si>
  <si>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</si>
  <si>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</si>
  <si>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</si>
  <si>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</si>
  <si>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</si>
  <si>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</si>
  <si>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</si>
  <si>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</si>
  <si>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</si>
  <si>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</si>
  <si>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</si>
  <si>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</si>
  <si>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</si>
  <si>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</si>
  <si>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</si>
  <si>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</si>
  <si>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</si>
  <si>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</si>
  <si>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</si>
  <si>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</si>
  <si>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</si>
  <si>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</si>
  <si>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</si>
  <si>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</si>
  <si>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</si>
  <si>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</si>
  <si>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</si>
  <si>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</si>
  <si>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</si>
  <si>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</si>
  <si>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</si>
  <si>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</si>
  <si>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</si>
  <si>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</si>
  <si>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</si>
  <si>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</si>
  <si>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</si>
  <si>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</si>
  <si>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</si>
  <si>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</si>
  <si>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</si>
  <si>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</si>
  <si>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</si>
  <si>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</si>
  <si>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</si>
  <si>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</si>
  <si>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</si>
  <si>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</si>
  <si>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</si>
  <si>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</si>
  <si>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</si>
  <si>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</si>
  <si>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</si>
  <si>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</si>
  <si>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</si>
  <si>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</si>
  <si>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</si>
  <si>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</si>
  <si>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</si>
  <si>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</si>
  <si>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</si>
  <si>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</si>
  <si>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</si>
  <si>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</si>
  <si>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</si>
  <si>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</si>
  <si>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</si>
  <si>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</si>
  <si>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</si>
  <si>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</si>
  <si>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</si>
  <si>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</si>
  <si>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</si>
  <si>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</si>
  <si>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</si>
  <si>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</si>
  <si>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</si>
  <si>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</si>
  <si>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</si>
  <si>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</si>
  <si>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</si>
  <si>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</si>
  <si>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</si>
  <si>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</si>
  <si>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</si>
  <si>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</si>
  <si>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</si>
  <si>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</si>
  <si>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</si>
  <si>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</si>
  <si>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</si>
  <si>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</si>
  <si>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</si>
  <si>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</si>
  <si>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</si>
  <si>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</si>
  <si>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</si>
  <si>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</si>
  <si>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</si>
  <si>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</si>
  <si>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</si>
  <si>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</si>
  <si>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</si>
  <si>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</si>
  <si>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</si>
  <si>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</si>
  <si>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</si>
  <si>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</si>
  <si>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</si>
  <si>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</si>
  <si>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</si>
  <si>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</si>
  <si>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</si>
  <si>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</si>
  <si>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</si>
  <si>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</si>
  <si>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</si>
  <si>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</si>
  <si>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</si>
  <si>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</si>
  <si>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</si>
  <si>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</si>
  <si>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</si>
  <si>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</si>
  <si>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</si>
  <si>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</si>
  <si>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</si>
  <si>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</si>
  <si>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</si>
  <si>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</si>
  <si>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</si>
  <si>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</si>
  <si>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</si>
  <si>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</si>
  <si>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</si>
  <si>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</si>
  <si>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</si>
  <si>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</si>
  <si>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</si>
  <si>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</si>
  <si>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</si>
  <si>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</si>
  <si>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</si>
  <si>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</si>
  <si>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</si>
  <si>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</si>
  <si>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</si>
  <si>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</si>
  <si>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</si>
  <si>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</si>
  <si>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</si>
  <si>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</si>
  <si>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</si>
  <si>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</si>
  <si>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</si>
  <si>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</si>
  <si>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</si>
  <si>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</si>
  <si>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</si>
  <si>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</si>
  <si>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</si>
  <si>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</si>
  <si>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</si>
  <si>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</si>
  <si>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</si>
  <si>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</si>
  <si>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</si>
  <si>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</si>
  <si>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</si>
  <si>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</si>
  <si>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</si>
  <si>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</si>
  <si>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</si>
  <si>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</si>
  <si>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</si>
  <si>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</si>
  <si>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</si>
  <si>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</si>
  <si>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</si>
  <si>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</si>
  <si>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</si>
  <si>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</si>
  <si>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</si>
  <si>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</si>
  <si>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</si>
  <si>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</si>
  <si>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</si>
  <si>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</si>
  <si>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</si>
  <si>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</si>
  <si>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</si>
  <si>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</si>
  <si>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</si>
  <si>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</si>
  <si>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</si>
  <si>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</si>
  <si>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</si>
  <si>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</si>
  <si>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</si>
  <si>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</si>
  <si>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</si>
  <si>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</si>
  <si>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</si>
  <si>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</si>
  <si>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</si>
  <si>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</si>
  <si>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</si>
  <si>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</si>
  <si>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</si>
  <si>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</si>
  <si>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</si>
  <si>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</si>
  <si>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</si>
  <si>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</si>
  <si>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</si>
  <si>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</si>
  <si>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</si>
  <si>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</si>
  <si>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</si>
  <si>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</si>
  <si>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</si>
  <si>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</si>
  <si>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</si>
  <si>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</si>
  <si>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</si>
  <si>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</si>
  <si>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</si>
  <si>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</si>
  <si>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</si>
  <si>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</si>
  <si>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</si>
  <si>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</si>
  <si>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</si>
  <si>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</si>
  <si>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</si>
  <si>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</si>
  <si>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</si>
  <si>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</si>
  <si>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</si>
  <si>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</si>
  <si>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</si>
  <si>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</si>
  <si>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</si>
  <si>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</si>
  <si>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</si>
  <si>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</si>
  <si>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</si>
  <si>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</si>
  <si>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</si>
  <si>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</si>
  <si>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</si>
  <si>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</si>
  <si>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</si>
  <si>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</si>
  <si>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</si>
  <si>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</si>
  <si>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</si>
  <si>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</si>
  <si>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</si>
  <si>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</si>
  <si>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</si>
  <si>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</si>
  <si>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</si>
  <si>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</si>
  <si>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</si>
  <si>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</si>
  <si>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</si>
  <si>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</si>
  <si>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</si>
  <si>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</si>
  <si>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</si>
  <si>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</si>
  <si>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</si>
  <si>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</si>
  <si>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</si>
  <si>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</si>
  <si>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</si>
  <si>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</si>
  <si>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</si>
  <si>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</si>
  <si>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</si>
  <si>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</si>
  <si>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</si>
  <si>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</si>
  <si>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</si>
  <si>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</si>
  <si>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</si>
  <si>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</si>
  <si>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</si>
  <si>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</si>
  <si>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</si>
  <si>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</si>
  <si>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</si>
  <si>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</si>
  <si>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</si>
  <si>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</si>
  <si>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</si>
  <si>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</si>
  <si>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</si>
  <si>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</si>
  <si>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</si>
  <si>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</si>
  <si>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</si>
  <si>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</si>
  <si>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</si>
  <si>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</si>
  <si>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</si>
  <si>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</si>
  <si>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</si>
  <si>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</si>
  <si>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</si>
  <si>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</si>
  <si>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</si>
  <si>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</si>
  <si>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</si>
  <si>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</si>
  <si>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</si>
  <si>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</si>
  <si>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</si>
  <si>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</si>
  <si>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</si>
  <si>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</si>
  <si>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</si>
  <si>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</si>
  <si>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</si>
  <si>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</si>
  <si>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</si>
  <si>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</si>
  <si>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</si>
  <si>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</si>
  <si>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</si>
  <si>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</si>
  <si>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</si>
  <si>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</si>
  <si>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</si>
  <si>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</si>
  <si>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</si>
  <si>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</si>
  <si>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</si>
  <si>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</si>
  <si>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</si>
  <si>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</si>
  <si>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</si>
  <si>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</si>
  <si>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</si>
  <si>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</si>
  <si>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</si>
  <si>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</si>
  <si>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</si>
  <si>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</si>
  <si>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</si>
  <si>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</si>
  <si>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</si>
  <si>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</si>
  <si>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</si>
  <si>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</si>
  <si>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</si>
  <si>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</si>
  <si>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</si>
  <si>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</si>
  <si>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</si>
  <si>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</si>
  <si>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</si>
  <si>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</si>
  <si>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</si>
  <si>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</si>
  <si>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</si>
  <si>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</si>
  <si>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</si>
  <si>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</si>
  <si>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</si>
  <si>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</si>
  <si>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</si>
  <si>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</si>
  <si>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</si>
  <si>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</si>
  <si>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</si>
  <si>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</si>
  <si>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</si>
  <si>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</si>
  <si>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</si>
  <si>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</si>
  <si>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</si>
  <si>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</si>
  <si>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</si>
  <si>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</si>
  <si>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</si>
  <si>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</si>
  <si>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</si>
  <si>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</si>
  <si>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</si>
  <si>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</si>
  <si>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</si>
  <si>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</si>
  <si>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</si>
  <si>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</si>
  <si>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</si>
  <si>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</si>
  <si>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</si>
  <si>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</si>
  <si>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</si>
  <si>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</si>
  <si>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</si>
  <si>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</si>
  <si>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</si>
  <si>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</si>
  <si>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</si>
  <si>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</si>
  <si>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</si>
  <si>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</si>
  <si>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</si>
  <si>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</si>
  <si>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</si>
  <si>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</si>
  <si>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</si>
  <si>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</si>
  <si>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</si>
  <si>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</si>
  <si>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</si>
  <si>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</si>
  <si>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</si>
  <si>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</si>
  <si>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</si>
  <si>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</si>
  <si>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</si>
  <si>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</si>
  <si>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</si>
  <si>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</si>
  <si>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</si>
  <si>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</si>
  <si>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</si>
  <si>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</si>
  <si>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</si>
  <si>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</si>
  <si>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</si>
  <si>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</si>
  <si>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</si>
  <si>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</si>
  <si>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</si>
  <si>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</si>
  <si>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</si>
  <si>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</si>
  <si>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</si>
  <si>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</si>
  <si>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</si>
  <si>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</si>
  <si>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</si>
  <si>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</si>
  <si>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</si>
  <si>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</si>
  <si>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</si>
  <si>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</si>
  <si>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</si>
  <si>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</si>
  <si>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</si>
  <si>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</si>
  <si>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</si>
  <si>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</si>
  <si>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</si>
  <si>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</si>
  <si>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</si>
  <si>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</si>
  <si>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</si>
  <si>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</si>
  <si>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</si>
  <si>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</si>
  <si>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</si>
  <si>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</si>
  <si>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</si>
  <si>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</si>
  <si>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</si>
  <si>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</si>
  <si>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</si>
  <si>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</si>
  <si>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</si>
  <si>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</si>
  <si>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</si>
  <si>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</si>
  <si>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</si>
  <si>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</si>
  <si>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</si>
  <si>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</si>
  <si>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</si>
  <si>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</si>
  <si>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</si>
  <si>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</si>
  <si>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</si>
  <si>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</si>
  <si>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</si>
  <si>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</si>
  <si>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</si>
  <si>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</si>
  <si>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</si>
  <si>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</si>
  <si>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</si>
  <si>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</si>
  <si>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</si>
  <si>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</si>
  <si>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SCM-00055927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</si>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</sst>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4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Porcentaje" xfId="1" builtinId="5"/>
  </cellStyles>
  <dxfs count="130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29"/>
      <tableStyleElement type="headerRow" dxfId="128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120"/>
        <c:axId val="55851312"/>
      </c:scatterChart>
      <c:valAx>
        <c:axId val="5585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312"/>
        <c:crosses val="autoZero"/>
        <c:crossBetween val="midCat"/>
      </c:valAx>
      <c:valAx>
        <c:axId val="558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3616"/>
        <c:axId val="55866000"/>
      </c:scatterChart>
      <c:valAx>
        <c:axId val="5587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6000"/>
        <c:crosses val="autoZero"/>
        <c:crossBetween val="midCat"/>
      </c:valAx>
      <c:valAx>
        <c:axId val="558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296"/>
        <c:axId val="55869264"/>
      </c:scatterChart>
      <c:valAx>
        <c:axId val="5585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9264"/>
        <c:crosses val="autoZero"/>
        <c:crossBetween val="midCat"/>
      </c:valAx>
      <c:valAx>
        <c:axId val="558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1856"/>
        <c:axId val="55867088"/>
      </c:scatterChart>
      <c:valAx>
        <c:axId val="558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7088"/>
        <c:crosses val="autoZero"/>
        <c:crossBetween val="midCat"/>
      </c:valAx>
      <c:valAx>
        <c:axId val="558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2400"/>
        <c:axId val="55874704"/>
      </c:scatterChart>
      <c:valAx>
        <c:axId val="5585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4704"/>
        <c:crosses val="autoZero"/>
        <c:crossBetween val="midCat"/>
      </c:valAx>
      <c:valAx>
        <c:axId val="558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664"/>
        <c:axId val="55857840"/>
      </c:scatterChart>
      <c:valAx>
        <c:axId val="5585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840"/>
        <c:crosses val="autoZero"/>
        <c:crossBetween val="midCat"/>
      </c:valAx>
      <c:valAx>
        <c:axId val="558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560"/>
        <c:axId val="55868176"/>
      </c:scatterChart>
      <c:valAx>
        <c:axId val="5586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8176"/>
        <c:crosses val="autoZero"/>
        <c:crossBetween val="midCat"/>
      </c:valAx>
      <c:valAx>
        <c:axId val="558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27" dataDxfId="126">
  <tableColumns count="2">
    <tableColumn id="1" xr3:uid="{00000000-0010-0000-0000-000001000000}" name="Hoja de cálculo" dataDxfId="125"/>
    <tableColumn id="2" xr3:uid="{00000000-0010-0000-0000-000002000000}" name="Detalles" dataDxfId="12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23" dataDxfId="122">
  <tableColumns count="2">
    <tableColumn id="1" xr3:uid="{00000000-0010-0000-0100-000001000000}" name="Certificado Presión" dataDxfId="121"/>
    <tableColumn id="2" xr3:uid="{00000000-0010-0000-0100-000002000000}" name="Detalles" dataDxfId="12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19" dataDxfId="118">
  <tableColumns count="2">
    <tableColumn id="1" xr3:uid="{00000000-0010-0000-0200-000001000000}" name="Condiciones ambientales" dataDxfId="117"/>
    <tableColumn id="2" xr3:uid="{00000000-0010-0000-0200-000002000000}" name="Detalles" dataDxfId="11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15" dataDxfId="114">
  <tableColumns count="2">
    <tableColumn id="1" xr3:uid="{00000000-0010-0000-0300-000001000000}" name="Cliente" dataDxfId="113"/>
    <tableColumn id="2" xr3:uid="{00000000-0010-0000-0300-000002000000}" name="Detalles" dataDxfId="11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1" dataDxfId="109" headerRowBorderDxfId="110" tableBorderDxfId="108" totalsRowBorderDxfId="107">
  <tableColumns count="10">
    <tableColumn id="1" xr3:uid="{00000000-0010-0000-0400-000001000000}" name="#" dataDxfId="106"/>
    <tableColumn id="2" xr3:uid="{00000000-0010-0000-0400-000002000000}" name="Promedio Patrón" dataDxfId="105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4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3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2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1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0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99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98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97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6" dataDxfId="94" totalsRowDxfId="92" headerRowBorderDxfId="95" tableBorderDxfId="93" totalsRowBorderDxfId="91">
  <tableColumns count="15">
    <tableColumn id="1" xr3:uid="{00000000-0010-0000-0500-000001000000}" name="Fuente de incertidumbre" totalsRowLabel="Contribuciones incert. combinada" dataDxfId="90" totalsRowDxfId="89"/>
    <tableColumn id="2" xr3:uid="{00000000-0010-0000-0500-000002000000}" name="Símbolo" dataDxfId="88" totalsRowDxfId="87"/>
    <tableColumn id="14" xr3:uid="{00000000-0010-0000-0500-00000E000000}" name="Distrib." dataDxfId="86" totalsRowDxfId="85"/>
    <tableColumn id="15" xr3:uid="{00000000-0010-0000-0500-00000F000000}" name="Divisor" dataDxfId="84" totalsRowDxfId="83"/>
    <tableColumn id="16" xr3:uid="{00000000-0010-0000-0500-000010000000}" name="Coef. ci" dataDxfId="82" totalsRowDxfId="81"/>
    <tableColumn id="4" xr3:uid="{00000000-0010-0000-0500-000004000000}" name="p1 (%)" totalsRowFunction="sum" dataDxfId="80" totalsRowDxfId="79">
      <calculatedColumnFormula array="1">IFERROR(ABS(G9)/SUM(ABS('kU(E)'!$G$9:$G$18)),0)</calculatedColumnFormula>
    </tableColumn>
    <tableColumn id="5" xr3:uid="{00000000-0010-0000-0500-000005000000}" name="p2 (%)" totalsRowFunction="sum" dataDxfId="78" totalsRowDxfId="77">
      <calculatedColumnFormula array="1">IFERROR(ABS(H9)/SUM(ABS('kU(E)'!$H$9:$H$18)),0)</calculatedColumnFormula>
    </tableColumn>
    <tableColumn id="6" xr3:uid="{00000000-0010-0000-0500-000006000000}" name="p3 (%)" totalsRowFunction="sum" dataDxfId="76" totalsRowDxfId="75">
      <calculatedColumnFormula array="1">IFERROR(ABS(I9)/SUM(ABS('kU(E)'!$I$9:$I$18)),0)</calculatedColumnFormula>
    </tableColumn>
    <tableColumn id="7" xr3:uid="{00000000-0010-0000-0500-000007000000}" name="p4 (%)" totalsRowFunction="sum" dataDxfId="74" totalsRowDxfId="73">
      <calculatedColumnFormula array="1">IFERROR(ABS(J9)/SUM(ABS('kU(E)'!$J$9:$J$18)),0)</calculatedColumnFormula>
    </tableColumn>
    <tableColumn id="8" xr3:uid="{00000000-0010-0000-0500-000008000000}" name="p5 (%)" totalsRowFunction="sum" dataDxfId="72" totalsRowDxfId="71">
      <calculatedColumnFormula array="1">IFERROR(ABS(K9)/SUM(ABS('kU(E)'!$K$9:$K$18)),0)</calculatedColumnFormula>
    </tableColumn>
    <tableColumn id="9" xr3:uid="{00000000-0010-0000-0500-000009000000}" name="p6 (%)" totalsRowFunction="sum" dataDxfId="70" totalsRowDxfId="69">
      <calculatedColumnFormula array="1">IFERROR(ABS(L9)/SUM(ABS('kU(E)'!$L$9:$L$18)),0)</calculatedColumnFormula>
    </tableColumn>
    <tableColumn id="10" xr3:uid="{00000000-0010-0000-0500-00000A000000}" name="p7 (%)" totalsRowFunction="sum" dataDxfId="68" totalsRowDxfId="67">
      <calculatedColumnFormula array="1">IFERROR(ABS(M9)/SUM(ABS('kU(E)'!$M$9:$M$18)),0)</calculatedColumnFormula>
    </tableColumn>
    <tableColumn id="11" xr3:uid="{00000000-0010-0000-0500-00000B000000}" name="p8 (%)" totalsRowFunction="sum" dataDxfId="66" totalsRowDxfId="65">
      <calculatedColumnFormula array="1">IFERROR(ABS(N9)/SUM(ABS('kU(E)'!$N$9:$N$18)),0)</calculatedColumnFormula>
    </tableColumn>
    <tableColumn id="12" xr3:uid="{00000000-0010-0000-0500-00000C000000}" name="p9 (%)" totalsRowFunction="sum" dataDxfId="64" totalsRowDxfId="63">
      <calculatedColumnFormula array="1">IFERROR(ABS(O9)/SUM(ABS('kU(E)'!$O$9:$O$18)),0)</calculatedColumnFormula>
    </tableColumn>
    <tableColumn id="13" xr3:uid="{00000000-0010-0000-0500-00000D000000}" name="p10 (%)" totalsRowFunction="sum" dataDxfId="62" totalsRowDxfId="61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M1" zoomScale="90" zoomScaleNormal="90" workbookViewId="0">
      <selection activeCell="P7" sqref="P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681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2"/>
      <c r="O2" s="262"/>
      <c r="P2" s="262" t="s">
        <v>739</v>
      </c>
      <c r="Q2" s="262" t="s">
        <v>740</v>
      </c>
      <c r="R2" s="262" t="s">
        <v>741</v>
      </c>
    </row>
    <row r="3" spans="2:18" x14ac:dyDescent="0.3">
      <c r="B3" s="1" t="s">
        <v>4</v>
      </c>
      <c r="C3" s="125" t="s">
        <v>539</v>
      </c>
      <c r="E3" s="1" t="s">
        <v>5</v>
      </c>
      <c r="F3" s="156" t="s">
        <v>1504</v>
      </c>
      <c r="H3" s="3" t="s">
        <v>6</v>
      </c>
      <c r="I3" s="4" t="s">
        <v>40</v>
      </c>
      <c r="K3" s="1" t="s">
        <v>8</v>
      </c>
      <c r="L3" s="125" t="s">
        <v>996</v>
      </c>
      <c r="N3" s="263" t="s">
        <v>587</v>
      </c>
      <c r="O3" s="264" t="s">
        <v>742</v>
      </c>
      <c r="P3" s="257"/>
      <c r="Q3" s="257"/>
      <c r="R3" s="259"/>
    </row>
    <row r="4" spans="2:18" x14ac:dyDescent="0.3">
      <c r="B4" s="1" t="s">
        <v>10</v>
      </c>
      <c r="C4" s="125"/>
      <c r="E4" s="1" t="s">
        <v>11</v>
      </c>
      <c r="F4" s="156" t="s">
        <v>45</v>
      </c>
      <c r="H4" s="3" t="s">
        <v>12</v>
      </c>
      <c r="I4" s="91" t="s">
        <v>377</v>
      </c>
      <c r="K4" s="1" t="s">
        <v>13</v>
      </c>
      <c r="L4" s="128" t="str">
        <f>IFERROR(VLOOKUP(L3,tblClientes[[Nombre]:[Direccion]],2,FALSE),"")</f>
        <v/>
      </c>
      <c r="N4" s="265"/>
      <c r="O4" s="266" t="s">
        <v>743</v>
      </c>
      <c r="R4" s="260"/>
    </row>
    <row r="5" spans="2:18" x14ac:dyDescent="0.3">
      <c r="B5" s="1" t="s">
        <v>14</v>
      </c>
      <c r="C5" s="5"/>
      <c r="E5" s="1" t="s">
        <v>15</v>
      </c>
      <c r="F5" s="156" t="s">
        <v>822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29" t="s">
        <v>729</v>
      </c>
      <c r="N5" s="265" t="s">
        <v>586</v>
      </c>
      <c r="O5" s="266" t="s">
        <v>742</v>
      </c>
      <c r="R5" s="260"/>
    </row>
    <row r="6" spans="2:18" x14ac:dyDescent="0.3">
      <c r="B6" s="1" t="s">
        <v>18</v>
      </c>
      <c r="C6" s="125"/>
      <c r="E6" s="1" t="s">
        <v>19</v>
      </c>
      <c r="F6" s="156" t="s">
        <v>823</v>
      </c>
      <c r="H6" s="3" t="s">
        <v>20</v>
      </c>
      <c r="I6" s="89" t="str">
        <f>P10</f>
        <v/>
      </c>
      <c r="K6" s="1" t="s">
        <v>6</v>
      </c>
      <c r="L6" s="129" t="s">
        <v>831</v>
      </c>
      <c r="N6" s="265"/>
      <c r="O6" s="266" t="s">
        <v>743</v>
      </c>
      <c r="R6" s="260"/>
    </row>
    <row r="7" spans="2:18" x14ac:dyDescent="0.3">
      <c r="B7" s="1" t="s">
        <v>22</v>
      </c>
      <c r="C7" s="125"/>
      <c r="E7" s="1" t="s">
        <v>23</v>
      </c>
      <c r="F7" s="156" t="s">
        <v>547</v>
      </c>
      <c r="H7" s="3" t="s">
        <v>24</v>
      </c>
      <c r="I7" s="89" t="str">
        <f>P11</f>
        <v/>
      </c>
      <c r="K7" s="1"/>
      <c r="L7" s="1"/>
      <c r="N7" s="265" t="s">
        <v>588</v>
      </c>
      <c r="O7" s="266" t="s">
        <v>742</v>
      </c>
      <c r="R7" s="260"/>
    </row>
    <row r="8" spans="2:18" x14ac:dyDescent="0.3">
      <c r="B8" s="1" t="s">
        <v>25</v>
      </c>
      <c r="C8" s="125"/>
      <c r="E8" s="1" t="s">
        <v>540</v>
      </c>
      <c r="F8" s="156" t="s">
        <v>541</v>
      </c>
      <c r="H8" s="3" t="s">
        <v>27</v>
      </c>
      <c r="I8" s="90" t="str">
        <f>IFERROR(AVERAGE(I6:I7),"")</f>
        <v/>
      </c>
      <c r="K8" s="1"/>
      <c r="L8" s="1"/>
      <c r="N8" s="267"/>
      <c r="O8" s="268" t="s">
        <v>743</v>
      </c>
      <c r="P8" s="258"/>
      <c r="Q8" s="258"/>
      <c r="R8" s="261"/>
    </row>
    <row r="9" spans="2:18" ht="16.2" x14ac:dyDescent="0.3">
      <c r="B9" s="1" t="s">
        <v>28</v>
      </c>
      <c r="C9" s="125"/>
      <c r="E9" s="1" t="s">
        <v>595</v>
      </c>
      <c r="F9" s="156" t="s">
        <v>824</v>
      </c>
      <c r="H9" s="3" t="s">
        <v>527</v>
      </c>
      <c r="I9" s="90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5" t="s">
        <v>31</v>
      </c>
      <c r="E10" s="1" t="s">
        <v>26</v>
      </c>
      <c r="F10" s="156" t="s">
        <v>825</v>
      </c>
      <c r="H10" s="3" t="s">
        <v>33</v>
      </c>
      <c r="I10" s="275">
        <f>VLOOKUP(I4,'BD Patron'!C6:L10,4,FALSE)</f>
        <v>0.1</v>
      </c>
      <c r="K10" s="1"/>
      <c r="L10" s="1"/>
      <c r="N10" s="326" t="s">
        <v>742</v>
      </c>
      <c r="O10" s="327"/>
      <c r="P10" s="271" t="str">
        <f>IFERROR(AVERAGE(P3,P5,P7),"")</f>
        <v/>
      </c>
      <c r="Q10" s="271" t="str">
        <f>IFERROR(AVERAGE(Q3,Q5,Q7),"")</f>
        <v/>
      </c>
      <c r="R10" s="272" t="str">
        <f>IFERROR(AVERAGE(R3,R5,R7),"")</f>
        <v/>
      </c>
    </row>
    <row r="11" spans="2:18" x14ac:dyDescent="0.3">
      <c r="E11" s="1" t="s">
        <v>29</v>
      </c>
      <c r="F11" s="156" t="s">
        <v>85</v>
      </c>
      <c r="H11" s="3" t="s">
        <v>34</v>
      </c>
      <c r="I11" s="89" t="str">
        <f>Q10</f>
        <v/>
      </c>
      <c r="K11" s="1"/>
      <c r="L11" s="1"/>
      <c r="N11" s="328" t="s">
        <v>743</v>
      </c>
      <c r="O11" s="329"/>
      <c r="P11" s="273" t="str">
        <f>IFERROR(AVERAGE(P4,P6,P8),"")</f>
        <v/>
      </c>
      <c r="Q11" s="273" t="str">
        <f t="shared" ref="Q11:R11" si="0">IFERROR(AVERAGE(Q4,Q6,Q8),"")</f>
        <v/>
      </c>
      <c r="R11" s="274" t="str">
        <f t="shared" si="0"/>
        <v/>
      </c>
    </row>
    <row r="12" spans="2:18" x14ac:dyDescent="0.3">
      <c r="E12" s="1" t="s">
        <v>32</v>
      </c>
      <c r="F12" s="156" t="s">
        <v>826</v>
      </c>
      <c r="H12" s="3" t="s">
        <v>35</v>
      </c>
      <c r="I12" s="89" t="str">
        <f>Q11</f>
        <v/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6" t="s">
        <v>827</v>
      </c>
      <c r="H13" s="3" t="s">
        <v>36</v>
      </c>
      <c r="I13" s="90" t="str">
        <f>IFERROR(AVERAGE(I11:I12),"")</f>
        <v/>
      </c>
      <c r="K13" s="1"/>
      <c r="L13" s="1"/>
    </row>
    <row r="14" spans="2:18" x14ac:dyDescent="0.3">
      <c r="E14" s="1" t="s">
        <v>551</v>
      </c>
      <c r="F14" s="156" t="s">
        <v>828</v>
      </c>
      <c r="H14" s="3" t="s">
        <v>528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6" t="s">
        <v>829</v>
      </c>
      <c r="H15" s="3" t="s">
        <v>38</v>
      </c>
      <c r="I15" s="275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6" t="s">
        <v>622</v>
      </c>
      <c r="H16" s="3" t="s">
        <v>530</v>
      </c>
      <c r="I16" s="89" t="str">
        <f>R10</f>
        <v/>
      </c>
      <c r="K16" s="1"/>
      <c r="L16" s="1"/>
    </row>
    <row r="17" spans="2:9" x14ac:dyDescent="0.3">
      <c r="B17" s="92"/>
      <c r="C17" t="s">
        <v>468</v>
      </c>
      <c r="E17" s="1" t="s">
        <v>47</v>
      </c>
      <c r="F17" s="156"/>
      <c r="H17" s="3" t="s">
        <v>531</v>
      </c>
      <c r="I17" s="89" t="str">
        <f>R11</f>
        <v/>
      </c>
    </row>
    <row r="18" spans="2:9" x14ac:dyDescent="0.3">
      <c r="E18" s="1" t="s">
        <v>719</v>
      </c>
      <c r="F18" s="156" t="s">
        <v>830</v>
      </c>
      <c r="H18" s="3" t="s">
        <v>532</v>
      </c>
      <c r="I18" s="90" t="str">
        <f>IFERROR(AVERAGE(I16:I17),"")</f>
        <v/>
      </c>
    </row>
    <row r="19" spans="2:9" x14ac:dyDescent="0.3">
      <c r="B19" s="93"/>
      <c r="C19" t="s">
        <v>469</v>
      </c>
      <c r="H19" s="3" t="s">
        <v>529</v>
      </c>
      <c r="I19" s="90">
        <v>2.4700000000000002</v>
      </c>
    </row>
    <row r="20" spans="2:9" x14ac:dyDescent="0.3">
      <c r="H20" s="3" t="s">
        <v>731</v>
      </c>
      <c r="I20" s="90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7" t="s">
        <v>541</v>
      </c>
    </row>
    <row r="104" spans="23:23" x14ac:dyDescent="0.3">
      <c r="W104" s="67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30" t="s">
        <v>744</v>
      </c>
      <c r="Z123" s="331"/>
      <c r="AA123" s="331"/>
      <c r="AB123" s="332"/>
    </row>
    <row r="124" spans="23:28" x14ac:dyDescent="0.3">
      <c r="W124" s="202" t="s">
        <v>544</v>
      </c>
      <c r="Y124" s="333" t="s">
        <v>745</v>
      </c>
      <c r="Z124" s="334"/>
      <c r="AA124" s="334"/>
      <c r="AB124" s="335"/>
    </row>
    <row r="125" spans="23:28" x14ac:dyDescent="0.3">
      <c r="W125" s="202" t="s">
        <v>543</v>
      </c>
      <c r="Y125" s="320" t="s">
        <v>782</v>
      </c>
      <c r="Z125" s="321"/>
      <c r="AA125" s="321"/>
      <c r="AB125" s="322"/>
    </row>
    <row r="126" spans="23:28" x14ac:dyDescent="0.3">
      <c r="W126" s="202" t="s">
        <v>545</v>
      </c>
      <c r="Y126" s="320" t="s">
        <v>747</v>
      </c>
      <c r="Z126" s="321"/>
      <c r="AA126" s="321"/>
      <c r="AB126" s="322"/>
    </row>
    <row r="127" spans="23:28" x14ac:dyDescent="0.3">
      <c r="W127" s="202" t="s">
        <v>609</v>
      </c>
      <c r="Y127" s="320" t="s">
        <v>748</v>
      </c>
      <c r="Z127" s="321"/>
      <c r="AA127" s="321"/>
      <c r="AB127" s="322"/>
    </row>
    <row r="128" spans="23:28" x14ac:dyDescent="0.3">
      <c r="W128" s="202" t="s">
        <v>546</v>
      </c>
      <c r="Y128" s="320" t="s">
        <v>749</v>
      </c>
      <c r="Z128" s="321"/>
      <c r="AA128" s="321"/>
      <c r="AB128" s="322"/>
    </row>
    <row r="129" spans="23:28" x14ac:dyDescent="0.3">
      <c r="W129" s="202" t="s">
        <v>769</v>
      </c>
      <c r="Y129" s="320" t="s">
        <v>750</v>
      </c>
      <c r="Z129" s="321"/>
      <c r="AA129" s="321"/>
      <c r="AB129" s="322"/>
    </row>
    <row r="130" spans="23:28" x14ac:dyDescent="0.3">
      <c r="W130" s="202" t="s">
        <v>773</v>
      </c>
      <c r="Y130" s="320" t="s">
        <v>751</v>
      </c>
      <c r="Z130" s="321"/>
      <c r="AA130" s="321"/>
      <c r="AB130" s="322"/>
    </row>
    <row r="131" spans="23:28" x14ac:dyDescent="0.3">
      <c r="W131" s="202" t="s">
        <v>623</v>
      </c>
      <c r="Y131" s="320" t="s">
        <v>752</v>
      </c>
      <c r="Z131" s="321"/>
      <c r="AA131" s="321"/>
      <c r="AB131" s="322"/>
    </row>
    <row r="132" spans="23:28" x14ac:dyDescent="0.3">
      <c r="W132" s="202" t="s">
        <v>624</v>
      </c>
      <c r="Y132" s="320" t="s">
        <v>753</v>
      </c>
      <c r="Z132" s="321"/>
      <c r="AA132" s="321"/>
      <c r="AB132" s="322"/>
    </row>
    <row r="133" spans="23:28" x14ac:dyDescent="0.3">
      <c r="W133" s="202" t="s">
        <v>625</v>
      </c>
      <c r="Y133" s="320" t="s">
        <v>754</v>
      </c>
      <c r="Z133" s="321"/>
      <c r="AA133" s="321"/>
      <c r="AB133" s="322"/>
    </row>
    <row r="134" spans="23:28" x14ac:dyDescent="0.3">
      <c r="W134" s="202" t="s">
        <v>774</v>
      </c>
      <c r="Y134" s="320" t="s">
        <v>777</v>
      </c>
      <c r="Z134" s="321"/>
      <c r="AA134" s="321"/>
      <c r="AB134" s="322"/>
    </row>
    <row r="135" spans="23:28" x14ac:dyDescent="0.3">
      <c r="W135" s="202" t="s">
        <v>775</v>
      </c>
      <c r="Y135" s="320" t="s">
        <v>778</v>
      </c>
      <c r="Z135" s="321"/>
      <c r="AA135" s="321"/>
      <c r="AB135" s="322"/>
    </row>
    <row r="136" spans="23:28" x14ac:dyDescent="0.3">
      <c r="W136" s="202" t="s">
        <v>776</v>
      </c>
      <c r="Y136" s="320" t="s">
        <v>757</v>
      </c>
      <c r="Z136" s="321"/>
      <c r="AA136" s="321"/>
      <c r="AB136" s="322"/>
    </row>
    <row r="137" spans="23:28" x14ac:dyDescent="0.3">
      <c r="W137" s="202" t="s">
        <v>622</v>
      </c>
      <c r="Y137" s="320" t="s">
        <v>758</v>
      </c>
      <c r="Z137" s="321"/>
      <c r="AA137" s="321"/>
      <c r="AB137" s="322"/>
    </row>
    <row r="138" spans="23:28" x14ac:dyDescent="0.3">
      <c r="W138" s="202" t="s">
        <v>783</v>
      </c>
      <c r="Y138" s="320" t="s">
        <v>784</v>
      </c>
      <c r="Z138" s="321"/>
      <c r="AA138" s="321"/>
      <c r="AB138" s="322"/>
    </row>
    <row r="139" spans="23:28" x14ac:dyDescent="0.3">
      <c r="Y139" s="320" t="s">
        <v>760</v>
      </c>
      <c r="Z139" s="321"/>
      <c r="AA139" s="321"/>
      <c r="AB139" s="322"/>
    </row>
    <row r="140" spans="23:28" x14ac:dyDescent="0.3">
      <c r="Y140" s="320" t="s">
        <v>761</v>
      </c>
      <c r="Z140" s="321"/>
      <c r="AA140" s="321"/>
      <c r="AB140" s="322"/>
    </row>
    <row r="141" spans="23:28" x14ac:dyDescent="0.3">
      <c r="Y141" s="320" t="s">
        <v>762</v>
      </c>
      <c r="Z141" s="321"/>
      <c r="AA141" s="321"/>
      <c r="AB141" s="322"/>
    </row>
    <row r="142" spans="23:28" x14ac:dyDescent="0.3">
      <c r="Y142" s="320" t="s">
        <v>779</v>
      </c>
      <c r="Z142" s="321"/>
      <c r="AA142" s="321"/>
      <c r="AB142" s="322"/>
    </row>
    <row r="143" spans="23:28" x14ac:dyDescent="0.3">
      <c r="Y143" s="320" t="s">
        <v>764</v>
      </c>
      <c r="Z143" s="321"/>
      <c r="AA143" s="321"/>
      <c r="AB143" s="322"/>
    </row>
    <row r="144" spans="23:28" x14ac:dyDescent="0.3">
      <c r="Y144" s="320" t="s">
        <v>765</v>
      </c>
      <c r="Z144" s="321"/>
      <c r="AA144" s="321"/>
      <c r="AB144" s="322"/>
    </row>
    <row r="145" spans="25:28" x14ac:dyDescent="0.3">
      <c r="Y145" s="320" t="s">
        <v>766</v>
      </c>
      <c r="Z145" s="321"/>
      <c r="AA145" s="321"/>
      <c r="AB145" s="322"/>
    </row>
    <row r="146" spans="25:28" x14ac:dyDescent="0.3">
      <c r="Y146" s="320" t="s">
        <v>767</v>
      </c>
      <c r="Z146" s="321"/>
      <c r="AA146" s="321"/>
      <c r="AB146" s="322"/>
    </row>
    <row r="147" spans="25:28" x14ac:dyDescent="0.3">
      <c r="Y147" s="320" t="s">
        <v>780</v>
      </c>
      <c r="Z147" s="321"/>
      <c r="AA147" s="321"/>
      <c r="AB147" s="322"/>
    </row>
    <row r="148" spans="25:28" x14ac:dyDescent="0.3">
      <c r="Y148" s="320" t="s">
        <v>781</v>
      </c>
      <c r="Z148" s="321"/>
      <c r="AA148" s="321"/>
      <c r="AB148" s="322"/>
    </row>
    <row r="149" spans="25:28" ht="15" thickBot="1" x14ac:dyDescent="0.35">
      <c r="Y149" s="323" t="s">
        <v>785</v>
      </c>
      <c r="Z149" s="324"/>
      <c r="AA149" s="324"/>
      <c r="AB149" s="325"/>
    </row>
  </sheetData>
  <dataConsolidate/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D16" sqref="D16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637</v>
      </c>
      <c r="L2" s="25"/>
      <c r="M2" s="3"/>
      <c r="O2" s="17" t="s">
        <v>646</v>
      </c>
      <c r="P2" s="17"/>
      <c r="T2" s="25" t="s">
        <v>618</v>
      </c>
      <c r="U2" s="25"/>
      <c r="V2" s="25"/>
      <c r="W2" s="25"/>
      <c r="X2" s="25"/>
      <c r="Y2" s="3"/>
      <c r="AE2" s="17" t="s">
        <v>661</v>
      </c>
      <c r="AF2" s="17"/>
      <c r="AG2" s="17"/>
      <c r="AH2" s="17"/>
      <c r="AI2" s="17" t="str">
        <f>CONCATENATE("[Todo en ", unidad,"]")</f>
        <v>[Todo en atm]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3" t="s">
        <v>540</v>
      </c>
      <c r="C3" s="217"/>
      <c r="D3" s="154"/>
      <c r="E3" s="206" t="str">
        <f>General!F8</f>
        <v>Analógico</v>
      </c>
      <c r="G3" s="178" t="s">
        <v>627</v>
      </c>
      <c r="H3" s="178"/>
      <c r="I3" s="118" t="s">
        <v>562</v>
      </c>
      <c r="K3" s="178" t="s">
        <v>388</v>
      </c>
      <c r="L3" s="178"/>
      <c r="M3" s="118" t="s">
        <v>730</v>
      </c>
      <c r="O3" s="123" t="s">
        <v>648</v>
      </c>
      <c r="P3" s="69" t="e">
        <f>((AS10*(CertPres))+CertHR*((AS11*CertTempC)+AS12))/(273.15 + CertTempC)</f>
        <v>#VALUE!</v>
      </c>
      <c r="T3" s="182" t="s">
        <v>580</v>
      </c>
      <c r="U3" s="191" t="s">
        <v>610</v>
      </c>
      <c r="V3" s="192"/>
      <c r="W3" s="191" t="s">
        <v>616</v>
      </c>
      <c r="X3" s="192"/>
      <c r="Y3" s="3"/>
      <c r="AR3" s="27"/>
      <c r="AS3" s="27"/>
      <c r="AT3" s="27"/>
      <c r="AU3" s="27"/>
      <c r="AV3" s="27"/>
      <c r="AY3" s="220" t="s">
        <v>673</v>
      </c>
      <c r="AZ3" s="220"/>
      <c r="BA3" s="220"/>
      <c r="BB3" s="220"/>
      <c r="BC3" s="220"/>
      <c r="BG3" s="27"/>
    </row>
    <row r="4" spans="2:62" ht="14.4" customHeight="1" x14ac:dyDescent="0.3">
      <c r="B4" s="178" t="s">
        <v>385</v>
      </c>
      <c r="C4" s="153"/>
      <c r="D4" s="154"/>
      <c r="E4" s="207" t="str">
        <f>DivEscala</f>
        <v>0,5</v>
      </c>
      <c r="G4" s="178" t="s">
        <v>629</v>
      </c>
      <c r="H4" s="178"/>
      <c r="I4" s="64">
        <f>IFERROR(VLOOKUP(I3,tblBD_Patrones[[#All],[Código Patrón]:[Resolución '[psi']]],13,FALSE),"")</f>
        <v>0.1</v>
      </c>
      <c r="K4" s="178" t="s">
        <v>638</v>
      </c>
      <c r="L4" s="178"/>
      <c r="M4" s="118">
        <f>General!I20+0.00006</f>
        <v>6.0000000000000002E-5</v>
      </c>
      <c r="O4" s="123" t="s">
        <v>643</v>
      </c>
      <c r="P4" s="95" t="e">
        <f>ABS(CertTempIni-CertTempFin)/SQRT(12)</f>
        <v>#VALUE!</v>
      </c>
      <c r="S4" s="31" t="s">
        <v>370</v>
      </c>
      <c r="T4" s="88" t="s">
        <v>389</v>
      </c>
      <c r="U4" s="86" t="s">
        <v>611</v>
      </c>
      <c r="V4" s="86" t="s">
        <v>612</v>
      </c>
      <c r="W4" s="86" t="s">
        <v>615</v>
      </c>
      <c r="X4" s="86" t="s">
        <v>614</v>
      </c>
      <c r="Y4" s="179" t="s">
        <v>617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20"/>
      <c r="AZ4" s="220"/>
      <c r="BA4" s="220"/>
      <c r="BB4" s="220"/>
      <c r="BC4" s="220"/>
      <c r="BG4" s="27"/>
    </row>
    <row r="5" spans="2:62" ht="14.4" customHeight="1" x14ac:dyDescent="0.3">
      <c r="B5" s="153" t="s">
        <v>550</v>
      </c>
      <c r="C5" s="217"/>
      <c r="D5" s="154"/>
      <c r="E5" s="208" t="str">
        <f>RangoMed_min</f>
        <v>0</v>
      </c>
      <c r="G5" s="178" t="s">
        <v>628</v>
      </c>
      <c r="H5" s="178"/>
      <c r="I5" s="118"/>
      <c r="K5" s="178" t="s">
        <v>639</v>
      </c>
      <c r="L5" s="178"/>
      <c r="M5" s="118" t="s">
        <v>640</v>
      </c>
      <c r="O5" s="123" t="s">
        <v>644</v>
      </c>
      <c r="P5" s="95" t="e">
        <f>ABS(General!I11-General!I12)/SQRT(12)</f>
        <v>#VALUE!</v>
      </c>
      <c r="S5" s="22">
        <v>1</v>
      </c>
      <c r="T5" s="190" t="str">
        <f>'BD Patron'!C15</f>
        <v>NI-MCPP-01</v>
      </c>
      <c r="U5" s="189">
        <f>IFERROR(LOOKUP(T5,tblBD_Patrones[Código Patrón],tblBD_Patrones[min.])*coef_unidad,"")</f>
        <v>-0.81659999999999999</v>
      </c>
      <c r="V5" s="189">
        <f>IFERROR(LOOKUP(T5,tblBD_Patrones[Código Patrón],tblBD_Patrones[max.])*coef_unidad,"")</f>
        <v>13.61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435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7"/>
      <c r="AS5" s="27"/>
      <c r="AT5" s="27"/>
      <c r="AU5" s="27"/>
      <c r="AV5" s="27"/>
      <c r="AY5" s="220"/>
      <c r="AZ5" s="220"/>
      <c r="BA5" s="220"/>
      <c r="BB5" s="220"/>
      <c r="BC5" s="220"/>
      <c r="BG5" s="27"/>
    </row>
    <row r="6" spans="2:62" ht="14.4" customHeight="1" x14ac:dyDescent="0.3">
      <c r="B6" s="178" t="s">
        <v>551</v>
      </c>
      <c r="C6" s="153"/>
      <c r="D6" s="154"/>
      <c r="E6" s="189" t="str">
        <f>RangoMed_max</f>
        <v>16</v>
      </c>
      <c r="G6" s="178" t="s">
        <v>630</v>
      </c>
      <c r="H6" s="178"/>
      <c r="I6" s="64" t="str">
        <f>IFERROR(VLOOKUP(I5,tblBD_Patrones[[#All],[Código Patrón]:[Resolución '[psi']]],13,FALSE),"")</f>
        <v/>
      </c>
      <c r="K6" s="178" t="s">
        <v>642</v>
      </c>
      <c r="L6" s="178"/>
      <c r="M6" s="118">
        <v>1E-3</v>
      </c>
      <c r="O6" s="123" t="s">
        <v>645</v>
      </c>
      <c r="P6" s="95" t="e">
        <f>ABS(General!I16-General!I17)/SQRT(12)</f>
        <v>#VALUE!</v>
      </c>
      <c r="S6" s="22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340.25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436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20"/>
      <c r="AZ6" s="220"/>
      <c r="BA6" s="220"/>
      <c r="BB6" s="220"/>
      <c r="BC6" s="220"/>
      <c r="BG6" s="27"/>
      <c r="BJ6" t="s">
        <v>771</v>
      </c>
    </row>
    <row r="7" spans="2:62" ht="14.4" customHeight="1" x14ac:dyDescent="0.3">
      <c r="B7" s="153" t="s">
        <v>668</v>
      </c>
      <c r="C7" s="217"/>
      <c r="D7" s="154"/>
      <c r="E7" s="218" t="e">
        <f>ResolInst/E6</f>
        <v>#VALUE!</v>
      </c>
      <c r="H7" s="155"/>
      <c r="O7" s="123" t="s">
        <v>647</v>
      </c>
      <c r="P7" s="69" t="e">
        <f>SQRT((POWER(P4/CertTempC,2)+POWER(P5/CertHR,2)+POWER(P6/CertPres,2))*POWER(P3,2))</f>
        <v>#VALUE!</v>
      </c>
      <c r="S7" s="22">
        <v>3</v>
      </c>
      <c r="T7" s="190" t="str">
        <f>'BD Patron'!C17</f>
        <v>NI-MCPP-04</v>
      </c>
      <c r="U7" s="189">
        <f>IFERROR(LOOKUP(T7,tblBD_Patrones[Código Patrón],tblBD_Patrones[min.])*coef_unidad,"")</f>
        <v>4.0830000000000002</v>
      </c>
      <c r="V7" s="189">
        <f>IFERROR(LOOKUP(T7,tblBD_Patrones[Código Patrón],tblBD_Patrones[max.])*coef_unidad,"")</f>
        <v>61.244999999999997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438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7"/>
      <c r="BJ7" t="s">
        <v>1118</v>
      </c>
    </row>
    <row r="8" spans="2:62" ht="15" x14ac:dyDescent="0.3">
      <c r="B8" s="153" t="s">
        <v>386</v>
      </c>
      <c r="C8" s="154"/>
      <c r="D8" s="94">
        <f>INDEX(M37:Q50,MATCH(E8,M37:M50,0),2)</f>
        <v>6.8049999999999999E-2</v>
      </c>
      <c r="E8" s="157" t="str">
        <f>General!F16</f>
        <v>atm</v>
      </c>
      <c r="G8" s="209"/>
      <c r="H8" s="209"/>
      <c r="I8" s="209"/>
      <c r="T8" s="3" t="s">
        <v>613</v>
      </c>
      <c r="U8" s="3"/>
      <c r="AE8" s="68" t="s">
        <v>437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1" t="s">
        <v>515</v>
      </c>
      <c r="E9" s="122" t="e">
        <f>LEN(MOD(ABS(DivEscala),1))-1-(MOD(DivEscala,1)&gt;0)</f>
        <v>#VALUE!</v>
      </c>
      <c r="V9" s="3"/>
      <c r="W9" s="3"/>
      <c r="X9" s="3"/>
      <c r="Y9" s="3"/>
      <c r="AA9" s="3"/>
      <c r="AB9" s="3"/>
      <c r="AC9" s="3"/>
      <c r="AE9" s="68" t="s">
        <v>439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3" t="s">
        <v>1114</v>
      </c>
      <c r="C10" s="217"/>
      <c r="D10" s="154"/>
      <c r="E10" s="303" t="s">
        <v>457</v>
      </c>
      <c r="F10" s="248"/>
      <c r="G10" s="248"/>
      <c r="H10" s="248"/>
      <c r="I10" s="248"/>
      <c r="J10" s="248"/>
      <c r="K10" s="249" t="s">
        <v>671</v>
      </c>
      <c r="L10" s="250" t="s">
        <v>672</v>
      </c>
      <c r="M10" s="247"/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674</v>
      </c>
      <c r="AS10" s="27">
        <v>0.34844000000000003</v>
      </c>
      <c r="AT10" s="223" t="s">
        <v>675</v>
      </c>
      <c r="AU10" s="27"/>
      <c r="AV10" s="27"/>
      <c r="BG10" s="27"/>
    </row>
    <row r="11" spans="2:62" ht="16.2" x14ac:dyDescent="0.3">
      <c r="C11" s="17" t="str">
        <f>CONCATENATE("Todo en [",unidad,"]")</f>
        <v>Todo en [atm]</v>
      </c>
      <c r="D11" s="247"/>
      <c r="E11" s="251" t="s">
        <v>669</v>
      </c>
      <c r="F11" s="251"/>
      <c r="G11" s="252" t="e">
        <f>IF(E3="Digital",2,IF(AND(E3="Analógico",E7&lt;=0.2),3,2))</f>
        <v>#VALUE!</v>
      </c>
      <c r="H11" s="248"/>
      <c r="I11" s="251" t="s">
        <v>670</v>
      </c>
      <c r="J11" s="251"/>
      <c r="K11" s="252" t="e">
        <f>IF(E3="Digital",0,IF(AND(E3="Analógico",E7&lt;=0.6),8,IF(AND(E3="Analógico",E7&gt;0.6,E7&lt;4),5,3)))</f>
        <v>#VALUE!</v>
      </c>
      <c r="L11" s="253">
        <f>IF(E3="Analógico",0,IF(AND(E3="Digital",E7&lt;=0.1),15,IF(AND(E3="Digital",E7&gt;0.1,E7&lt;0.25),10,IF(AND(E3="Digital",E7&gt;=0.25,E7&lt;2),5,3))))</f>
        <v>0</v>
      </c>
      <c r="M11" s="247"/>
      <c r="AE11" s="68" t="s">
        <v>440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676</v>
      </c>
      <c r="AS11" s="27">
        <v>-2.5200000000000001E-3</v>
      </c>
      <c r="AT11" s="223" t="s">
        <v>677</v>
      </c>
      <c r="AU11" s="27"/>
      <c r="AV11" s="27"/>
    </row>
    <row r="12" spans="2:62" ht="16.2" x14ac:dyDescent="0.3">
      <c r="C12" s="337" t="s">
        <v>587</v>
      </c>
      <c r="D12" s="337"/>
      <c r="E12" s="337"/>
      <c r="F12" s="337"/>
      <c r="G12" s="337" t="s">
        <v>586</v>
      </c>
      <c r="H12" s="337"/>
      <c r="I12" s="337"/>
      <c r="J12" s="337"/>
      <c r="K12" s="337" t="s">
        <v>588</v>
      </c>
      <c r="L12" s="337"/>
      <c r="M12" s="337"/>
      <c r="N12" s="337"/>
      <c r="AE12" s="30"/>
      <c r="AF12" s="3"/>
      <c r="AG12" s="3"/>
      <c r="AH12" s="3"/>
      <c r="AI12" s="3"/>
      <c r="AJ12" s="3"/>
      <c r="AK12" s="3"/>
      <c r="AR12" s="222" t="s">
        <v>678</v>
      </c>
      <c r="AS12" s="27">
        <v>2.0582E-2</v>
      </c>
      <c r="AT12" s="223" t="s">
        <v>679</v>
      </c>
      <c r="AU12" s="27"/>
      <c r="AV12" s="27"/>
    </row>
    <row r="13" spans="2:62" x14ac:dyDescent="0.3">
      <c r="B13" s="183" t="s">
        <v>32</v>
      </c>
      <c r="C13" s="336" t="s">
        <v>589</v>
      </c>
      <c r="D13" s="336"/>
      <c r="E13" s="336" t="s">
        <v>590</v>
      </c>
      <c r="F13" s="336"/>
      <c r="G13" s="336" t="s">
        <v>591</v>
      </c>
      <c r="H13" s="336"/>
      <c r="I13" s="336" t="s">
        <v>592</v>
      </c>
      <c r="J13" s="336"/>
      <c r="K13" s="336" t="s">
        <v>593</v>
      </c>
      <c r="L13" s="336"/>
      <c r="M13" s="336" t="s">
        <v>594</v>
      </c>
      <c r="N13" s="336"/>
      <c r="S13" s="17" t="str">
        <f>CONCATENATE("Todo en [",unidad,"]")</f>
        <v>Todo en [atm]</v>
      </c>
      <c r="T13" s="17"/>
      <c r="U13" s="48" t="s">
        <v>535</v>
      </c>
      <c r="Y13" s="48" t="s">
        <v>608</v>
      </c>
      <c r="Z13" s="181" t="s">
        <v>608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19" t="s">
        <v>389</v>
      </c>
      <c r="D14" s="119" t="s">
        <v>366</v>
      </c>
      <c r="E14" s="119" t="s">
        <v>389</v>
      </c>
      <c r="F14" s="119" t="s">
        <v>366</v>
      </c>
      <c r="G14" s="119" t="s">
        <v>389</v>
      </c>
      <c r="H14" s="119" t="s">
        <v>366</v>
      </c>
      <c r="I14" s="119" t="s">
        <v>389</v>
      </c>
      <c r="J14" s="119" t="s">
        <v>366</v>
      </c>
      <c r="K14" s="119" t="s">
        <v>389</v>
      </c>
      <c r="L14" s="119" t="s">
        <v>366</v>
      </c>
      <c r="M14" s="119" t="s">
        <v>389</v>
      </c>
      <c r="N14" s="193" t="s">
        <v>366</v>
      </c>
      <c r="O14" s="194" t="s">
        <v>619</v>
      </c>
      <c r="P14" s="119" t="s">
        <v>620</v>
      </c>
      <c r="Q14" s="119" t="s">
        <v>659</v>
      </c>
      <c r="S14" s="78" t="s">
        <v>370</v>
      </c>
      <c r="T14" s="79" t="s">
        <v>390</v>
      </c>
      <c r="U14" s="80" t="s">
        <v>537</v>
      </c>
      <c r="V14" s="148" t="s">
        <v>391</v>
      </c>
      <c r="W14" s="148" t="s">
        <v>392</v>
      </c>
      <c r="X14" s="148" t="s">
        <v>507</v>
      </c>
      <c r="Y14" s="80" t="s">
        <v>536</v>
      </c>
      <c r="Z14" s="148" t="s">
        <v>428</v>
      </c>
      <c r="AA14" s="148" t="s">
        <v>534</v>
      </c>
      <c r="AB14" s="148" t="s">
        <v>533</v>
      </c>
      <c r="AE14" s="17" t="s">
        <v>663</v>
      </c>
      <c r="AF14" s="17"/>
      <c r="AG14" s="17"/>
      <c r="AH14" s="17"/>
      <c r="AI14" s="17" t="str">
        <f>CONCATENATE("[Todo en ", unidad,"]")</f>
        <v>[Todo en atm]</v>
      </c>
      <c r="AJ14" s="17"/>
    </row>
    <row r="15" spans="2:62" x14ac:dyDescent="0.3">
      <c r="B15" s="22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 t="e">
        <f>($E$7)*$E$6</f>
        <v>#VALUE!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4" t="str">
        <f ca="1">IFERROR(tblResultCalib[[#This Row],[Promedio Patrón]]+tblResultCalib[[#This Row],[Corrección patrón]],"")</f>
        <v/>
      </c>
      <c r="W15" s="150" t="str">
        <f t="shared" ref="W15:W29" ca="1" si="1">IFERROR(AVERAGEIFS(C15:N15,OFFSET($C$15:$N$15,-1,0),"=Equipo",C15:N15,"&lt;&gt;0"),"")</f>
        <v/>
      </c>
      <c r="X15" s="146" t="str">
        <f ca="1">IFERROR(tblResultCalib[[#This Row],[Patrón corregido]]-tblResultCalib[[#This Row],[Promedio equipo]],"")</f>
        <v/>
      </c>
      <c r="Y15" s="146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6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 t="e">
        <f t="shared" ref="Q16:Q29" si="4">($E$7)*$E$6</f>
        <v>#VALUE!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55" t="str">
        <f ca="1">IFERROR(tblResultCalib[[#This Row],[Promedio Patrón]]+tblResultCalib[[#This Row],[Corrección patrón]],"")</f>
        <v/>
      </c>
      <c r="W16" s="151" t="str">
        <f t="shared" ca="1" si="1"/>
        <v/>
      </c>
      <c r="X16" s="145" t="str">
        <f ca="1">IFERROR(tblResultCalib[[#This Row],[Patrón corregido]]-tblResultCalib[[#This Row],[Promedio equipo]],"")</f>
        <v/>
      </c>
      <c r="Y16" s="146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6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 t="e">
        <f t="shared" si="4"/>
        <v>#VALUE!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55" t="str">
        <f ca="1">IFERROR(tblResultCalib[[#This Row],[Promedio Patrón]]+tblResultCalib[[#This Row],[Corrección patrón]],"")</f>
        <v/>
      </c>
      <c r="W17" s="151" t="str">
        <f t="shared" ca="1" si="1"/>
        <v/>
      </c>
      <c r="X17" s="145" t="str">
        <f ca="1">IFERROR(tblResultCalib[[#This Row],[Patrón corregido]]-tblResultCalib[[#This Row],[Promedio equipo]],"")</f>
        <v/>
      </c>
      <c r="Y17" s="146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6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435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2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 t="e">
        <f t="shared" si="4"/>
        <v>#VALUE!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55" t="str">
        <f ca="1">IFERROR(tblResultCalib[[#This Row],[Promedio Patrón]]+tblResultCalib[[#This Row],[Corrección patrón]],"")</f>
        <v/>
      </c>
      <c r="W18" s="151" t="str">
        <f t="shared" ca="1" si="1"/>
        <v/>
      </c>
      <c r="X18" s="145" t="str">
        <f ca="1">IFERROR(tblResultCalib[[#This Row],[Patrón corregido]]-tblResultCalib[[#This Row],[Promedio equipo]],"")</f>
        <v/>
      </c>
      <c r="Y18" s="146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6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436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 t="e">
        <f t="shared" si="4"/>
        <v>#VALUE!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55" t="str">
        <f ca="1">IFERROR(tblResultCalib[[#This Row],[Promedio Patrón]]+tblResultCalib[[#This Row],[Corrección patrón]],"")</f>
        <v/>
      </c>
      <c r="W19" s="151" t="str">
        <f t="shared" ca="1" si="1"/>
        <v/>
      </c>
      <c r="X19" s="145" t="str">
        <f ca="1">IFERROR(tblResultCalib[[#This Row],[Patrón corregido]]-tblResultCalib[[#This Row],[Promedio equipo]],"")</f>
        <v/>
      </c>
      <c r="Y19" s="146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6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438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 t="e">
        <f t="shared" si="4"/>
        <v>#VALUE!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55" t="str">
        <f ca="1">IFERROR(tblResultCalib[[#This Row],[Promedio Patrón]]+tblResultCalib[[#This Row],[Corrección patrón]],"")</f>
        <v/>
      </c>
      <c r="W20" s="151" t="str">
        <f t="shared" ca="1" si="1"/>
        <v/>
      </c>
      <c r="X20" s="145" t="str">
        <f ca="1">IFERROR(tblResultCalib[[#This Row],[Patrón corregido]]-tblResultCalib[[#This Row],[Promedio equipo]],"")</f>
        <v/>
      </c>
      <c r="Y20" s="146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6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437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 t="e">
        <f t="shared" si="4"/>
        <v>#VALUE!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55" t="str">
        <f ca="1">IFERROR(tblResultCalib[[#This Row],[Promedio Patrón]]+tblResultCalib[[#This Row],[Corrección patrón]],"")</f>
        <v/>
      </c>
      <c r="W21" s="151" t="str">
        <f t="shared" ca="1" si="1"/>
        <v/>
      </c>
      <c r="X21" s="145" t="str">
        <f ca="1">IFERROR(tblResultCalib[[#This Row],[Patrón corregido]]-tblResultCalib[[#This Row],[Promedio equipo]],"")</f>
        <v/>
      </c>
      <c r="Y21" s="146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6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439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1"/>
      <c r="D22" s="221"/>
      <c r="E22" s="221"/>
      <c r="F22" s="221"/>
      <c r="G22" s="221"/>
      <c r="H22" s="221"/>
      <c r="I22" s="198"/>
      <c r="J22" s="198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 t="e">
        <f t="shared" si="4"/>
        <v>#VALUE!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1" t="str">
        <f ca="1">IFERROR(tblResultCalib[[#This Row],[Promedio Patrón]]+tblResultCalib[[#This Row],[Corrección patrón]],"")</f>
        <v/>
      </c>
      <c r="W22" s="151" t="str">
        <f t="shared" ca="1" si="1"/>
        <v/>
      </c>
      <c r="X22" s="145" t="str">
        <f ca="1">IFERROR(tblResultCalib[[#This Row],[Patrón corregido]]-tblResultCalib[[#This Row],[Promedio equipo]],"")</f>
        <v/>
      </c>
      <c r="Y22" s="145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6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440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2">
        <v>9</v>
      </c>
      <c r="C23" s="221"/>
      <c r="D23" s="221"/>
      <c r="E23" s="221"/>
      <c r="F23" s="221"/>
      <c r="G23" s="221"/>
      <c r="H23" s="221"/>
      <c r="I23" s="198"/>
      <c r="J23" s="198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 t="e">
        <f t="shared" si="4"/>
        <v>#VALUE!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1" t="str">
        <f ca="1">IFERROR(tblResultCalib[[#This Row],[Promedio Patrón]]+tblResultCalib[[#This Row],[Corrección patrón]],"")</f>
        <v/>
      </c>
      <c r="W23" s="151" t="str">
        <f t="shared" ca="1" si="1"/>
        <v/>
      </c>
      <c r="X23" s="145" t="str">
        <f ca="1">IFERROR(tblResultCalib[[#This Row],[Patrón corregido]]-tblResultCalib[[#This Row],[Promedio equipo]],"")</f>
        <v/>
      </c>
      <c r="Y23" s="145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6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 t="e">
        <f t="shared" si="4"/>
        <v>#VALUE!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2" t="str">
        <f ca="1">IFERROR(tblResultCalib[[#This Row],[Promedio Patrón]]+tblResultCalib[[#This Row],[Corrección patrón]],"")</f>
        <v/>
      </c>
      <c r="W24" s="152" t="str">
        <f t="shared" ca="1" si="1"/>
        <v/>
      </c>
      <c r="X24" s="147" t="str">
        <f ca="1">IFERROR(tblResultCalib[[#This Row],[Patrón corregido]]-tblResultCalib[[#This Row],[Promedio equipo]],"")</f>
        <v/>
      </c>
      <c r="Y24" s="147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5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1"/>
      <c r="D25" s="241"/>
      <c r="E25" s="241"/>
      <c r="F25" s="241"/>
      <c r="G25" s="241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 t="e">
        <f t="shared" si="4"/>
        <v>#VALUE!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664</v>
      </c>
      <c r="AF25" s="17"/>
      <c r="AG25" s="17"/>
      <c r="AH25" s="17"/>
      <c r="AI25" s="17" t="str">
        <f>CONCATENATE("[Todo en ", unidad,"]")</f>
        <v>[Todo en atm]</v>
      </c>
      <c r="AJ25" s="17"/>
    </row>
    <row r="26" spans="2:41" x14ac:dyDescent="0.3">
      <c r="B26" s="22">
        <v>12</v>
      </c>
      <c r="C26" s="241"/>
      <c r="D26" s="241"/>
      <c r="E26" s="241"/>
      <c r="F26" s="241"/>
      <c r="G26" s="241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 t="e">
        <f t="shared" si="4"/>
        <v>#VALUE!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1"/>
      <c r="D27" s="241"/>
      <c r="E27" s="241"/>
      <c r="F27" s="241"/>
      <c r="G27" s="241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 t="e">
        <f t="shared" si="4"/>
        <v>#VALUE!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1"/>
      <c r="D28" s="241"/>
      <c r="E28" s="241"/>
      <c r="F28" s="241"/>
      <c r="G28" s="241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 t="e">
        <f t="shared" si="4"/>
        <v>#VALUE!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435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2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 t="e">
        <f t="shared" si="4"/>
        <v>#VALUE!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436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438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437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439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09"/>
      <c r="M33" s="209"/>
      <c r="S33" s="17"/>
      <c r="T33" s="17" t="s">
        <v>649</v>
      </c>
      <c r="U33" s="17"/>
      <c r="V33" s="17"/>
      <c r="W33" s="17" t="str">
        <f>CONCATENATE("[Todo en ", unidad,"]")</f>
        <v>[Todo en atm]</v>
      </c>
      <c r="Y33" s="17" t="s">
        <v>650</v>
      </c>
      <c r="Z33" s="17"/>
      <c r="AA33" s="17"/>
      <c r="AB33" s="17" t="str">
        <f>CONCATENATE("[Todo en ", unidad,"]")</f>
        <v>[Todo en atm]</v>
      </c>
      <c r="AE33" s="68" t="s">
        <v>440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621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0" t="s">
        <v>631</v>
      </c>
      <c r="D36" s="70" t="s">
        <v>632</v>
      </c>
      <c r="E36" s="70" t="s">
        <v>364</v>
      </c>
      <c r="F36" s="99" t="s">
        <v>442</v>
      </c>
      <c r="G36" s="96" t="s">
        <v>631</v>
      </c>
      <c r="H36" s="70" t="s">
        <v>632</v>
      </c>
      <c r="I36" s="70" t="s">
        <v>364</v>
      </c>
      <c r="J36" s="70" t="s">
        <v>442</v>
      </c>
      <c r="K36" s="70" t="s">
        <v>538</v>
      </c>
      <c r="M36" s="70" t="s">
        <v>409</v>
      </c>
      <c r="N36" s="49" t="s">
        <v>667</v>
      </c>
      <c r="O36" s="70" t="s">
        <v>543</v>
      </c>
      <c r="P36" s="70" t="s">
        <v>544</v>
      </c>
      <c r="Q36" s="70" t="s">
        <v>609</v>
      </c>
      <c r="S36" s="31" t="s">
        <v>370</v>
      </c>
      <c r="T36" s="47" t="s">
        <v>651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651</v>
      </c>
      <c r="AA36" s="47" t="s">
        <v>508</v>
      </c>
      <c r="AB36" s="47" t="s">
        <v>509</v>
      </c>
      <c r="AC36" s="47" t="s">
        <v>428</v>
      </c>
      <c r="AE36" s="17" t="s">
        <v>665</v>
      </c>
      <c r="AF36" s="17"/>
      <c r="AG36" s="17"/>
      <c r="AH36" s="17"/>
      <c r="AI36" s="17" t="str">
        <f>CONCATENATE("[Todo en ", unidad,"]")</f>
        <v>[Todo en atm]</v>
      </c>
      <c r="AJ36" s="17"/>
    </row>
    <row r="37" spans="2:41" x14ac:dyDescent="0.3">
      <c r="C37" s="48" t="str">
        <f>unidad</f>
        <v>atm</v>
      </c>
      <c r="D37" s="48" t="str">
        <f>unidad</f>
        <v>atm</v>
      </c>
      <c r="E37" s="48" t="str">
        <f>unidad</f>
        <v>atm</v>
      </c>
      <c r="F37" s="100" t="str">
        <f>unidad</f>
        <v>atm</v>
      </c>
      <c r="G37" s="97" t="s">
        <v>609</v>
      </c>
      <c r="H37" s="48" t="s">
        <v>609</v>
      </c>
      <c r="I37" s="48" t="s">
        <v>609</v>
      </c>
      <c r="J37" s="48" t="s">
        <v>609</v>
      </c>
      <c r="K37" s="48" t="str">
        <f>unidad</f>
        <v>atm</v>
      </c>
      <c r="M37" s="201" t="s">
        <v>543</v>
      </c>
      <c r="N37" s="197">
        <v>1</v>
      </c>
      <c r="O37" s="197">
        <v>1</v>
      </c>
      <c r="P37" s="197">
        <v>6.8947599999999998E-2</v>
      </c>
      <c r="Q37" s="29">
        <v>6.8947570000000002</v>
      </c>
      <c r="S37" s="22">
        <v>1</v>
      </c>
      <c r="T37" s="195">
        <f>INDEX(Cert_patrones[[#All],[Código Patrón]:[Deriva]],MATCH($U$35,Cert_patrones[Código Patrón],0)+S37,3)*coef_unidad</f>
        <v>-0.80299000000000009</v>
      </c>
      <c r="U37" s="195">
        <f>INDEX(Cert_patrones[[#All],[Código Patrón]:[Deriva]],MATCH($U$35,Cert_patrones[Código Patrón],0)+S37,4)*coef_unidad</f>
        <v>3.2664E-3</v>
      </c>
      <c r="V37" s="195">
        <f>INDEX(Cert_patrones[[#All],[Código Patrón]:[Deriva]],MATCH($U$35,Cert_patrones[Código Patrón],0)+S37,5)*coef_unidad</f>
        <v>4.0149499999999998E-3</v>
      </c>
      <c r="W37" s="195">
        <f>INDEX(Cert_patrones[[#All],[Código Patrón]:[Deriva]],MATCH($U$35,Cert_patrones[Código Patrón],0)+S37,9)*coef_unidad</f>
        <v>3.2664E-3</v>
      </c>
      <c r="Y37" s="22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6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544</v>
      </c>
      <c r="N38" s="197">
        <v>6.8947999999999995E-2</v>
      </c>
      <c r="O38" s="197">
        <v>6.8947999999999995E-2</v>
      </c>
      <c r="P38" s="197">
        <v>1</v>
      </c>
      <c r="Q38" s="29">
        <v>100</v>
      </c>
      <c r="S38" s="22">
        <v>2</v>
      </c>
      <c r="T38" s="196">
        <f>INDEX(Cert_patrones[[#All],[Código Patrón]:[Deriva]],MATCH($U$35,Cert_patrones[Código Patrón],0)+S38,3)*coef_unidad</f>
        <v>-0.68049999999999999</v>
      </c>
      <c r="U38" s="196">
        <f>INDEX(Cert_patrones[[#All],[Código Patrón]:[Deriva]],MATCH($U$35,Cert_patrones[Código Patrón],0)+S38,4)*coef_unidad</f>
        <v>1.9734500000000003E-3</v>
      </c>
      <c r="V38" s="196">
        <f>INDEX(Cert_patrones[[#All],[Código Patrón]:[Deriva]],MATCH($U$35,Cert_patrones[Código Patrón],0)+S38,5)*coef_unidad</f>
        <v>4.0149499999999998E-3</v>
      </c>
      <c r="W38" s="196">
        <f>INDEX(Cert_patrones[[#All],[Código Patrón]:[Deriva]],MATCH($U$35,Cert_patrones[Código Patrón],0)+S38,9)*coef_unidad</f>
        <v>1.9734500000000003E-3</v>
      </c>
      <c r="Y38" s="22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6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545</v>
      </c>
      <c r="N39" s="197">
        <v>6894.7573000000002</v>
      </c>
      <c r="O39" s="197">
        <v>6894.7573000000002</v>
      </c>
      <c r="P39" s="197">
        <v>1.0000000000000001E-5</v>
      </c>
      <c r="Q39" s="29">
        <v>1E-3</v>
      </c>
      <c r="S39" s="22">
        <v>3</v>
      </c>
      <c r="T39" s="196">
        <f>INDEX(Cert_patrones[[#All],[Código Patrón]:[Deriva]],MATCH($U$35,Cert_patrones[Código Patrón],0)+S39,3)*coef_unidad</f>
        <v>-0.4083</v>
      </c>
      <c r="U39" s="196">
        <f>INDEX(Cert_patrones[[#All],[Código Patrón]:[Deriva]],MATCH($U$35,Cert_patrones[Código Patrón],0)+S39,4)*coef_unidad</f>
        <v>1.1568500000000001E-3</v>
      </c>
      <c r="V39" s="196">
        <f>INDEX(Cert_patrones[[#All],[Código Patrón]:[Deriva]],MATCH($U$35,Cert_patrones[Código Patrón],0)+S39,5)*coef_unidad</f>
        <v>4.4232500000000001E-3</v>
      </c>
      <c r="W39" s="196">
        <f>INDEX(Cert_patrones[[#All],[Código Patrón]:[Deriva]],MATCH($U$35,Cert_patrones[Código Patrón],0)+S39,9)*coef_unidad</f>
        <v>1.1568500000000001E-3</v>
      </c>
      <c r="Y39" s="22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435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6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609</v>
      </c>
      <c r="N40" s="197">
        <v>6.8948</v>
      </c>
      <c r="O40" s="197">
        <v>6.8948</v>
      </c>
      <c r="P40" s="197">
        <v>0.01</v>
      </c>
      <c r="Q40" s="29">
        <v>1</v>
      </c>
      <c r="S40" s="22">
        <v>4</v>
      </c>
      <c r="T40" s="196">
        <f>INDEX(Cert_patrones[[#All],[Código Patrón]:[Deriva]],MATCH($U$35,Cert_patrones[Código Patrón],0)+S40,3)*coef_unidad</f>
        <v>0</v>
      </c>
      <c r="U40" s="196">
        <f>INDEX(Cert_patrones[[#All],[Código Patrón]:[Deriva]],MATCH($U$35,Cert_patrones[Código Patrón],0)+S40,4)*coef_unidad</f>
        <v>2.0415E-4</v>
      </c>
      <c r="V40" s="196">
        <f>INDEX(Cert_patrones[[#All],[Código Patrón]:[Deriva]],MATCH($U$35,Cert_patrones[Código Patrón],0)+S40,5)*coef_unidad</f>
        <v>4.0149499999999998E-3</v>
      </c>
      <c r="W40" s="196">
        <f>INDEX(Cert_patrones[[#All],[Código Patrón]:[Deriva]],MATCH($U$35,Cert_patrones[Código Patrón],0)+S40,9)*coef_unidad</f>
        <v>7.9618499999999993E-4</v>
      </c>
      <c r="Y40" s="22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436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6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546</v>
      </c>
      <c r="N41" s="197">
        <v>68.947999999999993</v>
      </c>
      <c r="O41" s="197">
        <v>68.947999999999993</v>
      </c>
      <c r="P41" s="197">
        <v>1E-3</v>
      </c>
      <c r="Q41" s="29">
        <v>0.01</v>
      </c>
      <c r="S41" s="22">
        <v>5</v>
      </c>
      <c r="T41" s="196">
        <f>INDEX(Cert_patrones[[#All],[Código Patrón]:[Deriva]],MATCH($U$35,Cert_patrones[Código Patrón],0)+S41,3)*coef_unidad</f>
        <v>3.4024999999999999</v>
      </c>
      <c r="U41" s="196">
        <f>INDEX(Cert_patrones[[#All],[Código Patrón]:[Deriva]],MATCH($U$35,Cert_patrones[Código Patrón],0)+S41,4)*coef_unidad</f>
        <v>-1.29295E-3</v>
      </c>
      <c r="V41" s="196">
        <f>INDEX(Cert_patrones[[#All],[Código Patrón]:[Deriva]],MATCH($U$35,Cert_patrones[Código Patrón],0)+S41,5)*coef_unidad</f>
        <v>4.28715E-3</v>
      </c>
      <c r="W41" s="196">
        <f>INDEX(Cert_patrones[[#All],[Código Patrón]:[Deriva]],MATCH($U$35,Cert_patrones[Código Patrón],0)+S41,9)*coef_unidad</f>
        <v>9.9352999999999985E-4</v>
      </c>
      <c r="Y41" s="22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438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6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769</v>
      </c>
      <c r="N42" s="197">
        <v>6.8948000000000004E-3</v>
      </c>
      <c r="O42" s="197">
        <v>6.8948000000000004E-3</v>
      </c>
      <c r="P42" s="197">
        <v>10</v>
      </c>
      <c r="Q42" s="29">
        <v>1000</v>
      </c>
      <c r="S42" s="22">
        <v>6</v>
      </c>
      <c r="T42" s="196">
        <f>INDEX(Cert_patrones[[#All],[Código Patrón]:[Deriva]],MATCH($U$35,Cert_patrones[Código Patrón],0)+S42,3)*coef_unidad</f>
        <v>6.8049999999999997</v>
      </c>
      <c r="U42" s="196">
        <f>INDEX(Cert_patrones[[#All],[Código Patrón]:[Deriva]],MATCH($U$35,Cert_patrones[Código Patrón],0)+S42,4)*coef_unidad</f>
        <v>-1.02075E-3</v>
      </c>
      <c r="V42" s="196">
        <f>INDEX(Cert_patrones[[#All],[Código Patrón]:[Deriva]],MATCH($U$35,Cert_patrones[Código Patrón],0)+S42,5)*coef_unidad</f>
        <v>4.0149499999999998E-3</v>
      </c>
      <c r="W42" s="196">
        <f>INDEX(Cert_patrones[[#All],[Código Patrón]:[Deriva]],MATCH($U$35,Cert_patrones[Código Patrón],0)+S42,9)*coef_unidad</f>
        <v>2.3137E-4</v>
      </c>
      <c r="Y42" s="22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437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6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786</v>
      </c>
      <c r="N43" s="197">
        <v>7.0309999999999997E-2</v>
      </c>
      <c r="O43" s="197">
        <v>7.0309999999999997E-2</v>
      </c>
      <c r="P43" s="197">
        <v>0.98066500000000001</v>
      </c>
      <c r="Q43" s="29">
        <v>98.066500000000005</v>
      </c>
      <c r="S43" s="22">
        <v>7</v>
      </c>
      <c r="T43" s="196">
        <f>INDEX(Cert_patrones[[#All],[Código Patrón]:[Deriva]],MATCH($U$35,Cert_patrones[Código Patrón],0)+S43,3)*coef_unidad</f>
        <v>13.61</v>
      </c>
      <c r="U43" s="196">
        <f>INDEX(Cert_patrones[[#All],[Código Patrón]:[Deriva]],MATCH($U$35,Cert_patrones[Código Patrón],0)+S43,4)*coef_unidad</f>
        <v>-4.7635E-4</v>
      </c>
      <c r="V43" s="196">
        <f>INDEX(Cert_patrones[[#All],[Código Patrón]:[Deriva]],MATCH($U$35,Cert_patrones[Código Patrón],0)+S43,5)*coef_unidad</f>
        <v>4.0829999999999998E-3</v>
      </c>
      <c r="W43" s="196">
        <f>INDEX(Cert_patrones[[#All],[Código Patrón]:[Deriva]],MATCH($U$35,Cert_patrones[Código Patrón],0)+S43,9)*coef_unidad</f>
        <v>1.2044849999999999E-3</v>
      </c>
      <c r="Y43" s="22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439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6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623</v>
      </c>
      <c r="N44" s="197">
        <v>2.036</v>
      </c>
      <c r="O44" s="197">
        <v>2.036</v>
      </c>
      <c r="P44" s="197">
        <v>3.3863900000000002E-2</v>
      </c>
      <c r="Q44" s="29">
        <v>3.38639</v>
      </c>
      <c r="S44" s="22">
        <v>8</v>
      </c>
      <c r="T44" s="196">
        <f>INDEX(Cert_patrones[[#All],[Código Patrón]:[Deriva]],MATCH($U$35,Cert_patrones[Código Patrón],0)+S44,3)*coef_unidad</f>
        <v>27.22</v>
      </c>
      <c r="U44" s="196">
        <f>INDEX(Cert_patrones[[#All],[Código Patrón]:[Deriva]],MATCH($U$35,Cert_patrones[Código Patrón],0)+S44,4)*coef_unidad</f>
        <v>-2.8581000000000001E-3</v>
      </c>
      <c r="V44" s="196">
        <f>INDEX(Cert_patrones[[#All],[Código Patrón]:[Deriva]],MATCH($U$35,Cert_patrones[Código Patrón],0)+S44,5)*coef_unidad</f>
        <v>4.5593500000000002E-3</v>
      </c>
      <c r="W44" s="196">
        <f>INDEX(Cert_patrones[[#All],[Código Patrón]:[Deriva]],MATCH($U$35,Cert_patrones[Código Patrón],0)+S44,9)*coef_unidad</f>
        <v>1.0888E-3</v>
      </c>
      <c r="Y44" s="22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440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6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624</v>
      </c>
      <c r="N45" s="197">
        <v>51.7149</v>
      </c>
      <c r="O45" s="197">
        <v>51.7149</v>
      </c>
      <c r="P45" s="197">
        <v>1.333E-3</v>
      </c>
      <c r="Q45" s="29">
        <v>0.133322</v>
      </c>
      <c r="S45" s="22">
        <v>9</v>
      </c>
      <c r="T45" s="196">
        <f>INDEX(Cert_patrones[[#All],[Código Patrón]:[Deriva]],MATCH($U$35,Cert_patrones[Código Patrón],0)+S45,3)*coef_unidad</f>
        <v>40.83</v>
      </c>
      <c r="U45" s="196">
        <f>INDEX(Cert_patrones[[#All],[Código Patrón]:[Deriva]],MATCH($U$35,Cert_patrones[Código Patrón],0)+S45,4)*coef_unidad</f>
        <v>-3.4025000000000001E-3</v>
      </c>
      <c r="V45" s="196">
        <f>INDEX(Cert_patrones[[#All],[Código Patrón]:[Deriva]],MATCH($U$35,Cert_patrones[Código Patrón],0)+S45,5)*coef_unidad</f>
        <v>8.1659999999999996E-3</v>
      </c>
      <c r="W45" s="196">
        <f>INDEX(Cert_patrones[[#All],[Código Patrón]:[Deriva]],MATCH($U$35,Cert_patrones[Código Patrón],0)+S45,9)*coef_unidad</f>
        <v>1.5311249999999995E-3</v>
      </c>
      <c r="Y45" s="22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6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625</v>
      </c>
      <c r="N46" s="197">
        <v>5.1710000000000003</v>
      </c>
      <c r="O46" s="197">
        <v>5.1710000000000003</v>
      </c>
      <c r="P46" s="29">
        <v>1.333E-2</v>
      </c>
      <c r="Q46" s="29">
        <v>1.3332200000000001</v>
      </c>
      <c r="S46" s="22">
        <v>10</v>
      </c>
      <c r="T46" s="196">
        <f>INDEX(Cert_patrones[[#All],[Código Patrón]:[Deriva]],MATCH($U$35,Cert_patrones[Código Patrón],0)+S46,3)*coef_unidad</f>
        <v>54.44</v>
      </c>
      <c r="U46" s="196">
        <f>INDEX(Cert_patrones[[#All],[Código Patrón]:[Deriva]],MATCH($U$35,Cert_patrones[Código Patrón],0)+S46,4)*coef_unidad</f>
        <v>-1.02075E-2</v>
      </c>
      <c r="V46" s="196">
        <f>INDEX(Cert_patrones[[#All],[Código Patrón]:[Deriva]],MATCH($U$35,Cert_patrones[Código Patrón],0)+S46,5)*coef_unidad</f>
        <v>7.4855E-3</v>
      </c>
      <c r="W46" s="196">
        <f>INDEX(Cert_patrones[[#All],[Código Patrón]:[Deriva]],MATCH($U$35,Cert_patrones[Código Patrón],0)+S46,9)*coef_unidad</f>
        <v>6.0224249999999997E-3</v>
      </c>
      <c r="Y46" s="22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6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788</v>
      </c>
      <c r="N47" s="197">
        <v>703.06960000000004</v>
      </c>
      <c r="O47" s="197">
        <v>703.06960000000004</v>
      </c>
      <c r="P47" s="197">
        <v>9.7999999999999997E-5</v>
      </c>
      <c r="Q47" s="29">
        <v>9.7999999999999997E-3</v>
      </c>
      <c r="S47" s="22">
        <v>11</v>
      </c>
      <c r="T47" s="196">
        <f>INDEX(Cert_patrones[[#All],[Código Patrón]:[Deriva]],MATCH($U$35,Cert_patrones[Código Patrón],0)+S47,3)*coef_unidad</f>
        <v>68.05</v>
      </c>
      <c r="U47" s="196">
        <f>INDEX(Cert_patrones[[#All],[Código Patrón]:[Deriva]],MATCH($U$35,Cert_patrones[Código Patrón],0)+S47,4)*coef_unidad</f>
        <v>-7.4855E-3</v>
      </c>
      <c r="V47" s="196">
        <f>INDEX(Cert_patrones[[#All],[Código Patrón]:[Deriva]],MATCH($U$35,Cert_patrones[Código Patrón],0)+S47,5)*coef_unidad</f>
        <v>8.1659999999999996E-3</v>
      </c>
      <c r="W47" s="196">
        <f>INDEX(Cert_patrones[[#All],[Código Patrón]:[Deriva]],MATCH($U$35,Cert_patrones[Código Patrón],0)+S47,9)*coef_unidad</f>
        <v>6.1585249999999998E-3</v>
      </c>
      <c r="Y47" s="22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7" t="s">
        <v>662</v>
      </c>
      <c r="AF47" s="17"/>
      <c r="AG47" s="17"/>
      <c r="AH47" s="17"/>
      <c r="AI47" s="17" t="str">
        <f>CONCATENATE("[Todo en ", unidad,"]")</f>
        <v>[Todo en atm]</v>
      </c>
      <c r="AJ47" s="17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6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789</v>
      </c>
      <c r="N48" s="197">
        <v>70.306960000000004</v>
      </c>
      <c r="O48" s="197">
        <v>70.306960000000004</v>
      </c>
      <c r="P48" s="197">
        <v>9.7999999999999997E-4</v>
      </c>
      <c r="Q48" s="29">
        <v>9.8000000000000004E-2</v>
      </c>
      <c r="S48" s="22">
        <v>12</v>
      </c>
      <c r="T48" s="196">
        <f>INDEX(Cert_patrones[[#All],[Código Patrón]:[Deriva]],MATCH($U$35,Cert_patrones[Código Patrón],0)+S48,3)*coef_unidad</f>
        <v>68.05</v>
      </c>
      <c r="U48" s="196">
        <f>INDEX(Cert_patrones[[#All],[Código Patrón]:[Deriva]],MATCH($U$35,Cert_patrones[Código Patrón],0)+S48,4)*coef_unidad</f>
        <v>-1.02075E-2</v>
      </c>
      <c r="V48" s="196">
        <f>INDEX(Cert_patrones[[#All],[Código Patrón]:[Deriva]],MATCH($U$35,Cert_patrones[Código Patrón],0)+S48,5)*coef_unidad</f>
        <v>8.1659999999999996E-3</v>
      </c>
      <c r="W48" s="196">
        <f>INDEX(Cert_patrones[[#All],[Código Patrón]:[Deriva]],MATCH($U$35,Cert_patrones[Código Patrón],0)+S48,9)*coef_unidad</f>
        <v>7.2745449999999994E-3</v>
      </c>
      <c r="Y48" s="22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6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790</v>
      </c>
      <c r="N49" s="197">
        <v>27.6799</v>
      </c>
      <c r="O49" s="197">
        <v>27.6799</v>
      </c>
      <c r="P49" s="197">
        <v>2.5000000000000001E-3</v>
      </c>
      <c r="Q49" s="29">
        <v>0.249089</v>
      </c>
      <c r="S49" s="22">
        <v>13</v>
      </c>
      <c r="T49" s="196">
        <f>INDEX(Cert_patrones[[#All],[Código Patrón]:[Deriva]],MATCH($U$35,Cert_patrones[Código Patrón],0)+S49,3)*coef_unidad</f>
        <v>54.44</v>
      </c>
      <c r="U49" s="196">
        <f>INDEX(Cert_patrones[[#All],[Código Patrón]:[Deriva]],MATCH($U$35,Cert_patrones[Código Patrón],0)+S49,4)*coef_unidad</f>
        <v>-6.8050000000000003E-3</v>
      </c>
      <c r="V49" s="196">
        <f>INDEX(Cert_patrones[[#All],[Código Patrón]:[Deriva]],MATCH($U$35,Cert_patrones[Código Patrón],0)+S49,5)*coef_unidad</f>
        <v>8.1659999999999996E-3</v>
      </c>
      <c r="W49" s="196">
        <f>INDEX(Cert_patrones[[#All],[Código Patrón]:[Deriva]],MATCH($U$35,Cert_patrones[Código Patrón],0)+S49,9)*coef_unidad</f>
        <v>5.2330450000000004E-3</v>
      </c>
      <c r="Y49" s="22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6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622</v>
      </c>
      <c r="N50" s="197">
        <v>6.8049999999999999E-2</v>
      </c>
      <c r="O50" s="197">
        <v>6.8049999999999999E-2</v>
      </c>
      <c r="P50" s="197">
        <v>1.0132000000000001</v>
      </c>
      <c r="Q50" s="29">
        <v>101.325</v>
      </c>
      <c r="S50" s="22">
        <v>14</v>
      </c>
      <c r="T50" s="196">
        <f>INDEX(Cert_patrones[[#All],[Código Patrón]:[Deriva]],MATCH($U$35,Cert_patrones[Código Patrón],0)+S50,3)*coef_unidad</f>
        <v>40.83</v>
      </c>
      <c r="U50" s="196">
        <f>INDEX(Cert_patrones[[#All],[Código Patrón]:[Deriva]],MATCH($U$35,Cert_patrones[Código Patrón],0)+S50,4)*coef_unidad</f>
        <v>-4.0829999999999998E-3</v>
      </c>
      <c r="V50" s="196">
        <f>INDEX(Cert_patrones[[#All],[Código Patrón]:[Deriva]],MATCH($U$35,Cert_patrones[Código Patrón],0)+S50,5)*coef_unidad</f>
        <v>8.1659999999999996E-3</v>
      </c>
      <c r="W50" s="196">
        <f>INDEX(Cert_patrones[[#All],[Código Patrón]:[Deriva]],MATCH($U$35,Cert_patrones[Código Patrón],0)+S50,9)*coef_unidad</f>
        <v>1.5243199999999998E-3</v>
      </c>
      <c r="Y50" s="22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435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6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9" t="s">
        <v>787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6">
        <f>INDEX(Cert_patrones[[#All],[Código Patrón]:[Deriva]],MATCH($U$35,Cert_patrones[Código Patrón],0)+S51,3)*coef_unidad</f>
        <v>27.22</v>
      </c>
      <c r="U51" s="196">
        <f>INDEX(Cert_patrones[[#All],[Código Patrón]:[Deriva]],MATCH($U$35,Cert_patrones[Código Patrón],0)+S51,4)*coef_unidad</f>
        <v>1.4970999999999999E-3</v>
      </c>
      <c r="V51" s="196">
        <f>INDEX(Cert_patrones[[#All],[Código Patrón]:[Deriva]],MATCH($U$35,Cert_patrones[Código Patrón],0)+S51,5)*coef_unidad</f>
        <v>4.0829999999999998E-3</v>
      </c>
      <c r="W51" s="196">
        <f>INDEX(Cert_patrones[[#All],[Código Patrón]:[Deriva]],MATCH($U$35,Cert_patrones[Código Patrón],0)+S51,9)*coef_unidad</f>
        <v>4.7362799999999998E-3</v>
      </c>
      <c r="Y51" s="22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436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6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68" t="s">
        <v>438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506</v>
      </c>
      <c r="U53" s="126">
        <f t="array" aca="1" ref="U53" ca="1">RSQ($U$37:OFFSET($U$37,MATCH(TRUE,$V$37:$V$51&lt;&gt;0,1)-1,0),$T$37:OFFSET($T$37,MATCH(TRUE,$V$37:$V$51&lt;&gt;0,1)-1,0))</f>
        <v>0.82229083606855047</v>
      </c>
      <c r="V53" s="126">
        <f t="array" aca="1" ref="V53" ca="1">RSQ($V$37:OFFSET($V$37,MATCH(TRUE,$V$37:$V$51&lt;&gt;0,1)-1,0),$T$37:OFFSET($T$37,MATCH(TRUE,$V$37:$V$51&lt;&gt;0,1)-1,0))</f>
        <v>0.81323037920374519</v>
      </c>
      <c r="W53" s="126">
        <f t="array" aca="1" ref="W53" ca="1">IFERROR(RSQ($W$37:OFFSET($V$37,MATCH(TRUE,$V$37:$V$51&lt;&gt;0,1)-1,0),$T$37:OFFSET($T$37,MATCH(TRUE,$V$37:$V$51&lt;&gt;0,1)-1,0)),1)</f>
        <v>1</v>
      </c>
      <c r="Z53" s="117" t="s">
        <v>506</v>
      </c>
      <c r="AA53" s="126">
        <f t="array" aca="1" ref="AA53" ca="1">IFERROR(RSQ($AA$37:OFFSET($AA$37,MATCH(TRUE,$AB$37:$AB$51&lt;&gt;0,1)-1,0),$Z$37:OFFSET($Z$37,MATCH(TRUE,$AB$37:$AB$51&lt;&gt;0,1)-1,0)),0)</f>
        <v>0</v>
      </c>
      <c r="AB53" s="126">
        <f t="array" aca="1" ref="AB53" ca="1">IFERROR(RSQ($AB$37:OFFSET($AB$37,MATCH(TRUE,$AA$37:$AA$51&lt;&gt;0,1)-1,0),$Z$37:OFFSET($Z$37,MATCH(TRUE,$AA$37:$AA$51&lt;&gt;0,1)-1,0)),0)</f>
        <v>0</v>
      </c>
      <c r="AC53" s="126">
        <f t="array" aca="1" ref="AC53" ca="1">IFERROR(RSQ($AC$37:OFFSET($AC$37,MATCH(TRUE,$AA$37:$AA$51&lt;&gt;0,1)-1,0),$Z$37:OFFSET($Z$37,MATCH(TRUE,$AA$37:$AA$51&lt;&gt;0,1)-1,0)),0)</f>
        <v>0</v>
      </c>
      <c r="AE53" s="68" t="s">
        <v>437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626</v>
      </c>
      <c r="AE54" s="68" t="s">
        <v>439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440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7" t="s">
        <v>666</v>
      </c>
      <c r="AF58" s="17"/>
      <c r="AG58" s="17"/>
      <c r="AH58" s="17"/>
      <c r="AI58" s="17" t="str">
        <f>CONCATENATE("[Todo en ", unidad,"]")</f>
        <v>[Todo en atm]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435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436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438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437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439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440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43</v>
      </c>
    </row>
    <row r="125" spans="59:59" x14ac:dyDescent="0.3">
      <c r="BG125" s="67" t="s">
        <v>44</v>
      </c>
    </row>
    <row r="128" spans="59:59" x14ac:dyDescent="0.3">
      <c r="BG128" s="67" t="s">
        <v>640</v>
      </c>
    </row>
    <row r="129" spans="59:59" x14ac:dyDescent="0.3">
      <c r="BG129" s="67" t="s">
        <v>641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tabSelected="1" zoomScale="82" zoomScaleNormal="82" workbookViewId="0">
      <selection activeCell="L12" sqref="L12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2" t="s">
        <v>407</v>
      </c>
      <c r="C2" s="17"/>
      <c r="G2" s="92" t="s">
        <v>510</v>
      </c>
      <c r="H2" s="92"/>
      <c r="I2" s="92"/>
      <c r="J2" s="92"/>
      <c r="K2" s="92"/>
      <c r="L2" s="92"/>
      <c r="M2" s="92"/>
      <c r="N2" s="92"/>
      <c r="O2" s="92"/>
      <c r="P2" s="92"/>
      <c r="U2" s="341" t="s">
        <v>635</v>
      </c>
      <c r="V2" s="341"/>
      <c r="W2" s="341"/>
      <c r="X2" s="341"/>
      <c r="Y2" s="341"/>
      <c r="Z2" s="341"/>
      <c r="AA2" s="341"/>
      <c r="AB2" s="341"/>
      <c r="AC2" s="341"/>
      <c r="AD2" s="297" t="s">
        <v>545</v>
      </c>
      <c r="AG2" s="300" t="s">
        <v>409</v>
      </c>
      <c r="AH2" s="300" t="s">
        <v>609</v>
      </c>
      <c r="AI2" s="300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2" t="s">
        <v>511</v>
      </c>
      <c r="H3" s="92"/>
      <c r="I3" s="92"/>
      <c r="J3" s="92"/>
      <c r="K3" s="92"/>
      <c r="L3" s="92"/>
      <c r="M3" s="92"/>
      <c r="N3" s="92"/>
      <c r="O3" s="92"/>
      <c r="P3" s="92"/>
      <c r="U3" s="298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8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8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8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8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8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8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8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8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8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1" t="s">
        <v>543</v>
      </c>
      <c r="AH3" s="301">
        <v>6.8947570000000002</v>
      </c>
      <c r="AI3" s="302">
        <f>AH3*1000</f>
        <v>6894.7570000000005</v>
      </c>
    </row>
    <row r="4" spans="2:35" x14ac:dyDescent="0.3">
      <c r="B4" s="73" t="s">
        <v>448</v>
      </c>
      <c r="C4" s="76" t="s">
        <v>449</v>
      </c>
      <c r="D4" s="50" t="s">
        <v>365</v>
      </c>
      <c r="E4" s="74">
        <v>0</v>
      </c>
      <c r="G4" s="92" t="s">
        <v>512</v>
      </c>
      <c r="H4" s="92"/>
      <c r="I4" s="92"/>
      <c r="J4" s="92"/>
      <c r="K4" s="92"/>
      <c r="L4" s="92"/>
      <c r="M4" s="92"/>
      <c r="N4" s="92"/>
      <c r="O4" s="92"/>
      <c r="P4" s="92"/>
      <c r="AG4" s="301" t="s">
        <v>544</v>
      </c>
      <c r="AH4" s="301">
        <v>100</v>
      </c>
      <c r="AI4" s="302">
        <f t="shared" ref="AI4:AI17" si="0">AH4*1000</f>
        <v>100000</v>
      </c>
    </row>
    <row r="5" spans="2:35" ht="15.6" x14ac:dyDescent="0.3">
      <c r="B5" s="73" t="s">
        <v>411</v>
      </c>
      <c r="C5" s="76" t="s">
        <v>450</v>
      </c>
      <c r="D5" s="50" t="s">
        <v>412</v>
      </c>
      <c r="E5" s="75">
        <v>30</v>
      </c>
      <c r="U5" s="341" t="s">
        <v>635</v>
      </c>
      <c r="V5" s="341"/>
      <c r="W5" s="341"/>
      <c r="X5" s="341"/>
      <c r="Y5" s="341"/>
      <c r="Z5" s="341"/>
      <c r="AA5" s="341"/>
      <c r="AB5" s="341"/>
      <c r="AC5" s="342" t="str">
        <f>CONCATENATE("Todo en [",unidad,"]")</f>
        <v>Todo en [atm]</v>
      </c>
      <c r="AD5" s="342"/>
      <c r="AG5" s="301" t="s">
        <v>545</v>
      </c>
      <c r="AH5" s="301">
        <v>1E-3</v>
      </c>
      <c r="AI5" s="302">
        <f t="shared" si="0"/>
        <v>1</v>
      </c>
    </row>
    <row r="6" spans="2:35" x14ac:dyDescent="0.3">
      <c r="U6" s="299">
        <f ca="1">IF(unidad="Pa",U3*1,(U3/INDEX($AG$3:$AI$17,MATCH(General!$F$16,$AG$3:$AG$17,0),3)))</f>
        <v>0</v>
      </c>
      <c r="V6" s="299">
        <f ca="1">IF(unidad="Pa",V3*1,(V3/INDEX($AG$3:$AI$17,MATCH(General!$F$16,$AG$3:$AG$17,0),3)))</f>
        <v>0</v>
      </c>
      <c r="W6" s="299">
        <f ca="1">IF(unidad="Pa",W3*1,(W3/INDEX($AG$3:$AI$17,MATCH(General!$F$16,$AG$3:$AG$17,0),3)))</f>
        <v>0</v>
      </c>
      <c r="X6" s="299">
        <f ca="1">IF(unidad="Pa",X3*1,(X3/INDEX($AG$3:$AI$17,MATCH(General!$F$16,$AG$3:$AG$17,0),3)))</f>
        <v>0</v>
      </c>
      <c r="Y6" s="299">
        <f ca="1">IF(unidad="Pa",Y3*1,(Y3/INDEX($AG$3:$AI$17,MATCH(General!$F$16,$AG$3:$AG$17,0),3)))</f>
        <v>0</v>
      </c>
      <c r="Z6" s="299">
        <f ca="1">IF(unidad="Pa",Z3*1,(Z3/INDEX($AG$3:$AI$17,MATCH(General!$F$16,$AG$3:$AG$17,0),3)))</f>
        <v>0</v>
      </c>
      <c r="AA6" s="299">
        <f ca="1">IF(unidad="Pa",AA3*1,(AA3/INDEX($AG$3:$AI$17,MATCH(General!$F$16,$AG$3:$AG$17,0),3)))</f>
        <v>0</v>
      </c>
      <c r="AB6" s="299">
        <f ca="1">IF(unidad="Pa",AB3*1,(AB3/INDEX($AG$3:$AI$17,MATCH(General!$F$16,$AG$3:$AG$17,0),3)))</f>
        <v>0</v>
      </c>
      <c r="AC6" s="299">
        <f ca="1">IF(unidad="Pa",AC3*1,(AC3/INDEX($AG$3:$AI$17,MATCH(General!$F$16,$AG$3:$AG$17,0),3)))</f>
        <v>0</v>
      </c>
      <c r="AD6" s="299">
        <f ca="1">IF(unidad="Pa",AD3*1,(AD3/INDEX($AG$3:$AI$17,MATCH(General!$F$16,$AG$3:$AG$17,0),3)))</f>
        <v>0</v>
      </c>
      <c r="AG6" s="301" t="s">
        <v>609</v>
      </c>
      <c r="AH6" s="301">
        <v>1</v>
      </c>
      <c r="AI6" s="302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0" t="str">
        <f ca="1">IFERROR(CONCATENATE(FIXED(Calibración!C38,decim),unidad),"")</f>
        <v/>
      </c>
      <c r="H7" s="140" t="str">
        <f ca="1">IFERROR(CONCATENATE(FIXED(Calibración!C39,decim),unidad),"")</f>
        <v/>
      </c>
      <c r="I7" s="140" t="str">
        <f ca="1">IFERROR(CONCATENATE(FIXED(Calibración!C40,decim),unidad),"")</f>
        <v/>
      </c>
      <c r="J7" s="140" t="str">
        <f ca="1">IFERROR(CONCATENATE(FIXED(Calibración!C41,decim),unidad),"")</f>
        <v/>
      </c>
      <c r="K7" s="140" t="str">
        <f ca="1">IFERROR(CONCATENATE(FIXED(Calibración!C42,decim),unidad),"")</f>
        <v/>
      </c>
      <c r="L7" s="140" t="str">
        <f ca="1">IFERROR(CONCATENATE(FIXED(Calibración!C43,decim),unidad),"")</f>
        <v/>
      </c>
      <c r="M7" s="140" t="str">
        <f ca="1">IFERROR(CONCATENATE(FIXED(Calibración!C44,decim),unidad),"")</f>
        <v/>
      </c>
      <c r="N7" s="140" t="str">
        <f ca="1">IFERROR(CONCATENATE(FIXED(Calibración!C45,decim),unidad),"")</f>
        <v/>
      </c>
      <c r="O7" s="140" t="str">
        <f ca="1">IFERROR(CONCATENATE(FIXED(Calibración!C46,decim),unidad),"")</f>
        <v/>
      </c>
      <c r="P7" s="140" t="str">
        <f ca="1">IFERROR(CONCATENATE(FIXED(Calibración!C47,decim),unidad),"")</f>
        <v/>
      </c>
      <c r="AG7" s="301" t="s">
        <v>546</v>
      </c>
      <c r="AH7" s="301">
        <v>0.01</v>
      </c>
      <c r="AI7" s="302">
        <f t="shared" si="0"/>
        <v>10</v>
      </c>
    </row>
    <row r="8" spans="2:35" ht="15" x14ac:dyDescent="0.3">
      <c r="B8" s="49" t="s">
        <v>424</v>
      </c>
      <c r="C8" s="49" t="s">
        <v>447</v>
      </c>
      <c r="D8" s="49" t="s">
        <v>446</v>
      </c>
      <c r="E8" s="49" t="s">
        <v>445</v>
      </c>
      <c r="F8" s="49" t="s">
        <v>451</v>
      </c>
      <c r="G8" s="419" t="s">
        <v>456</v>
      </c>
      <c r="H8" s="419" t="s">
        <v>457</v>
      </c>
      <c r="I8" s="419" t="s">
        <v>458</v>
      </c>
      <c r="J8" s="419" t="s">
        <v>459</v>
      </c>
      <c r="K8" s="419" t="s">
        <v>460</v>
      </c>
      <c r="L8" s="419" t="s">
        <v>461</v>
      </c>
      <c r="M8" s="419" t="s">
        <v>462</v>
      </c>
      <c r="N8" s="419" t="s">
        <v>463</v>
      </c>
      <c r="O8" s="419" t="s">
        <v>464</v>
      </c>
      <c r="P8" s="419" t="s">
        <v>465</v>
      </c>
      <c r="AG8" s="301" t="s">
        <v>769</v>
      </c>
      <c r="AH8" s="301">
        <v>1000</v>
      </c>
      <c r="AI8" s="302">
        <f t="shared" si="0"/>
        <v>1000000</v>
      </c>
    </row>
    <row r="9" spans="2:35" x14ac:dyDescent="0.3">
      <c r="B9" s="416" t="s">
        <v>427</v>
      </c>
      <c r="C9" s="55" t="s">
        <v>596</v>
      </c>
      <c r="D9" s="71" t="s">
        <v>444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301" t="s">
        <v>786</v>
      </c>
      <c r="AH9" s="301">
        <v>98.066500000000005</v>
      </c>
      <c r="AI9" s="302">
        <f t="shared" si="0"/>
        <v>98066.5</v>
      </c>
    </row>
    <row r="10" spans="2:35" x14ac:dyDescent="0.3">
      <c r="B10" s="416" t="s">
        <v>443</v>
      </c>
      <c r="C10" s="55" t="s">
        <v>597</v>
      </c>
      <c r="D10" s="71" t="s">
        <v>470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301" t="s">
        <v>623</v>
      </c>
      <c r="AH10" s="301">
        <v>3.38639</v>
      </c>
      <c r="AI10" s="302">
        <f t="shared" si="0"/>
        <v>3386.39</v>
      </c>
    </row>
    <row r="11" spans="2:35" x14ac:dyDescent="0.3">
      <c r="B11" s="416" t="s">
        <v>452</v>
      </c>
      <c r="C11" s="55" t="s">
        <v>606</v>
      </c>
      <c r="D11" s="71" t="s">
        <v>453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301" t="s">
        <v>624</v>
      </c>
      <c r="AH11" s="301">
        <v>0.133322</v>
      </c>
      <c r="AI11" s="302">
        <f t="shared" si="0"/>
        <v>133.322</v>
      </c>
    </row>
    <row r="12" spans="2:35" x14ac:dyDescent="0.3">
      <c r="B12" s="416" t="s">
        <v>428</v>
      </c>
      <c r="C12" s="55" t="s">
        <v>607</v>
      </c>
      <c r="D12" s="71" t="s">
        <v>444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301" t="s">
        <v>625</v>
      </c>
      <c r="AH12" s="301">
        <v>1.3332200000000001</v>
      </c>
      <c r="AI12" s="302">
        <f t="shared" si="0"/>
        <v>1333.22</v>
      </c>
    </row>
    <row r="13" spans="2:35" x14ac:dyDescent="0.3">
      <c r="B13" s="416" t="s">
        <v>634</v>
      </c>
      <c r="C13" s="55" t="s">
        <v>633</v>
      </c>
      <c r="D13" s="71" t="s">
        <v>444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301" t="s">
        <v>788</v>
      </c>
      <c r="AH13" s="301">
        <v>9.7999999999999997E-3</v>
      </c>
      <c r="AI13" s="302">
        <f t="shared" si="0"/>
        <v>9.7999999999999989</v>
      </c>
    </row>
    <row r="14" spans="2:35" x14ac:dyDescent="0.3">
      <c r="B14" s="417" t="s">
        <v>635</v>
      </c>
      <c r="C14" s="203" t="s">
        <v>636</v>
      </c>
      <c r="D14" s="71" t="s">
        <v>470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301" t="s">
        <v>789</v>
      </c>
      <c r="AH14" s="301">
        <v>9.8000000000000004E-2</v>
      </c>
      <c r="AI14" s="302">
        <f t="shared" si="0"/>
        <v>98</v>
      </c>
    </row>
    <row r="15" spans="2:35" ht="15" x14ac:dyDescent="0.3">
      <c r="B15" s="416" t="s">
        <v>426</v>
      </c>
      <c r="C15" s="55" t="s">
        <v>653</v>
      </c>
      <c r="D15" s="71" t="s">
        <v>444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301" t="s">
        <v>790</v>
      </c>
      <c r="AH15" s="301">
        <v>0.249089</v>
      </c>
      <c r="AI15" s="302">
        <f t="shared" si="0"/>
        <v>249.089</v>
      </c>
    </row>
    <row r="16" spans="2:35" ht="15" x14ac:dyDescent="0.3">
      <c r="B16" s="416" t="s">
        <v>425</v>
      </c>
      <c r="C16" s="55" t="s">
        <v>654</v>
      </c>
      <c r="D16" s="71" t="s">
        <v>444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301" t="s">
        <v>622</v>
      </c>
      <c r="AH16" s="301">
        <v>101.325</v>
      </c>
      <c r="AI16" s="302">
        <f t="shared" si="0"/>
        <v>101325</v>
      </c>
    </row>
    <row r="17" spans="2:35" ht="15" x14ac:dyDescent="0.3">
      <c r="B17" s="418" t="s">
        <v>655</v>
      </c>
      <c r="C17" s="55" t="s">
        <v>656</v>
      </c>
      <c r="D17" s="71" t="s">
        <v>444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301" t="s">
        <v>787</v>
      </c>
      <c r="AH17" s="301">
        <v>9.81</v>
      </c>
      <c r="AI17" s="302">
        <f t="shared" si="0"/>
        <v>9810</v>
      </c>
    </row>
    <row r="18" spans="2:35" ht="15" x14ac:dyDescent="0.3">
      <c r="B18" s="417" t="s">
        <v>657</v>
      </c>
      <c r="C18" s="55" t="s">
        <v>658</v>
      </c>
      <c r="D18" s="71" t="s">
        <v>444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416" t="s">
        <v>466</v>
      </c>
      <c r="C19" s="420" t="s">
        <v>513</v>
      </c>
      <c r="D19" s="421" t="s">
        <v>514</v>
      </c>
      <c r="E19" s="422" t="str">
        <f>CONCATENATE("Todo en [psi]")</f>
        <v>Todo en [psi]</v>
      </c>
      <c r="F19" s="423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652</v>
      </c>
    </row>
    <row r="25" spans="2:35" x14ac:dyDescent="0.3">
      <c r="B25" s="51" t="s">
        <v>423</v>
      </c>
      <c r="C25" s="17"/>
      <c r="D25" s="17"/>
      <c r="E25" s="17"/>
      <c r="F25" s="17"/>
      <c r="G25" s="140" t="str">
        <f t="shared" ref="G25:P25" ca="1" si="3">G7</f>
        <v/>
      </c>
      <c r="H25" s="140" t="str">
        <f t="shared" ca="1" si="3"/>
        <v/>
      </c>
      <c r="I25" s="140" t="str">
        <f t="shared" ca="1" si="3"/>
        <v/>
      </c>
      <c r="J25" s="140" t="str">
        <f t="shared" ca="1" si="3"/>
        <v/>
      </c>
      <c r="K25" s="140" t="str">
        <f t="shared" ca="1" si="3"/>
        <v/>
      </c>
      <c r="L25" s="140" t="str">
        <f t="shared" ca="1" si="3"/>
        <v/>
      </c>
      <c r="M25" s="140" t="str">
        <f t="shared" ca="1" si="3"/>
        <v/>
      </c>
      <c r="N25" s="140" t="str">
        <f t="shared" ca="1" si="3"/>
        <v/>
      </c>
      <c r="O25" s="140" t="str">
        <f t="shared" ca="1" si="3"/>
        <v/>
      </c>
      <c r="P25" s="140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2" t="s">
        <v>413</v>
      </c>
      <c r="H26" s="52" t="s">
        <v>414</v>
      </c>
      <c r="I26" s="52" t="s">
        <v>415</v>
      </c>
      <c r="J26" s="52" t="s">
        <v>416</v>
      </c>
      <c r="K26" s="52" t="s">
        <v>417</v>
      </c>
      <c r="L26" s="52" t="s">
        <v>418</v>
      </c>
      <c r="M26" s="52" t="s">
        <v>419</v>
      </c>
      <c r="N26" s="52" t="s">
        <v>420</v>
      </c>
      <c r="O26" s="52" t="s">
        <v>421</v>
      </c>
      <c r="P26" s="53" t="s">
        <v>422</v>
      </c>
    </row>
    <row r="27" spans="2:35" x14ac:dyDescent="0.3">
      <c r="B27" s="54" t="s">
        <v>427</v>
      </c>
      <c r="C27" s="55" t="s">
        <v>596</v>
      </c>
      <c r="D27" s="71" t="s">
        <v>444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443</v>
      </c>
      <c r="C28" s="55" t="s">
        <v>597</v>
      </c>
      <c r="D28" s="71" t="s">
        <v>470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452</v>
      </c>
      <c r="C29" s="55" t="s">
        <v>606</v>
      </c>
      <c r="D29" s="71" t="s">
        <v>453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428</v>
      </c>
      <c r="C30" s="55" t="s">
        <v>607</v>
      </c>
      <c r="D30" s="71" t="s">
        <v>444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634</v>
      </c>
      <c r="C31" s="55" t="s">
        <v>633</v>
      </c>
      <c r="D31" s="71" t="s">
        <v>444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9" t="s">
        <v>635</v>
      </c>
      <c r="C32" s="203" t="s">
        <v>636</v>
      </c>
      <c r="D32" s="71" t="s">
        <v>470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426</v>
      </c>
      <c r="C33" s="55" t="s">
        <v>653</v>
      </c>
      <c r="D33" s="71" t="s">
        <v>444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425</v>
      </c>
      <c r="C34" s="55" t="s">
        <v>654</v>
      </c>
      <c r="D34" s="71" t="s">
        <v>444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655</v>
      </c>
      <c r="C35" s="55" t="s">
        <v>656</v>
      </c>
      <c r="D35" s="71" t="s">
        <v>444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9" t="s">
        <v>657</v>
      </c>
      <c r="C36" s="55" t="s">
        <v>658</v>
      </c>
      <c r="D36" s="71" t="s">
        <v>444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455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3" t="s">
        <v>472</v>
      </c>
      <c r="C42" s="83" t="s">
        <v>476</v>
      </c>
      <c r="D42" s="112"/>
      <c r="E42" s="113" t="s">
        <v>481</v>
      </c>
      <c r="F42" s="113" t="s">
        <v>410</v>
      </c>
    </row>
    <row r="43" spans="2:16" x14ac:dyDescent="0.3">
      <c r="B43" s="87" t="s">
        <v>473</v>
      </c>
      <c r="C43" s="108" t="s">
        <v>477</v>
      </c>
      <c r="D43" s="110"/>
      <c r="E43" s="114" t="s">
        <v>482</v>
      </c>
      <c r="F43" s="65">
        <f>IF(Calibración!E10="2",4,6)</f>
        <v>4</v>
      </c>
    </row>
    <row r="44" spans="2:16" ht="15.6" x14ac:dyDescent="0.35">
      <c r="B44" s="87" t="s">
        <v>474</v>
      </c>
      <c r="C44" s="108" t="s">
        <v>478</v>
      </c>
      <c r="D44" s="110"/>
      <c r="E44" s="114" t="s">
        <v>483</v>
      </c>
      <c r="F44" s="65">
        <f>F43-1</f>
        <v>3</v>
      </c>
    </row>
    <row r="45" spans="2:16" ht="15.6" x14ac:dyDescent="0.35">
      <c r="B45" s="87" t="s">
        <v>475</v>
      </c>
      <c r="C45" s="108" t="s">
        <v>680</v>
      </c>
      <c r="D45" s="108"/>
      <c r="E45" s="114" t="s">
        <v>484</v>
      </c>
      <c r="F45" s="214" t="s">
        <v>660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485</v>
      </c>
      <c r="C46" s="108" t="s">
        <v>479</v>
      </c>
      <c r="D46" s="110"/>
      <c r="E46" s="114"/>
      <c r="F46" s="124">
        <f ca="1">POWER('kU(E)'!$G$19,4)</f>
        <v>0</v>
      </c>
      <c r="G46" s="123" t="s">
        <v>516</v>
      </c>
      <c r="H46" s="123" t="s">
        <v>517</v>
      </c>
      <c r="I46" s="123" t="s">
        <v>518</v>
      </c>
      <c r="J46" s="123" t="s">
        <v>519</v>
      </c>
      <c r="K46" s="123" t="s">
        <v>520</v>
      </c>
      <c r="L46" s="123" t="s">
        <v>521</v>
      </c>
      <c r="M46" s="123" t="s">
        <v>522</v>
      </c>
      <c r="N46" s="123" t="s">
        <v>523</v>
      </c>
      <c r="O46" s="123" t="s">
        <v>524</v>
      </c>
      <c r="P46" s="123" t="s">
        <v>525</v>
      </c>
    </row>
    <row r="47" spans="2:16" ht="16.8" x14ac:dyDescent="0.35">
      <c r="B47" s="87" t="s">
        <v>486</v>
      </c>
      <c r="C47" s="108" t="s">
        <v>479</v>
      </c>
      <c r="D47" s="110"/>
      <c r="E47" s="114"/>
      <c r="F47" s="124">
        <f ca="1">POWER('kU(E)'!$H$19,4)</f>
        <v>0</v>
      </c>
      <c r="G47" s="124">
        <f ca="1">G45</f>
        <v>0</v>
      </c>
      <c r="H47" s="124">
        <f t="shared" ref="H47:P47" ca="1" si="5">H45</f>
        <v>0</v>
      </c>
      <c r="I47" s="124">
        <f t="shared" ca="1" si="5"/>
        <v>0</v>
      </c>
      <c r="J47" s="124">
        <f t="shared" ca="1" si="5"/>
        <v>0</v>
      </c>
      <c r="K47" s="124">
        <f t="shared" ca="1" si="5"/>
        <v>0</v>
      </c>
      <c r="L47" s="124">
        <f t="shared" ca="1" si="5"/>
        <v>0</v>
      </c>
      <c r="M47" s="124">
        <f t="shared" ca="1" si="5"/>
        <v>0</v>
      </c>
      <c r="N47" s="124">
        <f t="shared" ca="1" si="5"/>
        <v>0</v>
      </c>
      <c r="O47" s="124">
        <f t="shared" ca="1" si="5"/>
        <v>0</v>
      </c>
      <c r="P47" s="124">
        <f t="shared" ca="1" si="5"/>
        <v>0</v>
      </c>
    </row>
    <row r="48" spans="2:16" ht="16.8" x14ac:dyDescent="0.35">
      <c r="B48" s="87" t="s">
        <v>487</v>
      </c>
      <c r="C48" s="108" t="s">
        <v>479</v>
      </c>
      <c r="D48" s="110"/>
      <c r="E48" s="114"/>
      <c r="F48" s="124">
        <f ca="1">POWER('kU(E)'!$I$19,4)</f>
        <v>0</v>
      </c>
    </row>
    <row r="49" spans="2:7" ht="16.8" x14ac:dyDescent="0.35">
      <c r="B49" s="87" t="s">
        <v>488</v>
      </c>
      <c r="C49" s="108" t="s">
        <v>479</v>
      </c>
      <c r="D49" s="110"/>
      <c r="E49" s="114"/>
      <c r="F49" s="124">
        <f ca="1">POWER('kU(E)'!$J$19,4)</f>
        <v>0</v>
      </c>
    </row>
    <row r="50" spans="2:7" ht="16.8" x14ac:dyDescent="0.35">
      <c r="B50" s="87" t="s">
        <v>489</v>
      </c>
      <c r="C50" s="108" t="s">
        <v>479</v>
      </c>
      <c r="D50" s="110"/>
      <c r="E50" s="114"/>
      <c r="F50" s="124">
        <f ca="1">POWER('kU(E)'!$K$19,4)</f>
        <v>0</v>
      </c>
    </row>
    <row r="51" spans="2:7" ht="16.8" x14ac:dyDescent="0.35">
      <c r="B51" s="87" t="s">
        <v>490</v>
      </c>
      <c r="C51" s="108" t="s">
        <v>479</v>
      </c>
      <c r="D51" s="110"/>
      <c r="E51" s="114"/>
      <c r="F51" s="124">
        <f ca="1">POWER('kU(E)'!$L$19,4)</f>
        <v>0</v>
      </c>
    </row>
    <row r="52" spans="2:7" ht="16.8" x14ac:dyDescent="0.35">
      <c r="B52" s="87" t="s">
        <v>491</v>
      </c>
      <c r="C52" s="108" t="s">
        <v>479</v>
      </c>
      <c r="D52" s="110"/>
      <c r="E52" s="114"/>
      <c r="F52" s="124">
        <f ca="1">POWER('kU(E)'!$M$19,4)</f>
        <v>0</v>
      </c>
    </row>
    <row r="53" spans="2:7" ht="16.8" x14ac:dyDescent="0.35">
      <c r="B53" s="87" t="s">
        <v>492</v>
      </c>
      <c r="C53" s="108" t="s">
        <v>479</v>
      </c>
      <c r="D53" s="110"/>
      <c r="E53" s="114"/>
      <c r="F53" s="124">
        <f ca="1">POWER('kU(E)'!$N$19,4)</f>
        <v>0</v>
      </c>
    </row>
    <row r="54" spans="2:7" ht="16.8" x14ac:dyDescent="0.35">
      <c r="B54" s="87" t="s">
        <v>493</v>
      </c>
      <c r="C54" s="108" t="s">
        <v>479</v>
      </c>
      <c r="D54" s="110"/>
      <c r="E54" s="114"/>
      <c r="F54" s="124">
        <f ca="1">POWER('kU(E)'!$O$19,4)</f>
        <v>0</v>
      </c>
    </row>
    <row r="55" spans="2:7" ht="16.8" x14ac:dyDescent="0.35">
      <c r="B55" s="87" t="s">
        <v>494</v>
      </c>
      <c r="C55" s="108" t="s">
        <v>479</v>
      </c>
      <c r="D55" s="110"/>
      <c r="E55" s="114"/>
      <c r="F55" s="124">
        <f ca="1">POWER('kU(E)'!$P$19,4)</f>
        <v>0</v>
      </c>
      <c r="G55" s="31" t="s">
        <v>505</v>
      </c>
    </row>
    <row r="56" spans="2:7" ht="15.6" x14ac:dyDescent="0.35">
      <c r="B56" s="109" t="s">
        <v>495</v>
      </c>
      <c r="C56" s="108" t="s">
        <v>480</v>
      </c>
      <c r="D56" s="111"/>
      <c r="E56" s="115"/>
      <c r="F56" s="127" t="str">
        <f ca="1">IFERROR(F46/G47,"")</f>
        <v/>
      </c>
      <c r="G56" s="116">
        <f ca="1">IF(F56&gt;20,2,HLOOKUP(F56,$C$69:$W$70,2))</f>
        <v>2</v>
      </c>
    </row>
    <row r="57" spans="2:7" ht="15.6" x14ac:dyDescent="0.35">
      <c r="B57" s="109" t="s">
        <v>496</v>
      </c>
      <c r="C57" s="108" t="s">
        <v>480</v>
      </c>
      <c r="D57" s="111"/>
      <c r="E57" s="115"/>
      <c r="F57" s="127" t="str">
        <f ca="1">IFERROR(F47/H47,"")</f>
        <v/>
      </c>
      <c r="G57" s="116">
        <f t="shared" ref="G57:G65" ca="1" si="6">IF(F57&gt;20,2,HLOOKUP(F57,$C$69:$W$70,2))</f>
        <v>2</v>
      </c>
    </row>
    <row r="58" spans="2:7" ht="15.6" x14ac:dyDescent="0.35">
      <c r="B58" s="109" t="s">
        <v>497</v>
      </c>
      <c r="C58" s="108" t="s">
        <v>480</v>
      </c>
      <c r="D58" s="111"/>
      <c r="E58" s="115"/>
      <c r="F58" s="127" t="str">
        <f ca="1">IFERROR(F48/I47,"")</f>
        <v/>
      </c>
      <c r="G58" s="116">
        <f t="shared" ca="1" si="6"/>
        <v>2</v>
      </c>
    </row>
    <row r="59" spans="2:7" ht="15.6" x14ac:dyDescent="0.35">
      <c r="B59" s="109" t="s">
        <v>498</v>
      </c>
      <c r="C59" s="108" t="s">
        <v>480</v>
      </c>
      <c r="D59" s="111"/>
      <c r="E59" s="115"/>
      <c r="F59" s="127" t="str">
        <f ca="1">IFERROR(F49/J47,"")</f>
        <v/>
      </c>
      <c r="G59" s="116">
        <f t="shared" ca="1" si="6"/>
        <v>2</v>
      </c>
    </row>
    <row r="60" spans="2:7" ht="15.6" x14ac:dyDescent="0.35">
      <c r="B60" s="109" t="s">
        <v>499</v>
      </c>
      <c r="C60" s="108" t="s">
        <v>480</v>
      </c>
      <c r="D60" s="111"/>
      <c r="E60" s="115"/>
      <c r="F60" s="127" t="str">
        <f ca="1">IFERROR(F50/K47,"")</f>
        <v/>
      </c>
      <c r="G60" s="116">
        <f t="shared" ca="1" si="6"/>
        <v>2</v>
      </c>
    </row>
    <row r="61" spans="2:7" ht="15.6" x14ac:dyDescent="0.35">
      <c r="B61" s="109" t="s">
        <v>500</v>
      </c>
      <c r="C61" s="108" t="s">
        <v>480</v>
      </c>
      <c r="D61" s="111"/>
      <c r="E61" s="115"/>
      <c r="F61" s="127" t="str">
        <f ca="1">IFERROR(F51/L47,"")</f>
        <v/>
      </c>
      <c r="G61" s="116">
        <f t="shared" ca="1" si="6"/>
        <v>2</v>
      </c>
    </row>
    <row r="62" spans="2:7" ht="15.6" x14ac:dyDescent="0.35">
      <c r="B62" s="109" t="s">
        <v>501</v>
      </c>
      <c r="C62" s="108" t="s">
        <v>480</v>
      </c>
      <c r="D62" s="111"/>
      <c r="E62" s="115"/>
      <c r="F62" s="127" t="str">
        <f ca="1">IFERROR(F52/M47,"")</f>
        <v/>
      </c>
      <c r="G62" s="116">
        <f t="shared" ca="1" si="6"/>
        <v>2</v>
      </c>
    </row>
    <row r="63" spans="2:7" ht="15.6" x14ac:dyDescent="0.35">
      <c r="B63" s="109" t="s">
        <v>502</v>
      </c>
      <c r="C63" s="108" t="s">
        <v>480</v>
      </c>
      <c r="D63" s="111"/>
      <c r="E63" s="115"/>
      <c r="F63" s="127" t="str">
        <f ca="1">IFERROR(F53/N47,"")</f>
        <v/>
      </c>
      <c r="G63" s="116">
        <f t="shared" ca="1" si="6"/>
        <v>2</v>
      </c>
    </row>
    <row r="64" spans="2:7" ht="15.6" x14ac:dyDescent="0.35">
      <c r="B64" s="109" t="s">
        <v>503</v>
      </c>
      <c r="C64" s="108" t="s">
        <v>480</v>
      </c>
      <c r="D64" s="111"/>
      <c r="E64" s="115"/>
      <c r="F64" s="127" t="str">
        <f ca="1">IFERROR(F54/O47,"")</f>
        <v/>
      </c>
      <c r="G64" s="116">
        <f t="shared" ca="1" si="6"/>
        <v>2</v>
      </c>
    </row>
    <row r="65" spans="2:24" ht="15.6" x14ac:dyDescent="0.35">
      <c r="B65" s="109" t="s">
        <v>504</v>
      </c>
      <c r="C65" s="108" t="s">
        <v>480</v>
      </c>
      <c r="D65" s="111"/>
      <c r="E65" s="115"/>
      <c r="F65" s="127" t="str">
        <f ca="1">IFERROR(F55/P47,"")</f>
        <v/>
      </c>
      <c r="G65" s="116">
        <f t="shared" ca="1" si="6"/>
        <v>2</v>
      </c>
    </row>
    <row r="68" spans="2:24" x14ac:dyDescent="0.3">
      <c r="C68" s="338" t="s">
        <v>1115</v>
      </c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40"/>
    </row>
    <row r="69" spans="2:24" x14ac:dyDescent="0.3">
      <c r="C69" s="296" t="s">
        <v>1116</v>
      </c>
      <c r="D69" s="296">
        <v>1</v>
      </c>
      <c r="E69" s="296">
        <v>2</v>
      </c>
      <c r="F69" s="296">
        <v>3</v>
      </c>
      <c r="G69" s="296">
        <v>4</v>
      </c>
      <c r="H69" s="296">
        <v>5</v>
      </c>
      <c r="I69" s="296">
        <v>6</v>
      </c>
      <c r="J69" s="296">
        <v>7</v>
      </c>
      <c r="K69" s="296">
        <v>8</v>
      </c>
      <c r="L69" s="296">
        <v>9</v>
      </c>
      <c r="M69" s="296">
        <v>10</v>
      </c>
      <c r="N69" s="296">
        <v>11</v>
      </c>
      <c r="O69" s="296">
        <v>12</v>
      </c>
      <c r="P69" s="296">
        <v>13</v>
      </c>
      <c r="Q69" s="296">
        <v>14</v>
      </c>
      <c r="R69" s="296">
        <v>15</v>
      </c>
      <c r="S69" s="296">
        <v>16</v>
      </c>
      <c r="T69" s="296">
        <v>17</v>
      </c>
      <c r="U69" s="296">
        <v>18</v>
      </c>
      <c r="V69" s="296">
        <v>19</v>
      </c>
      <c r="W69" s="296">
        <v>20</v>
      </c>
      <c r="X69" s="296" t="s">
        <v>1117</v>
      </c>
    </row>
    <row r="70" spans="2:24" x14ac:dyDescent="0.3">
      <c r="C70" s="296" t="s">
        <v>505</v>
      </c>
      <c r="D70" s="296">
        <v>13.97</v>
      </c>
      <c r="E70" s="296">
        <v>4.53</v>
      </c>
      <c r="F70" s="296">
        <v>3.31</v>
      </c>
      <c r="G70" s="296">
        <v>2.87</v>
      </c>
      <c r="H70" s="296">
        <v>2.65</v>
      </c>
      <c r="I70" s="296">
        <v>2.52</v>
      </c>
      <c r="J70" s="296">
        <v>2.4300000000000002</v>
      </c>
      <c r="K70" s="296">
        <v>2.37</v>
      </c>
      <c r="L70" s="296">
        <v>2.3199999999999998</v>
      </c>
      <c r="M70" s="296">
        <v>2.2799999999999998</v>
      </c>
      <c r="N70" s="296">
        <v>2.25</v>
      </c>
      <c r="O70" s="296">
        <v>2.23</v>
      </c>
      <c r="P70" s="296">
        <v>2.21</v>
      </c>
      <c r="Q70" s="296">
        <v>2.2000000000000002</v>
      </c>
      <c r="R70" s="296">
        <v>2.1800000000000002</v>
      </c>
      <c r="S70" s="296">
        <v>2.17</v>
      </c>
      <c r="T70" s="296">
        <v>2.16</v>
      </c>
      <c r="U70" s="296">
        <v>2.15</v>
      </c>
      <c r="V70" s="296">
        <v>2.14</v>
      </c>
      <c r="W70" s="296">
        <v>2.13</v>
      </c>
      <c r="X70" s="29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2" t="s">
        <v>366</v>
      </c>
      <c r="C2" s="242" t="s">
        <v>726</v>
      </c>
      <c r="D2" s="242" t="s">
        <v>727</v>
      </c>
      <c r="E2" s="242" t="s">
        <v>728</v>
      </c>
      <c r="F2" s="243"/>
      <c r="G2" s="243"/>
      <c r="H2" s="243"/>
      <c r="I2" s="243"/>
    </row>
    <row r="3" spans="2:9" x14ac:dyDescent="0.3">
      <c r="B3" s="244" t="str">
        <f>EquipoTipo</f>
        <v xml:space="preserve">Manómetro </v>
      </c>
      <c r="C3" s="245" t="str">
        <f>CertDate</f>
        <v>2019-03-06</v>
      </c>
      <c r="D3" s="244" t="str">
        <f>EquipoCode</f>
        <v>MAN-A04</v>
      </c>
      <c r="E3" s="244" t="str">
        <f>CertNum</f>
        <v>NI-MC-P-XXX-ZZZZ</v>
      </c>
      <c r="F3" s="246"/>
      <c r="G3" s="243"/>
      <c r="H3" s="243"/>
      <c r="I3" s="2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9"/>
  <sheetViews>
    <sheetView view="pageLayout" topLeftCell="B21" zoomScaleNormal="40" zoomScaleSheetLayoutView="100" workbookViewId="0">
      <selection activeCell="L28" sqref="L28:Q2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51" t="str">
        <f>General!F3</f>
        <v>NI-MC-P-XXX-ZZZZ</v>
      </c>
      <c r="O8" s="352"/>
      <c r="P8" s="352"/>
      <c r="Q8" s="352"/>
      <c r="R8" s="352"/>
      <c r="S8" s="352"/>
      <c r="T8" s="352"/>
      <c r="U8" s="352"/>
      <c r="V8" s="352"/>
      <c r="W8" s="352"/>
      <c r="X8" s="352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53" t="str">
        <f>General!F4</f>
        <v>NI-CS-XXXX-XX</v>
      </c>
      <c r="O9" s="354"/>
      <c r="P9" s="354"/>
      <c r="Q9" s="354"/>
      <c r="R9" s="354"/>
      <c r="S9" s="354"/>
      <c r="T9" s="354"/>
      <c r="U9" s="354"/>
      <c r="V9" s="354"/>
      <c r="W9" s="354"/>
      <c r="X9" s="354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55" t="str">
        <f>General!F5</f>
        <v>2019-03-06</v>
      </c>
      <c r="O10" s="355"/>
      <c r="P10" s="355"/>
      <c r="Q10" s="355"/>
      <c r="R10" s="355"/>
      <c r="S10" s="355"/>
      <c r="T10" s="355"/>
      <c r="U10" s="355"/>
      <c r="V10" s="355"/>
      <c r="W10" s="355"/>
      <c r="X10" s="355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55">
        <f ca="1">NOW()</f>
        <v>45483.455977546299</v>
      </c>
      <c r="O11" s="355"/>
      <c r="P11" s="355"/>
      <c r="Q11" s="355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53" t="str">
        <f>General!F7</f>
        <v xml:space="preserve">Manómetro </v>
      </c>
      <c r="O12" s="354"/>
      <c r="P12" s="354"/>
      <c r="Q12" s="354"/>
      <c r="R12" s="354"/>
      <c r="S12" s="354"/>
      <c r="T12" s="354"/>
      <c r="U12" s="354"/>
      <c r="V12" s="354"/>
      <c r="W12" s="354"/>
      <c r="X12" s="354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53" t="str">
        <f>General!F10</f>
        <v>Wika</v>
      </c>
      <c r="O13" s="354"/>
      <c r="P13" s="354"/>
      <c r="Q13" s="354"/>
      <c r="R13" s="354"/>
      <c r="S13" s="354"/>
      <c r="T13" s="354"/>
      <c r="U13" s="354"/>
      <c r="V13" s="354"/>
      <c r="W13" s="354"/>
      <c r="X13" s="354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53" t="str">
        <f>General!F12</f>
        <v>90271482-1-19</v>
      </c>
      <c r="O14" s="354"/>
      <c r="P14" s="354"/>
      <c r="Q14" s="354"/>
      <c r="R14" s="354"/>
      <c r="S14" s="354"/>
      <c r="T14" s="354"/>
      <c r="U14" s="354"/>
      <c r="V14" s="354"/>
      <c r="W14" s="354"/>
      <c r="X14" s="354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53" t="str">
        <f>General!F11</f>
        <v>No Aplica (N/A)</v>
      </c>
      <c r="O15" s="354"/>
      <c r="P15" s="354"/>
      <c r="Q15" s="354"/>
      <c r="R15" s="354"/>
      <c r="S15" s="354"/>
      <c r="T15" s="354"/>
      <c r="U15" s="354"/>
      <c r="V15" s="354"/>
      <c r="W15" s="354"/>
      <c r="X15" s="354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53" t="str">
        <f>General!F18</f>
        <v>0 kgf/cm² a 16 kgf/cm²</v>
      </c>
      <c r="O16" s="354"/>
      <c r="P16" s="354"/>
      <c r="Q16" s="354"/>
      <c r="R16" s="354"/>
      <c r="S16" s="354"/>
      <c r="T16" s="354"/>
      <c r="U16" s="354"/>
      <c r="V16" s="354"/>
      <c r="W16" s="354"/>
      <c r="X16" s="354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53" t="str">
        <f>General!F15</f>
        <v>0,5</v>
      </c>
      <c r="O17" s="354"/>
      <c r="P17" s="353" t="str">
        <f>General!F16</f>
        <v>atm</v>
      </c>
      <c r="Q17" s="35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53" t="str">
        <f>General!F6</f>
        <v>MAN-A04</v>
      </c>
      <c r="O18" s="354"/>
      <c r="P18" s="354"/>
      <c r="Q18" s="354"/>
      <c r="R18" s="354"/>
      <c r="S18" s="354"/>
      <c r="T18" s="354"/>
      <c r="U18" s="354"/>
      <c r="V18" s="354"/>
      <c r="W18" s="354"/>
      <c r="X18" s="354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53" t="str">
        <f>General!L3</f>
        <v>Mechnikov, S.A.</v>
      </c>
      <c r="O19" s="354"/>
      <c r="P19" s="354"/>
      <c r="Q19" s="354"/>
      <c r="R19" s="354"/>
      <c r="S19" s="354"/>
      <c r="T19" s="354"/>
      <c r="U19" s="354"/>
      <c r="V19" s="354"/>
      <c r="W19" s="354"/>
      <c r="X19" s="354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54" t="str">
        <f>General!L4</f>
        <v/>
      </c>
      <c r="O20" s="354"/>
      <c r="P20" s="354"/>
      <c r="Q20" s="354"/>
      <c r="R20" s="354"/>
      <c r="S20" s="354"/>
      <c r="T20" s="354"/>
      <c r="U20" s="354"/>
      <c r="V20" s="354"/>
      <c r="W20" s="354"/>
      <c r="X20" s="354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6" t="str">
        <f>General!L6</f>
        <v>Laboratorio #2, Metrocal</v>
      </c>
      <c r="O21" s="356"/>
      <c r="P21" s="356"/>
      <c r="Q21" s="356"/>
      <c r="R21" s="356"/>
      <c r="S21" s="356"/>
      <c r="T21" s="356"/>
      <c r="U21" s="356"/>
      <c r="V21" s="356"/>
      <c r="W21" s="356"/>
      <c r="X21" s="356"/>
    </row>
    <row r="22" spans="1:24" x14ac:dyDescent="0.3">
      <c r="A22" s="224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57" t="s">
        <v>363</v>
      </c>
      <c r="E24" s="357"/>
      <c r="F24" s="357"/>
      <c r="G24" s="357"/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</row>
    <row r="25" spans="1:24" ht="15" customHeight="1" x14ac:dyDescent="0.3">
      <c r="A25" s="9"/>
      <c r="B25" s="9"/>
      <c r="C25" s="9"/>
      <c r="D25" s="358" t="s">
        <v>631</v>
      </c>
      <c r="E25" s="358"/>
      <c r="F25" s="359" t="s">
        <v>696</v>
      </c>
      <c r="G25" s="359"/>
      <c r="H25" s="359"/>
      <c r="I25" s="359"/>
      <c r="J25" s="359"/>
      <c r="K25" s="359"/>
      <c r="L25" s="359" t="s">
        <v>364</v>
      </c>
      <c r="M25" s="359"/>
      <c r="N25" s="359"/>
      <c r="O25" s="359"/>
      <c r="P25" s="359"/>
      <c r="Q25" s="359"/>
      <c r="R25" s="358" t="s">
        <v>697</v>
      </c>
      <c r="S25" s="358"/>
      <c r="T25" s="358"/>
      <c r="U25" s="358"/>
      <c r="V25" s="358"/>
      <c r="W25" s="358"/>
    </row>
    <row r="26" spans="1:24" ht="14.25" customHeight="1" x14ac:dyDescent="0.3">
      <c r="A26" s="9"/>
      <c r="B26" s="9"/>
      <c r="C26" s="9"/>
      <c r="D26" s="358"/>
      <c r="E26" s="358"/>
      <c r="F26" s="359"/>
      <c r="G26" s="359"/>
      <c r="H26" s="359"/>
      <c r="I26" s="359"/>
      <c r="J26" s="359"/>
      <c r="K26" s="359"/>
      <c r="L26" s="359"/>
      <c r="M26" s="359"/>
      <c r="N26" s="359"/>
      <c r="O26" s="359"/>
      <c r="P26" s="359"/>
      <c r="Q26" s="359"/>
      <c r="R26" s="358"/>
      <c r="S26" s="358"/>
      <c r="T26" s="358"/>
      <c r="U26" s="358"/>
      <c r="V26" s="358"/>
      <c r="W26" s="358"/>
    </row>
    <row r="27" spans="1:24" x14ac:dyDescent="0.3">
      <c r="A27" s="9"/>
      <c r="B27" s="9"/>
      <c r="C27" s="9"/>
      <c r="D27" s="360" t="str">
        <f>Calibración!C37</f>
        <v>atm</v>
      </c>
      <c r="E27" s="360"/>
      <c r="F27" s="361" t="str">
        <f>Calibración!D37</f>
        <v>atm</v>
      </c>
      <c r="G27" s="362"/>
      <c r="H27" s="362"/>
      <c r="I27" s="362"/>
      <c r="J27" s="362"/>
      <c r="K27" s="363"/>
      <c r="L27" s="361" t="str">
        <f>Calibración!E37</f>
        <v>atm</v>
      </c>
      <c r="M27" s="362"/>
      <c r="N27" s="362"/>
      <c r="O27" s="362"/>
      <c r="P27" s="362"/>
      <c r="Q27" s="363"/>
      <c r="R27" s="361" t="str">
        <f>Calibración!F37</f>
        <v>atm</v>
      </c>
      <c r="S27" s="362"/>
      <c r="T27" s="362"/>
      <c r="U27" s="362"/>
      <c r="V27" s="362"/>
      <c r="W27" s="363"/>
    </row>
    <row r="28" spans="1:24" x14ac:dyDescent="0.3">
      <c r="A28" s="9"/>
      <c r="B28" s="9"/>
      <c r="C28" s="9"/>
      <c r="D28" s="346" t="str">
        <f ca="1">Calibración!C38</f>
        <v/>
      </c>
      <c r="E28" s="346"/>
      <c r="F28" s="343" t="str">
        <f ca="1">Calibración!D38</f>
        <v/>
      </c>
      <c r="G28" s="344"/>
      <c r="H28" s="344"/>
      <c r="I28" s="344"/>
      <c r="J28" s="344"/>
      <c r="K28" s="345"/>
      <c r="L28" s="343" t="str">
        <f ca="1">Calibración!E38</f>
        <v/>
      </c>
      <c r="M28" s="344"/>
      <c r="N28" s="344"/>
      <c r="O28" s="344"/>
      <c r="P28" s="344"/>
      <c r="Q28" s="345"/>
      <c r="R28" s="343" t="str">
        <f ca="1">Calibración!F38</f>
        <v/>
      </c>
      <c r="S28" s="344"/>
      <c r="T28" s="344"/>
      <c r="U28" s="344"/>
      <c r="V28" s="344"/>
      <c r="W28" s="345"/>
    </row>
    <row r="29" spans="1:24" x14ac:dyDescent="0.3">
      <c r="A29" s="9"/>
      <c r="B29" s="9"/>
      <c r="C29" s="9"/>
      <c r="D29" s="346" t="str">
        <f ca="1">Calibración!C39</f>
        <v/>
      </c>
      <c r="E29" s="346"/>
      <c r="F29" s="343" t="str">
        <f ca="1">Calibración!D39</f>
        <v/>
      </c>
      <c r="G29" s="344"/>
      <c r="H29" s="344"/>
      <c r="I29" s="344"/>
      <c r="J29" s="344"/>
      <c r="K29" s="345"/>
      <c r="L29" s="343" t="str">
        <f ca="1">Calibración!E39</f>
        <v/>
      </c>
      <c r="M29" s="344"/>
      <c r="N29" s="344"/>
      <c r="O29" s="344"/>
      <c r="P29" s="344"/>
      <c r="Q29" s="345"/>
      <c r="R29" s="343" t="str">
        <f ca="1">Calibración!F39</f>
        <v/>
      </c>
      <c r="S29" s="344"/>
      <c r="T29" s="344"/>
      <c r="U29" s="344"/>
      <c r="V29" s="344"/>
      <c r="W29" s="345"/>
    </row>
    <row r="30" spans="1:24" x14ac:dyDescent="0.3">
      <c r="A30" s="9"/>
      <c r="B30" s="9"/>
      <c r="C30" s="9"/>
      <c r="D30" s="346" t="str">
        <f ca="1">Calibración!C40</f>
        <v/>
      </c>
      <c r="E30" s="346"/>
      <c r="F30" s="343" t="str">
        <f ca="1">Calibración!D40</f>
        <v/>
      </c>
      <c r="G30" s="344"/>
      <c r="H30" s="344"/>
      <c r="I30" s="344"/>
      <c r="J30" s="344"/>
      <c r="K30" s="345"/>
      <c r="L30" s="343" t="str">
        <f ca="1">Calibración!E40</f>
        <v/>
      </c>
      <c r="M30" s="344"/>
      <c r="N30" s="344"/>
      <c r="O30" s="344"/>
      <c r="P30" s="344"/>
      <c r="Q30" s="345"/>
      <c r="R30" s="343" t="str">
        <f ca="1">Calibración!F40</f>
        <v/>
      </c>
      <c r="S30" s="344"/>
      <c r="T30" s="344"/>
      <c r="U30" s="344"/>
      <c r="V30" s="344"/>
      <c r="W30" s="345"/>
    </row>
    <row r="31" spans="1:24" x14ac:dyDescent="0.3">
      <c r="A31" s="9"/>
      <c r="B31" s="9"/>
      <c r="C31" s="9"/>
      <c r="D31" s="346" t="str">
        <f ca="1">Calibración!C41</f>
        <v/>
      </c>
      <c r="E31" s="346"/>
      <c r="F31" s="343" t="str">
        <f ca="1">Calibración!D41</f>
        <v/>
      </c>
      <c r="G31" s="344"/>
      <c r="H31" s="344"/>
      <c r="I31" s="344"/>
      <c r="J31" s="344"/>
      <c r="K31" s="345"/>
      <c r="L31" s="343" t="str">
        <f ca="1">Calibración!E41</f>
        <v/>
      </c>
      <c r="M31" s="344"/>
      <c r="N31" s="344"/>
      <c r="O31" s="344"/>
      <c r="P31" s="344"/>
      <c r="Q31" s="345"/>
      <c r="R31" s="343" t="str">
        <f ca="1">Calibración!F41</f>
        <v/>
      </c>
      <c r="S31" s="344"/>
      <c r="T31" s="344"/>
      <c r="U31" s="344"/>
      <c r="V31" s="344"/>
      <c r="W31" s="345"/>
    </row>
    <row r="32" spans="1:24" x14ac:dyDescent="0.3">
      <c r="A32" s="9"/>
      <c r="B32" s="9"/>
      <c r="C32" s="9"/>
      <c r="D32" s="346" t="str">
        <f ca="1">Calibración!C42</f>
        <v/>
      </c>
      <c r="E32" s="346"/>
      <c r="F32" s="343" t="str">
        <f ca="1">Calibración!D42</f>
        <v/>
      </c>
      <c r="G32" s="344"/>
      <c r="H32" s="344"/>
      <c r="I32" s="344"/>
      <c r="J32" s="344"/>
      <c r="K32" s="345"/>
      <c r="L32" s="343" t="str">
        <f ca="1">Calibración!E42</f>
        <v/>
      </c>
      <c r="M32" s="344"/>
      <c r="N32" s="344"/>
      <c r="O32" s="344"/>
      <c r="P32" s="344"/>
      <c r="Q32" s="345"/>
      <c r="R32" s="343" t="str">
        <f ca="1">Calibración!F42</f>
        <v/>
      </c>
      <c r="S32" s="344"/>
      <c r="T32" s="344"/>
      <c r="U32" s="344"/>
      <c r="V32" s="344"/>
      <c r="W32" s="345"/>
    </row>
    <row r="33" spans="1:23" x14ac:dyDescent="0.3">
      <c r="A33" s="9"/>
      <c r="B33" s="9"/>
      <c r="C33" s="9"/>
      <c r="D33" s="346" t="str">
        <f ca="1">Calibración!C43</f>
        <v/>
      </c>
      <c r="E33" s="346"/>
      <c r="F33" s="343" t="str">
        <f ca="1">Calibración!D43</f>
        <v/>
      </c>
      <c r="G33" s="344"/>
      <c r="H33" s="344"/>
      <c r="I33" s="344"/>
      <c r="J33" s="344"/>
      <c r="K33" s="345"/>
      <c r="L33" s="343" t="str">
        <f ca="1">Calibración!E43</f>
        <v/>
      </c>
      <c r="M33" s="344"/>
      <c r="N33" s="344"/>
      <c r="O33" s="344"/>
      <c r="P33" s="344"/>
      <c r="Q33" s="345"/>
      <c r="R33" s="343" t="str">
        <f ca="1">Calibración!F43</f>
        <v/>
      </c>
      <c r="S33" s="344"/>
      <c r="T33" s="344"/>
      <c r="U33" s="344"/>
      <c r="V33" s="344"/>
      <c r="W33" s="345"/>
    </row>
    <row r="34" spans="1:23" x14ac:dyDescent="0.3">
      <c r="A34" s="9"/>
      <c r="B34" s="9"/>
      <c r="C34" s="9"/>
      <c r="D34" s="346" t="str">
        <f ca="1">Calibración!C44</f>
        <v/>
      </c>
      <c r="E34" s="346"/>
      <c r="F34" s="343" t="str">
        <f ca="1">Calibración!D44</f>
        <v/>
      </c>
      <c r="G34" s="344"/>
      <c r="H34" s="344"/>
      <c r="I34" s="344"/>
      <c r="J34" s="344"/>
      <c r="K34" s="345"/>
      <c r="L34" s="343" t="str">
        <f ca="1">Calibración!E44</f>
        <v/>
      </c>
      <c r="M34" s="344"/>
      <c r="N34" s="344"/>
      <c r="O34" s="344"/>
      <c r="P34" s="344"/>
      <c r="Q34" s="345"/>
      <c r="R34" s="343" t="str">
        <f ca="1">Calibración!F44</f>
        <v/>
      </c>
      <c r="S34" s="344"/>
      <c r="T34" s="344"/>
      <c r="U34" s="344"/>
      <c r="V34" s="344"/>
      <c r="W34" s="345"/>
    </row>
    <row r="35" spans="1:23" x14ac:dyDescent="0.3">
      <c r="A35" s="9"/>
      <c r="B35" s="9"/>
      <c r="C35" s="9"/>
      <c r="D35" s="346" t="str">
        <f ca="1">Calibración!C45</f>
        <v/>
      </c>
      <c r="E35" s="346"/>
      <c r="F35" s="343" t="str">
        <f ca="1">Calibración!D45</f>
        <v/>
      </c>
      <c r="G35" s="344"/>
      <c r="H35" s="344"/>
      <c r="I35" s="344"/>
      <c r="J35" s="344"/>
      <c r="K35" s="345"/>
      <c r="L35" s="343" t="str">
        <f ca="1">Calibración!E45</f>
        <v/>
      </c>
      <c r="M35" s="344"/>
      <c r="N35" s="344"/>
      <c r="O35" s="344"/>
      <c r="P35" s="344"/>
      <c r="Q35" s="345"/>
      <c r="R35" s="343" t="str">
        <f ca="1">Calibración!F45</f>
        <v/>
      </c>
      <c r="S35" s="344"/>
      <c r="T35" s="344"/>
      <c r="U35" s="344"/>
      <c r="V35" s="344"/>
      <c r="W35" s="345"/>
    </row>
    <row r="36" spans="1:23" x14ac:dyDescent="0.3">
      <c r="A36" s="9"/>
      <c r="B36" s="9"/>
      <c r="C36" s="9"/>
      <c r="D36" s="346" t="str">
        <f ca="1">Calibración!C46</f>
        <v/>
      </c>
      <c r="E36" s="346"/>
      <c r="F36" s="343" t="str">
        <f ca="1">Calibración!D46</f>
        <v/>
      </c>
      <c r="G36" s="344"/>
      <c r="H36" s="344"/>
      <c r="I36" s="344"/>
      <c r="J36" s="344"/>
      <c r="K36" s="345"/>
      <c r="L36" s="343" t="str">
        <f ca="1">Calibración!E46</f>
        <v/>
      </c>
      <c r="M36" s="344"/>
      <c r="N36" s="344"/>
      <c r="O36" s="344"/>
      <c r="P36" s="344"/>
      <c r="Q36" s="345"/>
      <c r="R36" s="343" t="str">
        <f ca="1">Calibración!F46</f>
        <v/>
      </c>
      <c r="S36" s="344"/>
      <c r="T36" s="344"/>
      <c r="U36" s="344"/>
      <c r="V36" s="344"/>
      <c r="W36" s="345"/>
    </row>
    <row r="37" spans="1:23" x14ac:dyDescent="0.3">
      <c r="A37" s="9"/>
      <c r="B37" s="9"/>
      <c r="C37" s="9"/>
      <c r="D37" s="346" t="str">
        <f ca="1">Calibración!C47</f>
        <v/>
      </c>
      <c r="E37" s="346"/>
      <c r="F37" s="343" t="str">
        <f ca="1">Calibración!D47</f>
        <v/>
      </c>
      <c r="G37" s="344"/>
      <c r="H37" s="344"/>
      <c r="I37" s="344"/>
      <c r="J37" s="344"/>
      <c r="K37" s="345"/>
      <c r="L37" s="343" t="str">
        <f ca="1">Calibración!E47</f>
        <v/>
      </c>
      <c r="M37" s="344"/>
      <c r="N37" s="344"/>
      <c r="O37" s="344"/>
      <c r="P37" s="344"/>
      <c r="Q37" s="345"/>
      <c r="R37" s="343" t="str">
        <f ca="1">Calibración!F47</f>
        <v/>
      </c>
      <c r="S37" s="344"/>
      <c r="T37" s="344"/>
      <c r="U37" s="344"/>
      <c r="V37" s="344"/>
      <c r="W37" s="345"/>
    </row>
    <row r="38" spans="1:23" x14ac:dyDescent="0.3">
      <c r="A38" s="9"/>
      <c r="B38" s="9"/>
      <c r="C38" s="9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</row>
    <row r="39" spans="1:23" x14ac:dyDescent="0.3">
      <c r="A39" s="9"/>
      <c r="B39" s="9"/>
      <c r="C39" s="9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</row>
    <row r="40" spans="1:23" x14ac:dyDescent="0.3">
      <c r="A40" s="9"/>
      <c r="B40" s="9"/>
      <c r="C40" s="9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</row>
    <row r="41" spans="1:23" x14ac:dyDescent="0.3">
      <c r="A41" s="9"/>
      <c r="B41" s="9"/>
      <c r="C41" s="9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</row>
    <row r="42" spans="1:23" x14ac:dyDescent="0.3">
      <c r="A42" s="9"/>
      <c r="B42" s="9"/>
      <c r="C42" s="9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</row>
    <row r="43" spans="1:23" x14ac:dyDescent="0.3">
      <c r="A43" s="9"/>
      <c r="B43" s="9"/>
      <c r="C43" s="9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</row>
    <row r="44" spans="1:23" x14ac:dyDescent="0.3">
      <c r="A44" s="9"/>
      <c r="B44" s="9"/>
      <c r="C44" s="9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</row>
    <row r="45" spans="1:23" x14ac:dyDescent="0.3">
      <c r="A45" s="9"/>
      <c r="B45" s="9"/>
      <c r="C45" s="9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</row>
    <row r="46" spans="1:23" x14ac:dyDescent="0.3">
      <c r="A46" s="9"/>
      <c r="B46" s="9"/>
      <c r="C46" s="9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</row>
    <row r="47" spans="1:23" x14ac:dyDescent="0.3">
      <c r="A47" s="9"/>
      <c r="B47" s="9"/>
      <c r="C47" s="9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</row>
    <row r="48" spans="1:23" x14ac:dyDescent="0.3">
      <c r="A48" s="9"/>
      <c r="B48" s="9"/>
      <c r="C48" s="9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</row>
    <row r="49" spans="1:23" x14ac:dyDescent="0.3">
      <c r="A49" s="9"/>
      <c r="B49" s="9"/>
      <c r="C49" s="9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</row>
    <row r="50" spans="1:23" x14ac:dyDescent="0.3">
      <c r="A50" s="9"/>
      <c r="B50" s="9"/>
      <c r="C50" s="9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</row>
    <row r="51" spans="1:23" x14ac:dyDescent="0.3">
      <c r="A51" s="9"/>
      <c r="B51" s="9"/>
      <c r="C51" s="9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</row>
    <row r="52" spans="1:23" x14ac:dyDescent="0.3">
      <c r="A52" s="9"/>
      <c r="B52" s="9"/>
      <c r="C52" s="9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</row>
    <row r="53" spans="1:23" x14ac:dyDescent="0.3">
      <c r="A53" s="9"/>
      <c r="B53" s="9"/>
      <c r="C53" s="9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</row>
    <row r="54" spans="1:23" x14ac:dyDescent="0.3">
      <c r="A54" s="9"/>
      <c r="B54" s="9"/>
      <c r="C54" s="9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</row>
    <row r="55" spans="1:23" x14ac:dyDescent="0.3">
      <c r="A55" s="9"/>
      <c r="B55" s="9"/>
      <c r="C55" s="9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</row>
    <row r="56" spans="1:23" x14ac:dyDescent="0.3">
      <c r="A56" s="9"/>
      <c r="B56" s="9"/>
      <c r="C56" s="9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</row>
    <row r="57" spans="1:23" x14ac:dyDescent="0.3">
      <c r="A57" s="9"/>
      <c r="B57" s="9"/>
      <c r="C57" s="9"/>
      <c r="D57" s="318"/>
      <c r="E57" s="318"/>
      <c r="F57" s="318"/>
      <c r="G57" s="318"/>
      <c r="H57" s="318"/>
      <c r="I57" s="318"/>
      <c r="J57" s="318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</row>
    <row r="58" spans="1:23" x14ac:dyDescent="0.3">
      <c r="A58" s="9"/>
      <c r="B58" s="9"/>
      <c r="C58" s="9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</row>
    <row r="59" spans="1:23" x14ac:dyDescent="0.3">
      <c r="A59" s="9"/>
      <c r="B59" s="9"/>
      <c r="C59" s="9"/>
      <c r="D59" s="318"/>
      <c r="E59" s="318"/>
      <c r="F59" s="318"/>
      <c r="G59" s="318"/>
      <c r="H59" s="318"/>
      <c r="I59" s="318"/>
      <c r="J59" s="318"/>
      <c r="K59" s="318"/>
      <c r="L59" s="318"/>
      <c r="M59" s="318"/>
      <c r="N59" s="318"/>
      <c r="O59" s="318"/>
      <c r="P59" s="318"/>
      <c r="Q59" s="318"/>
      <c r="R59" s="318"/>
      <c r="S59" s="318"/>
      <c r="T59" s="318"/>
      <c r="U59" s="318"/>
      <c r="V59" s="318"/>
      <c r="W59" s="318"/>
    </row>
    <row r="60" spans="1:23" x14ac:dyDescent="0.3">
      <c r="A60" s="224" t="s">
        <v>698</v>
      </c>
      <c r="D60" s="230"/>
      <c r="E60" s="230"/>
      <c r="F60" s="231"/>
      <c r="G60" s="231"/>
      <c r="H60" s="231"/>
      <c r="I60" s="231"/>
      <c r="J60" s="231"/>
      <c r="K60" s="231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</row>
    <row r="61" spans="1:23" x14ac:dyDescent="0.3">
      <c r="A61" s="9"/>
      <c r="B61" s="9"/>
      <c r="C61" s="9"/>
      <c r="D61" s="357" t="s">
        <v>363</v>
      </c>
      <c r="E61" s="357"/>
      <c r="F61" s="357"/>
      <c r="G61" s="357"/>
      <c r="H61" s="357"/>
      <c r="I61" s="357"/>
      <c r="J61" s="357"/>
      <c r="K61" s="357"/>
      <c r="L61" s="357"/>
      <c r="M61" s="357"/>
      <c r="N61" s="357"/>
      <c r="O61" s="357"/>
      <c r="P61" s="357"/>
      <c r="Q61" s="357"/>
      <c r="R61" s="357"/>
      <c r="S61" s="357"/>
      <c r="T61" s="357"/>
      <c r="U61" s="357"/>
      <c r="V61" s="357"/>
      <c r="W61" s="357"/>
    </row>
    <row r="62" spans="1:23" ht="15" customHeight="1" x14ac:dyDescent="0.3">
      <c r="A62" s="9"/>
      <c r="B62" s="9"/>
      <c r="C62" s="9"/>
      <c r="D62" s="358" t="s">
        <v>631</v>
      </c>
      <c r="E62" s="358"/>
      <c r="F62" s="359" t="s">
        <v>696</v>
      </c>
      <c r="G62" s="359"/>
      <c r="H62" s="359"/>
      <c r="I62" s="359"/>
      <c r="J62" s="359"/>
      <c r="K62" s="359"/>
      <c r="L62" s="359" t="s">
        <v>364</v>
      </c>
      <c r="M62" s="359"/>
      <c r="N62" s="359"/>
      <c r="O62" s="359"/>
      <c r="P62" s="359"/>
      <c r="Q62" s="359"/>
      <c r="R62" s="358" t="s">
        <v>697</v>
      </c>
      <c r="S62" s="358"/>
      <c r="T62" s="358"/>
      <c r="U62" s="358"/>
      <c r="V62" s="358"/>
      <c r="W62" s="358"/>
    </row>
    <row r="63" spans="1:23" x14ac:dyDescent="0.3">
      <c r="A63" s="9"/>
      <c r="B63" s="9"/>
      <c r="C63" s="9"/>
      <c r="D63" s="358"/>
      <c r="E63" s="358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8"/>
      <c r="S63" s="358"/>
      <c r="T63" s="358"/>
      <c r="U63" s="358"/>
      <c r="V63" s="358"/>
      <c r="W63" s="358"/>
    </row>
    <row r="64" spans="1:23" x14ac:dyDescent="0.3">
      <c r="A64" s="9"/>
      <c r="B64" s="9"/>
      <c r="C64" s="9"/>
      <c r="D64" s="360" t="str">
        <f>Calibración!G37</f>
        <v>kPa</v>
      </c>
      <c r="E64" s="360"/>
      <c r="F64" s="361" t="str">
        <f>Calibración!H37</f>
        <v>kPa</v>
      </c>
      <c r="G64" s="362"/>
      <c r="H64" s="362"/>
      <c r="I64" s="362"/>
      <c r="J64" s="362"/>
      <c r="K64" s="363"/>
      <c r="L64" s="360" t="str">
        <f>Calibración!I37</f>
        <v>kPa</v>
      </c>
      <c r="M64" s="360"/>
      <c r="N64" s="360"/>
      <c r="O64" s="360"/>
      <c r="P64" s="360"/>
      <c r="Q64" s="360"/>
      <c r="R64" s="360" t="str">
        <f>Calibración!J37</f>
        <v>kPa</v>
      </c>
      <c r="S64" s="360"/>
      <c r="T64" s="360"/>
      <c r="U64" s="360"/>
      <c r="V64" s="360"/>
      <c r="W64" s="360"/>
    </row>
    <row r="65" spans="1:23" x14ac:dyDescent="0.3">
      <c r="A65" s="9"/>
      <c r="B65" s="9"/>
      <c r="C65" s="9"/>
      <c r="D65" s="350" t="str">
        <f ca="1">Calibración!G38</f>
        <v/>
      </c>
      <c r="E65" s="350"/>
      <c r="F65" s="347" t="str">
        <f ca="1">Calibración!H38</f>
        <v/>
      </c>
      <c r="G65" s="348"/>
      <c r="H65" s="348"/>
      <c r="I65" s="348"/>
      <c r="J65" s="348"/>
      <c r="K65" s="349"/>
      <c r="L65" s="350" t="str">
        <f ca="1">Calibración!I38</f>
        <v/>
      </c>
      <c r="M65" s="350"/>
      <c r="N65" s="350"/>
      <c r="O65" s="350"/>
      <c r="P65" s="350"/>
      <c r="Q65" s="350"/>
      <c r="R65" s="350" t="str">
        <f ca="1">Calibración!J38</f>
        <v/>
      </c>
      <c r="S65" s="350"/>
      <c r="T65" s="350"/>
      <c r="U65" s="350"/>
      <c r="V65" s="350"/>
      <c r="W65" s="350"/>
    </row>
    <row r="66" spans="1:23" x14ac:dyDescent="0.3">
      <c r="A66" s="9"/>
      <c r="B66" s="9"/>
      <c r="C66" s="9"/>
      <c r="D66" s="350" t="str">
        <f ca="1">Calibración!G39</f>
        <v/>
      </c>
      <c r="E66" s="350"/>
      <c r="F66" s="347" t="str">
        <f ca="1">Calibración!H39</f>
        <v/>
      </c>
      <c r="G66" s="348"/>
      <c r="H66" s="348"/>
      <c r="I66" s="348"/>
      <c r="J66" s="348"/>
      <c r="K66" s="349"/>
      <c r="L66" s="350" t="str">
        <f ca="1">Calibración!I39</f>
        <v/>
      </c>
      <c r="M66" s="350"/>
      <c r="N66" s="350"/>
      <c r="O66" s="350"/>
      <c r="P66" s="350"/>
      <c r="Q66" s="350"/>
      <c r="R66" s="350" t="str">
        <f ca="1">Calibración!J39</f>
        <v/>
      </c>
      <c r="S66" s="350"/>
      <c r="T66" s="350"/>
      <c r="U66" s="350"/>
      <c r="V66" s="350"/>
      <c r="W66" s="350"/>
    </row>
    <row r="67" spans="1:23" x14ac:dyDescent="0.3">
      <c r="A67" s="9"/>
      <c r="B67" s="9"/>
      <c r="C67" s="9"/>
      <c r="D67" s="350" t="str">
        <f ca="1">Calibración!G40</f>
        <v/>
      </c>
      <c r="E67" s="350"/>
      <c r="F67" s="347" t="str">
        <f ca="1">Calibración!H40</f>
        <v/>
      </c>
      <c r="G67" s="348"/>
      <c r="H67" s="348"/>
      <c r="I67" s="348"/>
      <c r="J67" s="348"/>
      <c r="K67" s="349"/>
      <c r="L67" s="350" t="str">
        <f ca="1">Calibración!I40</f>
        <v/>
      </c>
      <c r="M67" s="350"/>
      <c r="N67" s="350"/>
      <c r="O67" s="350"/>
      <c r="P67" s="350"/>
      <c r="Q67" s="350"/>
      <c r="R67" s="350" t="str">
        <f ca="1">Calibración!J40</f>
        <v/>
      </c>
      <c r="S67" s="350"/>
      <c r="T67" s="350"/>
      <c r="U67" s="350"/>
      <c r="V67" s="350"/>
      <c r="W67" s="350"/>
    </row>
    <row r="68" spans="1:23" x14ac:dyDescent="0.3">
      <c r="A68" s="9"/>
      <c r="B68" s="9"/>
      <c r="C68" s="9"/>
      <c r="D68" s="350" t="str">
        <f ca="1">Calibración!G41</f>
        <v/>
      </c>
      <c r="E68" s="350"/>
      <c r="F68" s="347" t="str">
        <f ca="1">Calibración!H41</f>
        <v/>
      </c>
      <c r="G68" s="348"/>
      <c r="H68" s="348"/>
      <c r="I68" s="348"/>
      <c r="J68" s="348"/>
      <c r="K68" s="349"/>
      <c r="L68" s="350" t="str">
        <f ca="1">Calibración!I41</f>
        <v/>
      </c>
      <c r="M68" s="350"/>
      <c r="N68" s="350"/>
      <c r="O68" s="350"/>
      <c r="P68" s="350"/>
      <c r="Q68" s="350"/>
      <c r="R68" s="350" t="str">
        <f ca="1">Calibración!J41</f>
        <v/>
      </c>
      <c r="S68" s="350"/>
      <c r="T68" s="350"/>
      <c r="U68" s="350"/>
      <c r="V68" s="350"/>
      <c r="W68" s="350"/>
    </row>
    <row r="69" spans="1:23" x14ac:dyDescent="0.3">
      <c r="A69" s="9"/>
      <c r="B69" s="9"/>
      <c r="C69" s="9"/>
      <c r="D69" s="350" t="str">
        <f ca="1">Calibración!G42</f>
        <v/>
      </c>
      <c r="E69" s="350"/>
      <c r="F69" s="347" t="str">
        <f ca="1">Calibración!H42</f>
        <v/>
      </c>
      <c r="G69" s="348"/>
      <c r="H69" s="348"/>
      <c r="I69" s="348"/>
      <c r="J69" s="348"/>
      <c r="K69" s="349"/>
      <c r="L69" s="350" t="str">
        <f ca="1">Calibración!I42</f>
        <v/>
      </c>
      <c r="M69" s="350"/>
      <c r="N69" s="350"/>
      <c r="O69" s="350"/>
      <c r="P69" s="350"/>
      <c r="Q69" s="350"/>
      <c r="R69" s="350" t="str">
        <f ca="1">Calibración!J42</f>
        <v/>
      </c>
      <c r="S69" s="350"/>
      <c r="T69" s="350"/>
      <c r="U69" s="350"/>
      <c r="V69" s="350"/>
      <c r="W69" s="350"/>
    </row>
    <row r="70" spans="1:23" x14ac:dyDescent="0.3">
      <c r="A70" s="9"/>
      <c r="B70" s="9"/>
      <c r="C70" s="9"/>
      <c r="D70" s="350" t="str">
        <f ca="1">Calibración!G43</f>
        <v/>
      </c>
      <c r="E70" s="350"/>
      <c r="F70" s="347" t="str">
        <f ca="1">Calibración!H43</f>
        <v/>
      </c>
      <c r="G70" s="348"/>
      <c r="H70" s="348"/>
      <c r="I70" s="348"/>
      <c r="J70" s="348"/>
      <c r="K70" s="349"/>
      <c r="L70" s="350" t="str">
        <f ca="1">Calibración!I43</f>
        <v/>
      </c>
      <c r="M70" s="350"/>
      <c r="N70" s="350"/>
      <c r="O70" s="350"/>
      <c r="P70" s="350"/>
      <c r="Q70" s="350"/>
      <c r="R70" s="350" t="str">
        <f ca="1">Calibración!J43</f>
        <v/>
      </c>
      <c r="S70" s="350"/>
      <c r="T70" s="350"/>
      <c r="U70" s="350"/>
      <c r="V70" s="350"/>
      <c r="W70" s="350"/>
    </row>
    <row r="71" spans="1:23" x14ac:dyDescent="0.3">
      <c r="A71" s="9"/>
      <c r="B71" s="9"/>
      <c r="C71" s="9"/>
      <c r="D71" s="350" t="str">
        <f ca="1">Calibración!G44</f>
        <v/>
      </c>
      <c r="E71" s="350"/>
      <c r="F71" s="347" t="str">
        <f ca="1">Calibración!H44</f>
        <v/>
      </c>
      <c r="G71" s="348"/>
      <c r="H71" s="348"/>
      <c r="I71" s="348"/>
      <c r="J71" s="348"/>
      <c r="K71" s="349"/>
      <c r="L71" s="350" t="str">
        <f ca="1">Calibración!I44</f>
        <v/>
      </c>
      <c r="M71" s="350"/>
      <c r="N71" s="350"/>
      <c r="O71" s="350"/>
      <c r="P71" s="350"/>
      <c r="Q71" s="350"/>
      <c r="R71" s="350" t="str">
        <f ca="1">Calibración!J44</f>
        <v/>
      </c>
      <c r="S71" s="350"/>
      <c r="T71" s="350"/>
      <c r="U71" s="350"/>
      <c r="V71" s="350"/>
      <c r="W71" s="350"/>
    </row>
    <row r="72" spans="1:23" x14ac:dyDescent="0.3">
      <c r="A72" s="9"/>
      <c r="B72" s="9"/>
      <c r="C72" s="9"/>
      <c r="D72" s="350" t="str">
        <f ca="1">Calibración!G45</f>
        <v/>
      </c>
      <c r="E72" s="350"/>
      <c r="F72" s="347" t="str">
        <f ca="1">Calibración!H45</f>
        <v/>
      </c>
      <c r="G72" s="348"/>
      <c r="H72" s="348"/>
      <c r="I72" s="348"/>
      <c r="J72" s="348"/>
      <c r="K72" s="349"/>
      <c r="L72" s="350" t="str">
        <f ca="1">Calibración!I45</f>
        <v/>
      </c>
      <c r="M72" s="350"/>
      <c r="N72" s="350"/>
      <c r="O72" s="350"/>
      <c r="P72" s="350"/>
      <c r="Q72" s="350"/>
      <c r="R72" s="350" t="str">
        <f ca="1">Calibración!J45</f>
        <v/>
      </c>
      <c r="S72" s="350"/>
      <c r="T72" s="350"/>
      <c r="U72" s="350"/>
      <c r="V72" s="350"/>
      <c r="W72" s="350"/>
    </row>
    <row r="73" spans="1:23" x14ac:dyDescent="0.3">
      <c r="A73" s="9"/>
      <c r="B73" s="9"/>
      <c r="C73" s="9"/>
      <c r="D73" s="350" t="str">
        <f ca="1">Calibración!G46</f>
        <v/>
      </c>
      <c r="E73" s="350"/>
      <c r="F73" s="347" t="str">
        <f ca="1">Calibración!H46</f>
        <v/>
      </c>
      <c r="G73" s="348"/>
      <c r="H73" s="348"/>
      <c r="I73" s="348"/>
      <c r="J73" s="348"/>
      <c r="K73" s="349"/>
      <c r="L73" s="350" t="str">
        <f ca="1">Calibración!I46</f>
        <v/>
      </c>
      <c r="M73" s="350"/>
      <c r="N73" s="350"/>
      <c r="O73" s="350"/>
      <c r="P73" s="350"/>
      <c r="Q73" s="350"/>
      <c r="R73" s="350" t="str">
        <f ca="1">Calibración!J46</f>
        <v/>
      </c>
      <c r="S73" s="350"/>
      <c r="T73" s="350"/>
      <c r="U73" s="350"/>
      <c r="V73" s="350"/>
      <c r="W73" s="350"/>
    </row>
    <row r="74" spans="1:23" x14ac:dyDescent="0.3">
      <c r="A74" s="9"/>
      <c r="B74" s="9"/>
      <c r="C74" s="9"/>
      <c r="D74" s="350" t="str">
        <f ca="1">Calibración!G47</f>
        <v/>
      </c>
      <c r="E74" s="350"/>
      <c r="F74" s="347" t="str">
        <f ca="1">Calibración!H47</f>
        <v/>
      </c>
      <c r="G74" s="348"/>
      <c r="H74" s="348"/>
      <c r="I74" s="348"/>
      <c r="J74" s="348"/>
      <c r="K74" s="349"/>
      <c r="L74" s="350" t="str">
        <f ca="1">Calibración!I47</f>
        <v/>
      </c>
      <c r="M74" s="350"/>
      <c r="N74" s="350"/>
      <c r="O74" s="350"/>
      <c r="P74" s="350"/>
      <c r="Q74" s="350"/>
      <c r="R74" s="350" t="str">
        <f ca="1">Calibración!J47</f>
        <v/>
      </c>
      <c r="S74" s="350"/>
      <c r="T74" s="350"/>
      <c r="U74" s="350"/>
      <c r="V74" s="350"/>
      <c r="W74" s="350"/>
    </row>
    <row r="75" spans="1:23" x14ac:dyDescent="0.3">
      <c r="A75" s="9"/>
      <c r="B75" s="9"/>
      <c r="C75" s="9"/>
      <c r="D75" s="319"/>
      <c r="E75" s="319"/>
      <c r="F75" s="319"/>
      <c r="G75" s="319"/>
      <c r="H75" s="319"/>
      <c r="I75" s="319"/>
      <c r="J75" s="319"/>
      <c r="K75" s="319"/>
      <c r="L75" s="319"/>
      <c r="M75" s="319"/>
      <c r="N75" s="319"/>
      <c r="O75" s="319"/>
      <c r="P75" s="319"/>
      <c r="Q75" s="319"/>
      <c r="R75" s="319"/>
      <c r="S75" s="319"/>
      <c r="T75" s="319"/>
      <c r="U75" s="319"/>
      <c r="V75" s="319"/>
      <c r="W75" s="319"/>
    </row>
    <row r="76" spans="1:23" x14ac:dyDescent="0.3">
      <c r="A76" s="9"/>
      <c r="B76" s="9"/>
      <c r="C76" s="9"/>
      <c r="D76" s="319"/>
      <c r="E76" s="319"/>
      <c r="F76" s="319"/>
      <c r="G76" s="319"/>
      <c r="H76" s="319"/>
      <c r="I76" s="319"/>
      <c r="J76" s="319"/>
      <c r="K76" s="319"/>
      <c r="L76" s="319"/>
      <c r="M76" s="319"/>
      <c r="N76" s="319"/>
      <c r="O76" s="319"/>
      <c r="P76" s="319"/>
      <c r="Q76" s="319"/>
      <c r="R76" s="319"/>
      <c r="S76" s="319"/>
      <c r="T76" s="319"/>
      <c r="U76" s="319"/>
      <c r="V76" s="319"/>
      <c r="W76" s="319"/>
    </row>
    <row r="77" spans="1:23" x14ac:dyDescent="0.3">
      <c r="A77" s="9"/>
      <c r="B77" s="9"/>
      <c r="C77" s="9"/>
      <c r="D77" s="319"/>
      <c r="E77" s="319"/>
      <c r="F77" s="319"/>
      <c r="G77" s="319"/>
      <c r="H77" s="319"/>
      <c r="I77" s="319"/>
      <c r="J77" s="319"/>
      <c r="K77" s="319"/>
      <c r="L77" s="319"/>
      <c r="M77" s="319"/>
      <c r="N77" s="319"/>
      <c r="O77" s="319"/>
      <c r="P77" s="319"/>
      <c r="Q77" s="319"/>
      <c r="R77" s="319"/>
      <c r="S77" s="319"/>
      <c r="T77" s="319"/>
      <c r="U77" s="319"/>
      <c r="V77" s="319"/>
      <c r="W77" s="319"/>
    </row>
    <row r="78" spans="1:23" x14ac:dyDescent="0.3">
      <c r="O78" s="232"/>
    </row>
    <row r="79" spans="1:23" x14ac:dyDescent="0.3">
      <c r="A79" s="224" t="s">
        <v>699</v>
      </c>
      <c r="B79" s="9"/>
      <c r="C79" s="9"/>
      <c r="D79" s="9"/>
      <c r="E79" s="9"/>
      <c r="F79" s="233" t="s">
        <v>367</v>
      </c>
      <c r="H79" s="9"/>
      <c r="I79" s="9"/>
      <c r="J79" s="233" t="str">
        <f>General!I4</f>
        <v>NI-MCPPT-02</v>
      </c>
      <c r="L79" s="9"/>
      <c r="O79" s="224" t="s">
        <v>700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4"/>
      <c r="B80" s="371" t="s">
        <v>701</v>
      </c>
      <c r="C80" s="371"/>
      <c r="D80" s="371"/>
      <c r="E80" s="235" t="str">
        <f>CertTempC</f>
        <v/>
      </c>
      <c r="F80" s="236" t="s">
        <v>702</v>
      </c>
      <c r="G80" s="237">
        <f>CertTempIncerti</f>
        <v>0.4</v>
      </c>
      <c r="H80" s="234" t="s">
        <v>365</v>
      </c>
      <c r="I80" s="9"/>
      <c r="J80" s="9"/>
      <c r="K80" s="354"/>
      <c r="L80" s="354"/>
      <c r="M80" s="9"/>
      <c r="N80" s="9"/>
      <c r="O80" s="9"/>
      <c r="P80" s="234" t="s">
        <v>736</v>
      </c>
      <c r="Q80" s="9"/>
      <c r="R80" s="9"/>
      <c r="S80" s="9"/>
      <c r="T80" s="372" t="str">
        <f>General!I18</f>
        <v/>
      </c>
      <c r="U80" s="372"/>
      <c r="V80" s="236" t="s">
        <v>703</v>
      </c>
      <c r="W80" s="235">
        <f>CertPresIncert</f>
        <v>2.4700000000000002</v>
      </c>
    </row>
    <row r="81" spans="1:25" x14ac:dyDescent="0.3">
      <c r="A81" s="234"/>
      <c r="B81" s="234" t="s">
        <v>704</v>
      </c>
      <c r="C81" s="234"/>
      <c r="D81" s="234"/>
      <c r="E81" s="235" t="str">
        <f>CertHR</f>
        <v/>
      </c>
      <c r="F81" s="236" t="s">
        <v>705</v>
      </c>
      <c r="G81" s="237">
        <f>CertHRIncerti</f>
        <v>1.3</v>
      </c>
      <c r="H81" s="236" t="s">
        <v>706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2"/>
    </row>
    <row r="83" spans="1:25" x14ac:dyDescent="0.3">
      <c r="O83" s="232"/>
    </row>
    <row r="84" spans="1:25" x14ac:dyDescent="0.3">
      <c r="O84" s="232"/>
    </row>
    <row r="85" spans="1:25" x14ac:dyDescent="0.3">
      <c r="O85" s="232"/>
    </row>
    <row r="86" spans="1:25" x14ac:dyDescent="0.3">
      <c r="O86" s="232"/>
    </row>
    <row r="87" spans="1:25" x14ac:dyDescent="0.3">
      <c r="O87" s="232"/>
    </row>
    <row r="88" spans="1:25" x14ac:dyDescent="0.3">
      <c r="O88" s="232"/>
    </row>
    <row r="89" spans="1:25" x14ac:dyDescent="0.3">
      <c r="O89" s="232"/>
    </row>
    <row r="90" spans="1:25" x14ac:dyDescent="0.3">
      <c r="O90" s="232"/>
    </row>
    <row r="91" spans="1:25" x14ac:dyDescent="0.3">
      <c r="O91" s="232"/>
    </row>
    <row r="92" spans="1:25" x14ac:dyDescent="0.3">
      <c r="A92" s="224" t="s">
        <v>682</v>
      </c>
      <c r="B92" s="9"/>
      <c r="C92" s="225"/>
      <c r="D92" s="226"/>
      <c r="E92" s="226"/>
      <c r="F92" s="226"/>
      <c r="G92" s="9"/>
      <c r="H92" s="9"/>
      <c r="I92" s="9"/>
      <c r="J92" s="9"/>
      <c r="K92" s="9"/>
      <c r="L92" s="9"/>
      <c r="M92" s="9"/>
      <c r="N92" s="352" t="str">
        <f>N8</f>
        <v>NI-MC-P-XXX-ZZZZ</v>
      </c>
      <c r="O92" s="352"/>
      <c r="P92" s="352"/>
      <c r="Q92" s="352"/>
      <c r="R92" s="352"/>
      <c r="S92" s="352"/>
      <c r="T92" s="352"/>
      <c r="U92" s="352"/>
      <c r="V92" s="352"/>
      <c r="W92" s="352"/>
      <c r="X92" s="352"/>
    </row>
    <row r="93" spans="1:25" x14ac:dyDescent="0.3">
      <c r="O93" s="232"/>
    </row>
    <row r="94" spans="1:25" x14ac:dyDescent="0.3">
      <c r="X94" s="9"/>
      <c r="Y94" s="9"/>
    </row>
    <row r="95" spans="1:25" x14ac:dyDescent="0.3">
      <c r="A95" s="224" t="s">
        <v>707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64" t="s">
        <v>1127</v>
      </c>
      <c r="B96" s="364"/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4" t="s">
        <v>708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64" t="s">
        <v>709</v>
      </c>
      <c r="B99" s="364"/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</row>
    <row r="100" spans="1:24" ht="15" customHeight="1" x14ac:dyDescent="0.3">
      <c r="A100" s="364"/>
      <c r="B100" s="364"/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</row>
    <row r="101" spans="1:24" ht="15" customHeight="1" x14ac:dyDescent="0.3">
      <c r="A101" s="364"/>
      <c r="B101" s="364"/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</row>
    <row r="102" spans="1:24" x14ac:dyDescent="0.3">
      <c r="A102" s="364"/>
      <c r="B102" s="364"/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</row>
    <row r="103" spans="1:24" x14ac:dyDescent="0.3">
      <c r="A103" s="364"/>
      <c r="B103" s="364"/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4" t="s">
        <v>710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65" t="s">
        <v>366</v>
      </c>
      <c r="B106" s="366"/>
      <c r="C106" s="366"/>
      <c r="D106" s="366"/>
      <c r="E106" s="366"/>
      <c r="F106" s="367"/>
      <c r="G106" s="365" t="s">
        <v>4</v>
      </c>
      <c r="H106" s="366"/>
      <c r="I106" s="367"/>
      <c r="J106" s="368" t="s">
        <v>369</v>
      </c>
      <c r="K106" s="369"/>
      <c r="L106" s="369"/>
      <c r="M106" s="369"/>
      <c r="N106" s="370"/>
      <c r="O106" s="365" t="s">
        <v>711</v>
      </c>
      <c r="P106" s="366"/>
      <c r="Q106" s="366"/>
      <c r="R106" s="366"/>
      <c r="S106" s="366"/>
      <c r="T106" s="367"/>
      <c r="U106" s="368" t="s">
        <v>712</v>
      </c>
      <c r="V106" s="369"/>
      <c r="W106" s="369"/>
      <c r="X106" s="370"/>
    </row>
    <row r="107" spans="1:24" x14ac:dyDescent="0.3">
      <c r="A107" s="373"/>
      <c r="B107" s="374"/>
      <c r="C107" s="374"/>
      <c r="D107" s="374"/>
      <c r="E107" s="374"/>
      <c r="F107" s="375"/>
      <c r="G107" s="373"/>
      <c r="H107" s="374"/>
      <c r="I107" s="375"/>
      <c r="J107" s="376"/>
      <c r="K107" s="377"/>
      <c r="L107" s="377"/>
      <c r="M107" s="377"/>
      <c r="N107" s="378"/>
      <c r="O107" s="379"/>
      <c r="P107" s="380"/>
      <c r="Q107" s="380"/>
      <c r="R107" s="380"/>
      <c r="S107" s="380"/>
      <c r="T107" s="381"/>
      <c r="U107" s="376"/>
      <c r="V107" s="377"/>
      <c r="W107" s="377"/>
      <c r="X107" s="378"/>
    </row>
    <row r="108" spans="1:24" ht="15" customHeight="1" x14ac:dyDescent="0.3">
      <c r="A108" s="373"/>
      <c r="B108" s="374"/>
      <c r="C108" s="374"/>
      <c r="D108" s="374"/>
      <c r="E108" s="374"/>
      <c r="F108" s="375"/>
      <c r="G108" s="373"/>
      <c r="H108" s="374"/>
      <c r="I108" s="375"/>
      <c r="J108" s="376"/>
      <c r="K108" s="377"/>
      <c r="L108" s="377"/>
      <c r="M108" s="377"/>
      <c r="N108" s="378"/>
      <c r="O108" s="373"/>
      <c r="P108" s="374"/>
      <c r="Q108" s="374"/>
      <c r="R108" s="374"/>
      <c r="S108" s="374"/>
      <c r="T108" s="375"/>
      <c r="U108" s="376"/>
      <c r="V108" s="377"/>
      <c r="W108" s="377"/>
      <c r="X108" s="378"/>
    </row>
    <row r="109" spans="1:24" ht="15" customHeight="1" x14ac:dyDescent="0.3">
      <c r="A109" s="373"/>
      <c r="B109" s="374"/>
      <c r="C109" s="374"/>
      <c r="D109" s="374"/>
      <c r="E109" s="374"/>
      <c r="F109" s="375"/>
      <c r="G109" s="373"/>
      <c r="H109" s="374"/>
      <c r="I109" s="375"/>
      <c r="J109" s="376"/>
      <c r="K109" s="377"/>
      <c r="L109" s="377"/>
      <c r="M109" s="377"/>
      <c r="N109" s="378"/>
      <c r="O109" s="373"/>
      <c r="P109" s="374"/>
      <c r="Q109" s="374"/>
      <c r="R109" s="374"/>
      <c r="S109" s="374"/>
      <c r="T109" s="375"/>
      <c r="U109" s="376"/>
      <c r="V109" s="377"/>
      <c r="W109" s="377"/>
      <c r="X109" s="378"/>
    </row>
    <row r="110" spans="1:24" ht="15" customHeight="1" x14ac:dyDescent="0.3">
      <c r="A110" s="238"/>
      <c r="B110" s="238"/>
      <c r="C110" s="238"/>
      <c r="D110" s="238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8"/>
      <c r="P110" s="238"/>
      <c r="Q110" s="238"/>
      <c r="R110" s="238"/>
      <c r="S110" s="238"/>
      <c r="T110" s="238"/>
      <c r="U110" s="238"/>
      <c r="V110" s="238"/>
      <c r="W110" s="238"/>
      <c r="X110" s="238"/>
    </row>
    <row r="111" spans="1:24" x14ac:dyDescent="0.3">
      <c r="A111" s="224" t="s">
        <v>713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4" x14ac:dyDescent="0.3">
      <c r="A112" s="239" t="s">
        <v>714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240" t="s">
        <v>770</v>
      </c>
      <c r="B113" s="9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9"/>
    </row>
    <row r="114" spans="1:25" x14ac:dyDescent="0.3">
      <c r="A114" s="364" t="str">
        <f>IF(Calibración!E10="2",Calibración!BJ6,Calibración!BJ7)</f>
        <v>La indicación de la presión de referencia y del equipo corresponden al promedio de 4 mediciones en 2 ciclos ascendentes y descendentes.</v>
      </c>
      <c r="B114" s="364"/>
      <c r="C114" s="364"/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</row>
    <row r="115" spans="1:25" ht="15" customHeight="1" x14ac:dyDescent="0.3">
      <c r="A115" s="364"/>
      <c r="B115" s="364"/>
      <c r="C115" s="364"/>
      <c r="D115" s="364"/>
      <c r="E115" s="364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</row>
    <row r="116" spans="1:25" ht="15" customHeight="1" x14ac:dyDescent="0.3">
      <c r="A116" s="239" t="s">
        <v>715</v>
      </c>
      <c r="B116" s="9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ht="15" customHeight="1" x14ac:dyDescent="0.3">
      <c r="A117" s="239" t="s">
        <v>716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9"/>
    </row>
    <row r="118" spans="1:25" x14ac:dyDescent="0.3">
      <c r="A118" s="9" t="s">
        <v>1110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">
        <v>1111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5" x14ac:dyDescent="0.3">
      <c r="A120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9"/>
      <c r="U120" s="9"/>
      <c r="V120" s="9"/>
      <c r="W120" s="9"/>
      <c r="X120" s="9"/>
    </row>
    <row r="121" spans="1:25" x14ac:dyDescent="0.3">
      <c r="A121" s="240" t="s">
        <v>772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4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3" spans="1:25" x14ac:dyDescent="0.3">
      <c r="A123" s="24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6"/>
      <c r="S123" s="16"/>
      <c r="T123" s="16"/>
      <c r="U123" s="16"/>
      <c r="V123" s="16"/>
      <c r="W123" s="9"/>
      <c r="X123" s="9"/>
    </row>
    <row r="126" spans="1:25" x14ac:dyDescent="0.3">
      <c r="I126" s="382" t="s">
        <v>31</v>
      </c>
      <c r="J126" s="382"/>
      <c r="K126" s="382"/>
      <c r="L126" s="382"/>
      <c r="M126" s="382"/>
      <c r="N126" s="382"/>
      <c r="O126" s="382"/>
      <c r="P126" s="382"/>
      <c r="Y126" s="9"/>
    </row>
    <row r="127" spans="1:25" x14ac:dyDescent="0.3">
      <c r="I127" s="383" t="str">
        <f>IF(I126=[5]Generales!$F$1,[5]Generales!$F$6,[5]Generales!$F$5)</f>
        <v>Director Técnico</v>
      </c>
      <c r="J127" s="383"/>
      <c r="K127" s="383"/>
      <c r="L127" s="383"/>
      <c r="M127" s="383"/>
      <c r="N127" s="383"/>
      <c r="O127" s="383"/>
      <c r="P127" s="383"/>
    </row>
    <row r="128" spans="1:25" x14ac:dyDescent="0.3">
      <c r="I128" s="384" t="s">
        <v>717</v>
      </c>
      <c r="J128" s="384"/>
      <c r="K128" s="384"/>
      <c r="L128" s="384"/>
      <c r="M128" s="384"/>
      <c r="N128" s="384"/>
      <c r="O128" s="384"/>
      <c r="P128" s="384"/>
    </row>
    <row r="129" spans="9:16" x14ac:dyDescent="0.3">
      <c r="I129" s="385" t="s">
        <v>718</v>
      </c>
      <c r="J129" s="385"/>
      <c r="K129" s="385"/>
      <c r="L129" s="385"/>
      <c r="M129" s="385"/>
      <c r="N129" s="385"/>
      <c r="O129" s="385"/>
      <c r="P129" s="385"/>
    </row>
  </sheetData>
  <mergeCells count="144">
    <mergeCell ref="I126:P126"/>
    <mergeCell ref="I127:P127"/>
    <mergeCell ref="I128:P128"/>
    <mergeCell ref="I129:P129"/>
    <mergeCell ref="A109:F109"/>
    <mergeCell ref="G109:I109"/>
    <mergeCell ref="J109:N109"/>
    <mergeCell ref="O109:T109"/>
    <mergeCell ref="U109:X109"/>
    <mergeCell ref="A114:X115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L69:Q69"/>
    <mergeCell ref="R69:W69"/>
    <mergeCell ref="D67:E67"/>
    <mergeCell ref="F67:K67"/>
    <mergeCell ref="L67:Q67"/>
    <mergeCell ref="R67:W67"/>
    <mergeCell ref="D68:E68"/>
    <mergeCell ref="F68:K68"/>
    <mergeCell ref="L68:Q68"/>
    <mergeCell ref="R68:W68"/>
    <mergeCell ref="L66:Q66"/>
    <mergeCell ref="R66:W66"/>
    <mergeCell ref="D61:W61"/>
    <mergeCell ref="D62:E63"/>
    <mergeCell ref="F62:K63"/>
    <mergeCell ref="L62:Q63"/>
    <mergeCell ref="R62:W63"/>
    <mergeCell ref="D64:E64"/>
    <mergeCell ref="F64:K64"/>
    <mergeCell ref="L64:Q64"/>
    <mergeCell ref="R64:W64"/>
    <mergeCell ref="D31:E31"/>
    <mergeCell ref="F31:K31"/>
    <mergeCell ref="L31:Q31"/>
    <mergeCell ref="R31:W31"/>
    <mergeCell ref="D32:E32"/>
    <mergeCell ref="F32:K32"/>
    <mergeCell ref="L32:Q32"/>
    <mergeCell ref="R32:W32"/>
    <mergeCell ref="D65:E65"/>
    <mergeCell ref="F65:K65"/>
    <mergeCell ref="L65:Q65"/>
    <mergeCell ref="R65:W65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F35:K35"/>
    <mergeCell ref="F36:K36"/>
    <mergeCell ref="F37:K37"/>
    <mergeCell ref="D33:E33"/>
    <mergeCell ref="D34:E34"/>
    <mergeCell ref="D35:E35"/>
    <mergeCell ref="D36:E36"/>
    <mergeCell ref="D37:E37"/>
    <mergeCell ref="F70:K70"/>
    <mergeCell ref="D66:E66"/>
    <mergeCell ref="F66:K66"/>
    <mergeCell ref="D69:E69"/>
    <mergeCell ref="F69:K69"/>
  </mergeCells>
  <conditionalFormatting sqref="A118">
    <cfRule type="cellIs" priority="1" operator="equal">
      <formula>$D$24</formula>
    </cfRule>
  </conditionalFormatting>
  <conditionalFormatting sqref="A119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topLeftCell="A31" zoomScaleNormal="40" zoomScaleSheetLayoutView="100" workbookViewId="0">
      <selection activeCell="S48" sqref="R48:S4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51" t="str">
        <f>General!F3</f>
        <v>NI-MC-P-XXX-ZZZZ</v>
      </c>
      <c r="O8" s="352"/>
      <c r="P8" s="352"/>
      <c r="Q8" s="352"/>
      <c r="R8" s="352"/>
      <c r="S8" s="352"/>
      <c r="T8" s="352"/>
      <c r="U8" s="352"/>
      <c r="V8" s="352"/>
      <c r="W8" s="352"/>
      <c r="X8" s="352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53" t="str">
        <f>General!F4</f>
        <v>NI-CS-XXXX-XX</v>
      </c>
      <c r="O9" s="354"/>
      <c r="P9" s="354"/>
      <c r="Q9" s="354"/>
      <c r="R9" s="354"/>
      <c r="S9" s="354"/>
      <c r="T9" s="354"/>
      <c r="U9" s="354"/>
      <c r="V9" s="354"/>
      <c r="W9" s="354"/>
      <c r="X9" s="354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55" t="str">
        <f>General!F5</f>
        <v>2019-03-06</v>
      </c>
      <c r="O10" s="355"/>
      <c r="P10" s="355"/>
      <c r="Q10" s="355"/>
      <c r="R10" s="355"/>
      <c r="S10" s="355"/>
      <c r="T10" s="355"/>
      <c r="U10" s="355"/>
      <c r="V10" s="355"/>
      <c r="W10" s="355"/>
      <c r="X10" s="355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55">
        <f ca="1">NOW()</f>
        <v>45483.455977546299</v>
      </c>
      <c r="O11" s="355"/>
      <c r="P11" s="355"/>
      <c r="Q11" s="355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53" t="str">
        <f>General!F7</f>
        <v xml:space="preserve">Manómetro </v>
      </c>
      <c r="O12" s="354"/>
      <c r="P12" s="354"/>
      <c r="Q12" s="354"/>
      <c r="R12" s="354"/>
      <c r="S12" s="354"/>
      <c r="T12" s="354"/>
      <c r="U12" s="354"/>
      <c r="V12" s="354"/>
      <c r="W12" s="354"/>
      <c r="X12" s="354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53" t="str">
        <f>General!F10</f>
        <v>Wika</v>
      </c>
      <c r="O13" s="354"/>
      <c r="P13" s="354"/>
      <c r="Q13" s="354"/>
      <c r="R13" s="354"/>
      <c r="S13" s="354"/>
      <c r="T13" s="354"/>
      <c r="U13" s="354"/>
      <c r="V13" s="354"/>
      <c r="W13" s="354"/>
      <c r="X13" s="354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53" t="str">
        <f>General!F12</f>
        <v>90271482-1-19</v>
      </c>
      <c r="O14" s="354"/>
      <c r="P14" s="354"/>
      <c r="Q14" s="354"/>
      <c r="R14" s="354"/>
      <c r="S14" s="354"/>
      <c r="T14" s="354"/>
      <c r="U14" s="354"/>
      <c r="V14" s="354"/>
      <c r="W14" s="354"/>
      <c r="X14" s="354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53" t="str">
        <f>General!F11</f>
        <v>No Aplica (N/A)</v>
      </c>
      <c r="O15" s="354"/>
      <c r="P15" s="354"/>
      <c r="Q15" s="354"/>
      <c r="R15" s="354"/>
      <c r="S15" s="354"/>
      <c r="T15" s="354"/>
      <c r="U15" s="354"/>
      <c r="V15" s="354"/>
      <c r="W15" s="354"/>
      <c r="X15" s="354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53" t="str">
        <f>General!F18</f>
        <v>0 kgf/cm² a 16 kgf/cm²</v>
      </c>
      <c r="O16" s="354"/>
      <c r="P16" s="354"/>
      <c r="Q16" s="354"/>
      <c r="R16" s="354"/>
      <c r="S16" s="354"/>
      <c r="T16" s="354"/>
      <c r="U16" s="354"/>
      <c r="V16" s="354"/>
      <c r="W16" s="354"/>
      <c r="X16" s="354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53" t="str">
        <f>General!F15</f>
        <v>0,5</v>
      </c>
      <c r="O17" s="354"/>
      <c r="P17" s="353" t="str">
        <f>General!F16</f>
        <v>atm</v>
      </c>
      <c r="Q17" s="35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53" t="str">
        <f>General!F6</f>
        <v>MAN-A04</v>
      </c>
      <c r="O18" s="354"/>
      <c r="P18" s="354"/>
      <c r="Q18" s="354"/>
      <c r="R18" s="354"/>
      <c r="S18" s="354"/>
      <c r="T18" s="354"/>
      <c r="U18" s="354"/>
      <c r="V18" s="354"/>
      <c r="W18" s="354"/>
      <c r="X18" s="354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53" t="str">
        <f>General!L3</f>
        <v>Mechnikov, S.A.</v>
      </c>
      <c r="O19" s="354"/>
      <c r="P19" s="354"/>
      <c r="Q19" s="354"/>
      <c r="R19" s="354"/>
      <c r="S19" s="354"/>
      <c r="T19" s="354"/>
      <c r="U19" s="354"/>
      <c r="V19" s="354"/>
      <c r="W19" s="354"/>
      <c r="X19" s="354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54" t="str">
        <f>General!L4</f>
        <v/>
      </c>
      <c r="O20" s="354"/>
      <c r="P20" s="354"/>
      <c r="Q20" s="354"/>
      <c r="R20" s="354"/>
      <c r="S20" s="354"/>
      <c r="T20" s="354"/>
      <c r="U20" s="354"/>
      <c r="V20" s="354"/>
      <c r="W20" s="354"/>
      <c r="X20" s="354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6" t="str">
        <f>General!L6</f>
        <v>Laboratorio #2, Metrocal</v>
      </c>
      <c r="O21" s="356"/>
      <c r="P21" s="356"/>
      <c r="Q21" s="356"/>
      <c r="R21" s="356"/>
      <c r="S21" s="356"/>
      <c r="T21" s="356"/>
      <c r="U21" s="356"/>
      <c r="V21" s="356"/>
      <c r="W21" s="356"/>
      <c r="X21" s="356"/>
    </row>
    <row r="22" spans="1:24" x14ac:dyDescent="0.3">
      <c r="A22" s="224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57" t="s">
        <v>363</v>
      </c>
      <c r="E24" s="357"/>
      <c r="F24" s="357"/>
      <c r="G24" s="357"/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</row>
    <row r="25" spans="1:24" ht="15" customHeight="1" x14ac:dyDescent="0.3">
      <c r="A25" s="9"/>
      <c r="B25" s="9"/>
      <c r="C25" s="9"/>
      <c r="D25" s="358" t="s">
        <v>631</v>
      </c>
      <c r="E25" s="358"/>
      <c r="F25" s="359" t="s">
        <v>696</v>
      </c>
      <c r="G25" s="359"/>
      <c r="H25" s="359"/>
      <c r="I25" s="359"/>
      <c r="J25" s="359"/>
      <c r="K25" s="359"/>
      <c r="L25" s="359" t="s">
        <v>364</v>
      </c>
      <c r="M25" s="359"/>
      <c r="N25" s="359"/>
      <c r="O25" s="359"/>
      <c r="P25" s="359"/>
      <c r="Q25" s="359"/>
      <c r="R25" s="358" t="s">
        <v>697</v>
      </c>
      <c r="S25" s="358"/>
      <c r="T25" s="358"/>
      <c r="U25" s="358"/>
      <c r="V25" s="358"/>
      <c r="W25" s="358"/>
    </row>
    <row r="26" spans="1:24" ht="14.25" customHeight="1" x14ac:dyDescent="0.3">
      <c r="A26" s="9"/>
      <c r="B26" s="9"/>
      <c r="C26" s="9"/>
      <c r="D26" s="358"/>
      <c r="E26" s="358"/>
      <c r="F26" s="359"/>
      <c r="G26" s="359"/>
      <c r="H26" s="359"/>
      <c r="I26" s="359"/>
      <c r="J26" s="359"/>
      <c r="K26" s="359"/>
      <c r="L26" s="359"/>
      <c r="M26" s="359"/>
      <c r="N26" s="359"/>
      <c r="O26" s="359"/>
      <c r="P26" s="359"/>
      <c r="Q26" s="359"/>
      <c r="R26" s="358"/>
      <c r="S26" s="358"/>
      <c r="T26" s="358"/>
      <c r="U26" s="358"/>
      <c r="V26" s="358"/>
      <c r="W26" s="358"/>
    </row>
    <row r="27" spans="1:24" x14ac:dyDescent="0.3">
      <c r="A27" s="9"/>
      <c r="B27" s="9"/>
      <c r="C27" s="9"/>
      <c r="D27" s="360" t="str">
        <f>Calibración!C37</f>
        <v>atm</v>
      </c>
      <c r="E27" s="360"/>
      <c r="F27" s="361" t="str">
        <f>Calibración!D37</f>
        <v>atm</v>
      </c>
      <c r="G27" s="362"/>
      <c r="H27" s="362"/>
      <c r="I27" s="362"/>
      <c r="J27" s="362"/>
      <c r="K27" s="363"/>
      <c r="L27" s="361" t="str">
        <f>Calibración!E37</f>
        <v>atm</v>
      </c>
      <c r="M27" s="362"/>
      <c r="N27" s="362"/>
      <c r="O27" s="362"/>
      <c r="P27" s="362"/>
      <c r="Q27" s="363"/>
      <c r="R27" s="361" t="str">
        <f>Calibración!F37</f>
        <v>atm</v>
      </c>
      <c r="S27" s="362"/>
      <c r="T27" s="362"/>
      <c r="U27" s="362"/>
      <c r="V27" s="362"/>
      <c r="W27" s="363"/>
    </row>
    <row r="28" spans="1:24" x14ac:dyDescent="0.3">
      <c r="A28" s="9"/>
      <c r="B28" s="9"/>
      <c r="C28" s="9"/>
      <c r="D28" s="346" t="str">
        <f ca="1">Calibración!C38</f>
        <v/>
      </c>
      <c r="E28" s="346"/>
      <c r="F28" s="343" t="str">
        <f ca="1">Calibración!D38</f>
        <v/>
      </c>
      <c r="G28" s="344"/>
      <c r="H28" s="344"/>
      <c r="I28" s="344"/>
      <c r="J28" s="344"/>
      <c r="K28" s="345"/>
      <c r="L28" s="343" t="str">
        <f ca="1">Calibración!E38</f>
        <v/>
      </c>
      <c r="M28" s="344"/>
      <c r="N28" s="344"/>
      <c r="O28" s="344"/>
      <c r="P28" s="344"/>
      <c r="Q28" s="345"/>
      <c r="R28" s="343" t="str">
        <f ca="1">Calibración!F38</f>
        <v/>
      </c>
      <c r="S28" s="344"/>
      <c r="T28" s="344"/>
      <c r="U28" s="344"/>
      <c r="V28" s="344"/>
      <c r="W28" s="345"/>
    </row>
    <row r="29" spans="1:24" x14ac:dyDescent="0.3">
      <c r="A29" s="9"/>
      <c r="B29" s="9"/>
      <c r="C29" s="9"/>
      <c r="D29" s="346" t="str">
        <f ca="1">Calibración!C39</f>
        <v/>
      </c>
      <c r="E29" s="346"/>
      <c r="F29" s="343" t="str">
        <f ca="1">Calibración!D39</f>
        <v/>
      </c>
      <c r="G29" s="344"/>
      <c r="H29" s="344"/>
      <c r="I29" s="344"/>
      <c r="J29" s="344"/>
      <c r="K29" s="345"/>
      <c r="L29" s="343" t="str">
        <f ca="1">Calibración!E39</f>
        <v/>
      </c>
      <c r="M29" s="344"/>
      <c r="N29" s="344"/>
      <c r="O29" s="344"/>
      <c r="P29" s="344"/>
      <c r="Q29" s="345"/>
      <c r="R29" s="343" t="str">
        <f ca="1">Calibración!F39</f>
        <v/>
      </c>
      <c r="S29" s="344"/>
      <c r="T29" s="344"/>
      <c r="U29" s="344"/>
      <c r="V29" s="344"/>
      <c r="W29" s="345"/>
    </row>
    <row r="30" spans="1:24" x14ac:dyDescent="0.3">
      <c r="A30" s="9"/>
      <c r="B30" s="9"/>
      <c r="C30" s="9"/>
      <c r="D30" s="346" t="str">
        <f ca="1">Calibración!C40</f>
        <v/>
      </c>
      <c r="E30" s="346"/>
      <c r="F30" s="343" t="str">
        <f ca="1">Calibración!D40</f>
        <v/>
      </c>
      <c r="G30" s="344"/>
      <c r="H30" s="344"/>
      <c r="I30" s="344"/>
      <c r="J30" s="344"/>
      <c r="K30" s="345"/>
      <c r="L30" s="343" t="str">
        <f ca="1">Calibración!E40</f>
        <v/>
      </c>
      <c r="M30" s="344"/>
      <c r="N30" s="344"/>
      <c r="O30" s="344"/>
      <c r="P30" s="344"/>
      <c r="Q30" s="345"/>
      <c r="R30" s="343" t="str">
        <f ca="1">Calibración!F40</f>
        <v/>
      </c>
      <c r="S30" s="344"/>
      <c r="T30" s="344"/>
      <c r="U30" s="344"/>
      <c r="V30" s="344"/>
      <c r="W30" s="345"/>
    </row>
    <row r="31" spans="1:24" x14ac:dyDescent="0.3">
      <c r="A31" s="9"/>
      <c r="B31" s="9"/>
      <c r="C31" s="9"/>
      <c r="D31" s="346" t="str">
        <f ca="1">Calibración!C41</f>
        <v/>
      </c>
      <c r="E31" s="346"/>
      <c r="F31" s="343" t="str">
        <f ca="1">Calibración!D41</f>
        <v/>
      </c>
      <c r="G31" s="344"/>
      <c r="H31" s="344"/>
      <c r="I31" s="344"/>
      <c r="J31" s="344"/>
      <c r="K31" s="345"/>
      <c r="L31" s="343" t="str">
        <f ca="1">Calibración!E41</f>
        <v/>
      </c>
      <c r="M31" s="344"/>
      <c r="N31" s="344"/>
      <c r="O31" s="344"/>
      <c r="P31" s="344"/>
      <c r="Q31" s="345"/>
      <c r="R31" s="343" t="str">
        <f ca="1">Calibración!F41</f>
        <v/>
      </c>
      <c r="S31" s="344"/>
      <c r="T31" s="344"/>
      <c r="U31" s="344"/>
      <c r="V31" s="344"/>
      <c r="W31" s="345"/>
    </row>
    <row r="32" spans="1:24" x14ac:dyDescent="0.3">
      <c r="A32" s="9"/>
      <c r="B32" s="9"/>
      <c r="C32" s="9"/>
      <c r="D32" s="346" t="str">
        <f ca="1">Calibración!C42</f>
        <v/>
      </c>
      <c r="E32" s="346"/>
      <c r="F32" s="343" t="str">
        <f ca="1">Calibración!D42</f>
        <v/>
      </c>
      <c r="G32" s="344"/>
      <c r="H32" s="344"/>
      <c r="I32" s="344"/>
      <c r="J32" s="344"/>
      <c r="K32" s="345"/>
      <c r="L32" s="343" t="str">
        <f ca="1">Calibración!E42</f>
        <v/>
      </c>
      <c r="M32" s="344"/>
      <c r="N32" s="344"/>
      <c r="O32" s="344"/>
      <c r="P32" s="344"/>
      <c r="Q32" s="345"/>
      <c r="R32" s="343" t="str">
        <f ca="1">Calibración!F42</f>
        <v/>
      </c>
      <c r="S32" s="344"/>
      <c r="T32" s="344"/>
      <c r="U32" s="344"/>
      <c r="V32" s="344"/>
      <c r="W32" s="345"/>
    </row>
    <row r="33" spans="1:23" x14ac:dyDescent="0.3">
      <c r="D33" s="230"/>
      <c r="E33" s="230"/>
      <c r="F33" s="231"/>
      <c r="G33" s="231"/>
      <c r="H33" s="231"/>
      <c r="I33" s="231"/>
      <c r="J33" s="231"/>
      <c r="K33" s="231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</row>
    <row r="34" spans="1:23" x14ac:dyDescent="0.3">
      <c r="A34" s="224" t="s">
        <v>698</v>
      </c>
      <c r="D34" s="230"/>
      <c r="E34" s="230"/>
      <c r="F34" s="231"/>
      <c r="G34" s="231"/>
      <c r="H34" s="231"/>
      <c r="I34" s="231"/>
      <c r="J34" s="231"/>
      <c r="K34" s="231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</row>
    <row r="35" spans="1:23" x14ac:dyDescent="0.3">
      <c r="A35" s="9"/>
      <c r="B35" s="9"/>
      <c r="C35" s="9"/>
      <c r="D35" s="357" t="s">
        <v>363</v>
      </c>
      <c r="E35" s="357"/>
      <c r="F35" s="357"/>
      <c r="G35" s="357"/>
      <c r="H35" s="357"/>
      <c r="I35" s="357"/>
      <c r="J35" s="357"/>
      <c r="K35" s="357"/>
      <c r="L35" s="357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</row>
    <row r="36" spans="1:23" ht="15" customHeight="1" x14ac:dyDescent="0.3">
      <c r="A36" s="9"/>
      <c r="B36" s="9"/>
      <c r="C36" s="9"/>
      <c r="D36" s="358" t="s">
        <v>631</v>
      </c>
      <c r="E36" s="358"/>
      <c r="F36" s="359" t="s">
        <v>696</v>
      </c>
      <c r="G36" s="359"/>
      <c r="H36" s="359"/>
      <c r="I36" s="359"/>
      <c r="J36" s="359"/>
      <c r="K36" s="359"/>
      <c r="L36" s="359" t="s">
        <v>364</v>
      </c>
      <c r="M36" s="359"/>
      <c r="N36" s="359"/>
      <c r="O36" s="359"/>
      <c r="P36" s="359"/>
      <c r="Q36" s="359"/>
      <c r="R36" s="358" t="s">
        <v>697</v>
      </c>
      <c r="S36" s="358"/>
      <c r="T36" s="358"/>
      <c r="U36" s="358"/>
      <c r="V36" s="358"/>
      <c r="W36" s="358"/>
    </row>
    <row r="37" spans="1:23" x14ac:dyDescent="0.3">
      <c r="A37" s="9"/>
      <c r="B37" s="9"/>
      <c r="C37" s="9"/>
      <c r="D37" s="358"/>
      <c r="E37" s="358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359"/>
      <c r="Q37" s="359"/>
      <c r="R37" s="358"/>
      <c r="S37" s="358"/>
      <c r="T37" s="358"/>
      <c r="U37" s="358"/>
      <c r="V37" s="358"/>
      <c r="W37" s="358"/>
    </row>
    <row r="38" spans="1:23" x14ac:dyDescent="0.3">
      <c r="A38" s="9"/>
      <c r="B38" s="9"/>
      <c r="C38" s="9"/>
      <c r="D38" s="360" t="str">
        <f>Calibración!G37</f>
        <v>kPa</v>
      </c>
      <c r="E38" s="360"/>
      <c r="F38" s="361" t="str">
        <f>Calibración!H37</f>
        <v>kPa</v>
      </c>
      <c r="G38" s="362"/>
      <c r="H38" s="362"/>
      <c r="I38" s="362"/>
      <c r="J38" s="362"/>
      <c r="K38" s="363"/>
      <c r="L38" s="360" t="str">
        <f>Calibración!I37</f>
        <v>kPa</v>
      </c>
      <c r="M38" s="360"/>
      <c r="N38" s="360"/>
      <c r="O38" s="360"/>
      <c r="P38" s="360"/>
      <c r="Q38" s="360"/>
      <c r="R38" s="360" t="str">
        <f>Calibración!J37</f>
        <v>kPa</v>
      </c>
      <c r="S38" s="360"/>
      <c r="T38" s="360"/>
      <c r="U38" s="360"/>
      <c r="V38" s="360"/>
      <c r="W38" s="360"/>
    </row>
    <row r="39" spans="1:23" x14ac:dyDescent="0.3">
      <c r="A39" s="9"/>
      <c r="B39" s="9"/>
      <c r="C39" s="9"/>
      <c r="D39" s="350" t="str">
        <f ca="1">Calibración!G38</f>
        <v/>
      </c>
      <c r="E39" s="350"/>
      <c r="F39" s="347" t="str">
        <f ca="1">Calibración!H38</f>
        <v/>
      </c>
      <c r="G39" s="348"/>
      <c r="H39" s="348"/>
      <c r="I39" s="348"/>
      <c r="J39" s="348"/>
      <c r="K39" s="349"/>
      <c r="L39" s="350" t="str">
        <f ca="1">Calibración!I38</f>
        <v/>
      </c>
      <c r="M39" s="350"/>
      <c r="N39" s="350"/>
      <c r="O39" s="350"/>
      <c r="P39" s="350"/>
      <c r="Q39" s="350"/>
      <c r="R39" s="350" t="str">
        <f ca="1">Calibración!J38</f>
        <v/>
      </c>
      <c r="S39" s="350"/>
      <c r="T39" s="350"/>
      <c r="U39" s="350"/>
      <c r="V39" s="350"/>
      <c r="W39" s="350"/>
    </row>
    <row r="40" spans="1:23" x14ac:dyDescent="0.3">
      <c r="A40" s="9"/>
      <c r="B40" s="9"/>
      <c r="C40" s="9"/>
      <c r="D40" s="350" t="str">
        <f ca="1">Calibración!G39</f>
        <v/>
      </c>
      <c r="E40" s="350"/>
      <c r="F40" s="347" t="str">
        <f ca="1">Calibración!H39</f>
        <v/>
      </c>
      <c r="G40" s="348"/>
      <c r="H40" s="348"/>
      <c r="I40" s="348"/>
      <c r="J40" s="348"/>
      <c r="K40" s="349"/>
      <c r="L40" s="350" t="str">
        <f ca="1">Calibración!I39</f>
        <v/>
      </c>
      <c r="M40" s="350"/>
      <c r="N40" s="350"/>
      <c r="O40" s="350"/>
      <c r="P40" s="350"/>
      <c r="Q40" s="350"/>
      <c r="R40" s="350" t="str">
        <f ca="1">Calibración!J39</f>
        <v/>
      </c>
      <c r="S40" s="350"/>
      <c r="T40" s="350"/>
      <c r="U40" s="350"/>
      <c r="V40" s="350"/>
      <c r="W40" s="350"/>
    </row>
    <row r="41" spans="1:23" x14ac:dyDescent="0.3">
      <c r="A41" s="9"/>
      <c r="B41" s="9"/>
      <c r="C41" s="9"/>
      <c r="D41" s="350" t="str">
        <f ca="1">Calibración!G40</f>
        <v/>
      </c>
      <c r="E41" s="350"/>
      <c r="F41" s="347" t="str">
        <f ca="1">Calibración!H40</f>
        <v/>
      </c>
      <c r="G41" s="348"/>
      <c r="H41" s="348"/>
      <c r="I41" s="348"/>
      <c r="J41" s="348"/>
      <c r="K41" s="349"/>
      <c r="L41" s="350" t="str">
        <f ca="1">Calibración!I40</f>
        <v/>
      </c>
      <c r="M41" s="350"/>
      <c r="N41" s="350"/>
      <c r="O41" s="350"/>
      <c r="P41" s="350"/>
      <c r="Q41" s="350"/>
      <c r="R41" s="350" t="str">
        <f ca="1">Calibración!J40</f>
        <v/>
      </c>
      <c r="S41" s="350"/>
      <c r="T41" s="350"/>
      <c r="U41" s="350"/>
      <c r="V41" s="350"/>
      <c r="W41" s="350"/>
    </row>
    <row r="42" spans="1:23" x14ac:dyDescent="0.3">
      <c r="A42" s="9"/>
      <c r="B42" s="9"/>
      <c r="C42" s="9"/>
      <c r="D42" s="350" t="str">
        <f ca="1">Calibración!G41</f>
        <v/>
      </c>
      <c r="E42" s="350"/>
      <c r="F42" s="347" t="str">
        <f ca="1">Calibración!H41</f>
        <v/>
      </c>
      <c r="G42" s="348"/>
      <c r="H42" s="348"/>
      <c r="I42" s="348"/>
      <c r="J42" s="348"/>
      <c r="K42" s="349"/>
      <c r="L42" s="350" t="str">
        <f ca="1">Calibración!I41</f>
        <v/>
      </c>
      <c r="M42" s="350"/>
      <c r="N42" s="350"/>
      <c r="O42" s="350"/>
      <c r="P42" s="350"/>
      <c r="Q42" s="350"/>
      <c r="R42" s="350" t="str">
        <f ca="1">Calibración!J41</f>
        <v/>
      </c>
      <c r="S42" s="350"/>
      <c r="T42" s="350"/>
      <c r="U42" s="350"/>
      <c r="V42" s="350"/>
      <c r="W42" s="350"/>
    </row>
    <row r="43" spans="1:23" x14ac:dyDescent="0.3">
      <c r="A43" s="9"/>
      <c r="B43" s="9"/>
      <c r="C43" s="9"/>
      <c r="D43" s="350" t="str">
        <f ca="1">Calibración!G42</f>
        <v/>
      </c>
      <c r="E43" s="350"/>
      <c r="F43" s="347" t="str">
        <f ca="1">Calibración!H42</f>
        <v/>
      </c>
      <c r="G43" s="348"/>
      <c r="H43" s="348"/>
      <c r="I43" s="348"/>
      <c r="J43" s="348"/>
      <c r="K43" s="349"/>
      <c r="L43" s="350" t="str">
        <f ca="1">Calibración!I42</f>
        <v/>
      </c>
      <c r="M43" s="350"/>
      <c r="N43" s="350"/>
      <c r="O43" s="350"/>
      <c r="P43" s="350"/>
      <c r="Q43" s="350"/>
      <c r="R43" s="350" t="str">
        <f ca="1">Calibración!J42</f>
        <v/>
      </c>
      <c r="S43" s="350"/>
      <c r="T43" s="350"/>
      <c r="U43" s="350"/>
      <c r="V43" s="350"/>
      <c r="W43" s="350"/>
    </row>
    <row r="44" spans="1:23" x14ac:dyDescent="0.3">
      <c r="O44" s="232"/>
    </row>
    <row r="45" spans="1:23" x14ac:dyDescent="0.3">
      <c r="A45" s="224" t="s">
        <v>699</v>
      </c>
      <c r="B45" s="9"/>
      <c r="C45" s="9"/>
      <c r="D45" s="9"/>
      <c r="E45" s="9"/>
      <c r="F45" s="233" t="s">
        <v>367</v>
      </c>
      <c r="H45" s="9"/>
      <c r="I45" s="9"/>
      <c r="J45" s="233" t="str">
        <f>General!I4</f>
        <v>NI-MCPPT-02</v>
      </c>
      <c r="L45" s="9"/>
      <c r="O45" s="224" t="s">
        <v>700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4"/>
      <c r="B46" s="371" t="s">
        <v>701</v>
      </c>
      <c r="C46" s="371"/>
      <c r="D46" s="371"/>
      <c r="E46" s="235" t="str">
        <f>CertTempC</f>
        <v/>
      </c>
      <c r="F46" s="236" t="s">
        <v>702</v>
      </c>
      <c r="G46" s="237">
        <f>CertTempIncerti</f>
        <v>0.4</v>
      </c>
      <c r="H46" s="234" t="s">
        <v>365</v>
      </c>
      <c r="I46" s="9"/>
      <c r="J46" s="9"/>
      <c r="K46" s="354"/>
      <c r="L46" s="354"/>
      <c r="M46" s="9"/>
      <c r="N46" s="9"/>
      <c r="O46" s="9"/>
      <c r="P46" s="234" t="s">
        <v>736</v>
      </c>
      <c r="Q46" s="9"/>
      <c r="R46" s="9"/>
      <c r="S46" s="9"/>
      <c r="T46" s="372" t="str">
        <f>General!I18</f>
        <v/>
      </c>
      <c r="U46" s="372"/>
      <c r="V46" s="236" t="s">
        <v>703</v>
      </c>
      <c r="W46" s="235">
        <f>CertPresIncert</f>
        <v>2.4700000000000002</v>
      </c>
    </row>
    <row r="47" spans="1:23" x14ac:dyDescent="0.3">
      <c r="A47" s="234"/>
      <c r="B47" s="234" t="s">
        <v>704</v>
      </c>
      <c r="C47" s="234"/>
      <c r="D47" s="234"/>
      <c r="E47" s="235" t="str">
        <f>CertHR</f>
        <v/>
      </c>
      <c r="F47" s="236" t="s">
        <v>705</v>
      </c>
      <c r="G47" s="237">
        <f>CertHRIncerti</f>
        <v>1.3</v>
      </c>
      <c r="H47" s="236" t="s">
        <v>706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2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A56" s="224" t="s">
        <v>682</v>
      </c>
      <c r="B56" s="9"/>
      <c r="C56" s="225"/>
      <c r="D56" s="226"/>
      <c r="E56" s="226"/>
      <c r="F56" s="226"/>
      <c r="G56" s="9"/>
      <c r="H56" s="9"/>
      <c r="I56" s="9"/>
      <c r="J56" s="9"/>
      <c r="K56" s="9"/>
      <c r="L56" s="9"/>
      <c r="M56" s="9"/>
      <c r="N56" s="352" t="str">
        <f>N8</f>
        <v>NI-MC-P-XXX-ZZZZ</v>
      </c>
      <c r="O56" s="352"/>
      <c r="P56" s="352"/>
      <c r="Q56" s="352"/>
      <c r="R56" s="352"/>
      <c r="S56" s="352"/>
      <c r="T56" s="352"/>
      <c r="U56" s="352"/>
      <c r="V56" s="352"/>
      <c r="W56" s="352"/>
      <c r="X56" s="352"/>
    </row>
    <row r="57" spans="1:25" x14ac:dyDescent="0.3">
      <c r="O57" s="232"/>
    </row>
    <row r="58" spans="1:25" x14ac:dyDescent="0.3">
      <c r="X58" s="9"/>
      <c r="Y58" s="9"/>
    </row>
    <row r="59" spans="1:25" x14ac:dyDescent="0.3">
      <c r="A59" s="224" t="s">
        <v>707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64" t="s">
        <v>1127</v>
      </c>
      <c r="B60" s="364"/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  <c r="S60" s="364"/>
      <c r="T60" s="364"/>
      <c r="U60" s="364"/>
      <c r="V60" s="364"/>
      <c r="W60" s="364"/>
      <c r="X60" s="364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4" t="s">
        <v>708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64" t="s">
        <v>709</v>
      </c>
      <c r="B63" s="364"/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64"/>
      <c r="T63" s="364"/>
      <c r="U63" s="364"/>
      <c r="V63" s="364"/>
      <c r="W63" s="364"/>
      <c r="X63" s="364"/>
    </row>
    <row r="64" spans="1:25" ht="15" customHeight="1" x14ac:dyDescent="0.3">
      <c r="A64" s="364"/>
      <c r="B64" s="364"/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364"/>
      <c r="X64" s="364"/>
    </row>
    <row r="65" spans="1:24" ht="15" customHeight="1" x14ac:dyDescent="0.3">
      <c r="A65" s="364"/>
      <c r="B65" s="364"/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  <c r="S65" s="364"/>
      <c r="T65" s="364"/>
      <c r="U65" s="364"/>
      <c r="V65" s="364"/>
      <c r="W65" s="364"/>
      <c r="X65" s="364"/>
    </row>
    <row r="66" spans="1:24" x14ac:dyDescent="0.3">
      <c r="A66" s="364"/>
      <c r="B66" s="364"/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64"/>
      <c r="T66" s="364"/>
      <c r="U66" s="364"/>
      <c r="V66" s="364"/>
      <c r="W66" s="364"/>
      <c r="X66" s="364"/>
    </row>
    <row r="67" spans="1:24" x14ac:dyDescent="0.3">
      <c r="A67" s="364"/>
      <c r="B67" s="364"/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64"/>
      <c r="T67" s="364"/>
      <c r="U67" s="364"/>
      <c r="V67" s="364"/>
      <c r="W67" s="364"/>
      <c r="X67" s="364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4" t="s">
        <v>710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65" t="s">
        <v>366</v>
      </c>
      <c r="B70" s="366"/>
      <c r="C70" s="366"/>
      <c r="D70" s="366"/>
      <c r="E70" s="366"/>
      <c r="F70" s="367"/>
      <c r="G70" s="365" t="s">
        <v>4</v>
      </c>
      <c r="H70" s="366"/>
      <c r="I70" s="367"/>
      <c r="J70" s="368" t="s">
        <v>369</v>
      </c>
      <c r="K70" s="369"/>
      <c r="L70" s="369"/>
      <c r="M70" s="369"/>
      <c r="N70" s="370"/>
      <c r="O70" s="365" t="s">
        <v>711</v>
      </c>
      <c r="P70" s="366"/>
      <c r="Q70" s="366"/>
      <c r="R70" s="366"/>
      <c r="S70" s="366"/>
      <c r="T70" s="367"/>
      <c r="U70" s="368" t="s">
        <v>712</v>
      </c>
      <c r="V70" s="369"/>
      <c r="W70" s="369"/>
      <c r="X70" s="370"/>
    </row>
    <row r="71" spans="1:24" x14ac:dyDescent="0.3">
      <c r="A71" s="373"/>
      <c r="B71" s="374"/>
      <c r="C71" s="374"/>
      <c r="D71" s="374"/>
      <c r="E71" s="374"/>
      <c r="F71" s="375"/>
      <c r="G71" s="373"/>
      <c r="H71" s="374"/>
      <c r="I71" s="375"/>
      <c r="J71" s="376"/>
      <c r="K71" s="377"/>
      <c r="L71" s="377"/>
      <c r="M71" s="377"/>
      <c r="N71" s="378"/>
      <c r="O71" s="379"/>
      <c r="P71" s="380"/>
      <c r="Q71" s="380"/>
      <c r="R71" s="380"/>
      <c r="S71" s="380"/>
      <c r="T71" s="381"/>
      <c r="U71" s="376"/>
      <c r="V71" s="377"/>
      <c r="W71" s="377"/>
      <c r="X71" s="378"/>
    </row>
    <row r="72" spans="1:24" ht="15" customHeight="1" x14ac:dyDescent="0.3">
      <c r="A72" s="373"/>
      <c r="B72" s="374"/>
      <c r="C72" s="374"/>
      <c r="D72" s="374"/>
      <c r="E72" s="374"/>
      <c r="F72" s="375"/>
      <c r="G72" s="373"/>
      <c r="H72" s="374"/>
      <c r="I72" s="375"/>
      <c r="J72" s="376"/>
      <c r="K72" s="377"/>
      <c r="L72" s="377"/>
      <c r="M72" s="377"/>
      <c r="N72" s="378"/>
      <c r="O72" s="373"/>
      <c r="P72" s="374"/>
      <c r="Q72" s="374"/>
      <c r="R72" s="374"/>
      <c r="S72" s="374"/>
      <c r="T72" s="375"/>
      <c r="U72" s="376"/>
      <c r="V72" s="377"/>
      <c r="W72" s="377"/>
      <c r="X72" s="378"/>
    </row>
    <row r="73" spans="1:24" ht="15" customHeight="1" x14ac:dyDescent="0.3">
      <c r="A73" s="373"/>
      <c r="B73" s="374"/>
      <c r="C73" s="374"/>
      <c r="D73" s="374"/>
      <c r="E73" s="374"/>
      <c r="F73" s="375"/>
      <c r="G73" s="373"/>
      <c r="H73" s="374"/>
      <c r="I73" s="375"/>
      <c r="J73" s="376"/>
      <c r="K73" s="377"/>
      <c r="L73" s="377"/>
      <c r="M73" s="377"/>
      <c r="N73" s="378"/>
      <c r="O73" s="373"/>
      <c r="P73" s="374"/>
      <c r="Q73" s="374"/>
      <c r="R73" s="374"/>
      <c r="S73" s="374"/>
      <c r="T73" s="375"/>
      <c r="U73" s="376"/>
      <c r="V73" s="377"/>
      <c r="W73" s="377"/>
      <c r="X73" s="378"/>
    </row>
    <row r="74" spans="1:24" ht="15" customHeight="1" x14ac:dyDescent="0.3">
      <c r="A74" s="238"/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</row>
    <row r="75" spans="1:24" x14ac:dyDescent="0.3">
      <c r="A75" s="224" t="s">
        <v>713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39" t="s">
        <v>714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40" t="s">
        <v>770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64" t="str">
        <f>IF(Calibración!E10="2",Calibración!BJ6,Calibración!BJ7)</f>
        <v>La indicación de la presión de referencia y del equipo corresponden al promedio de 4 mediciones en 2 ciclos ascendentes y descendentes.</v>
      </c>
      <c r="B78" s="364"/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</row>
    <row r="79" spans="1:24" ht="15" customHeight="1" x14ac:dyDescent="0.3">
      <c r="A79" s="364"/>
      <c r="B79" s="364"/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64"/>
      <c r="T79" s="364"/>
      <c r="U79" s="364"/>
      <c r="V79" s="364"/>
      <c r="W79" s="364"/>
      <c r="X79" s="364"/>
    </row>
    <row r="80" spans="1:24" ht="15" customHeight="1" x14ac:dyDescent="0.3">
      <c r="A80" s="239" t="s">
        <v>715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39" t="s">
        <v>716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1110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1111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40" t="s">
        <v>772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82" t="s">
        <v>31</v>
      </c>
      <c r="J89" s="382"/>
      <c r="K89" s="382"/>
      <c r="L89" s="382"/>
      <c r="M89" s="382"/>
      <c r="N89" s="382"/>
      <c r="O89" s="382"/>
      <c r="P89" s="382"/>
      <c r="Y89" s="9"/>
    </row>
    <row r="90" spans="1:25" x14ac:dyDescent="0.3">
      <c r="I90" s="383" t="str">
        <f>IF(I89=[5]Generales!$F$1,[5]Generales!$F$6,[5]Generales!$F$5)</f>
        <v>Director Técnico</v>
      </c>
      <c r="J90" s="383"/>
      <c r="K90" s="383"/>
      <c r="L90" s="383"/>
      <c r="M90" s="383"/>
      <c r="N90" s="383"/>
      <c r="O90" s="383"/>
      <c r="P90" s="383"/>
    </row>
    <row r="91" spans="1:25" x14ac:dyDescent="0.3">
      <c r="I91" s="384" t="s">
        <v>717</v>
      </c>
      <c r="J91" s="384"/>
      <c r="K91" s="384"/>
      <c r="L91" s="384"/>
      <c r="M91" s="384"/>
      <c r="N91" s="384"/>
      <c r="O91" s="384"/>
      <c r="P91" s="384"/>
    </row>
    <row r="92" spans="1:25" x14ac:dyDescent="0.3">
      <c r="I92" s="385" t="s">
        <v>718</v>
      </c>
      <c r="J92" s="385"/>
      <c r="K92" s="385"/>
      <c r="L92" s="385"/>
      <c r="M92" s="385"/>
      <c r="N92" s="385"/>
      <c r="O92" s="385"/>
      <c r="P92" s="385"/>
    </row>
  </sheetData>
  <mergeCells count="104"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2" zoomScale="85" zoomScaleNormal="85" workbookViewId="0">
      <selection activeCell="I26" sqref="I26:J26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387" t="s">
        <v>791</v>
      </c>
      <c r="C2" s="387"/>
      <c r="D2" s="387"/>
      <c r="E2" s="387"/>
      <c r="F2" s="387"/>
      <c r="G2" s="387"/>
      <c r="I2" s="276"/>
    </row>
    <row r="3" spans="2:34" x14ac:dyDescent="0.3">
      <c r="B3" s="277"/>
      <c r="C3" s="277"/>
      <c r="D3" s="277"/>
      <c r="E3" s="277"/>
      <c r="F3" s="277"/>
      <c r="G3" s="277"/>
    </row>
    <row r="4" spans="2:34" ht="15" thickBot="1" x14ac:dyDescent="0.35">
      <c r="B4" s="388" t="s">
        <v>792</v>
      </c>
      <c r="C4" s="388"/>
      <c r="D4" s="277"/>
      <c r="E4" s="277"/>
      <c r="F4" s="277"/>
      <c r="G4" s="277"/>
      <c r="I4" s="389" t="s">
        <v>793</v>
      </c>
      <c r="J4" s="389"/>
      <c r="K4" s="389" t="s">
        <v>794</v>
      </c>
      <c r="L4" s="389"/>
      <c r="N4" s="17" t="s">
        <v>795</v>
      </c>
      <c r="O4" s="17"/>
    </row>
    <row r="5" spans="2:34" ht="16.2" thickBot="1" x14ac:dyDescent="0.35">
      <c r="B5" s="278" t="s">
        <v>796</v>
      </c>
      <c r="C5" s="279" t="s">
        <v>797</v>
      </c>
      <c r="D5" s="390" t="s">
        <v>798</v>
      </c>
      <c r="E5" s="391"/>
      <c r="F5" s="391"/>
      <c r="G5" s="392"/>
      <c r="I5" s="280" t="s">
        <v>403</v>
      </c>
      <c r="J5" s="280" t="s">
        <v>404</v>
      </c>
      <c r="K5" s="280" t="s">
        <v>403</v>
      </c>
      <c r="L5" s="280" t="s">
        <v>404</v>
      </c>
      <c r="M5" s="280" t="s">
        <v>799</v>
      </c>
      <c r="N5" s="280" t="s">
        <v>800</v>
      </c>
      <c r="O5" s="280" t="s">
        <v>801</v>
      </c>
      <c r="P5" s="280" t="s">
        <v>802</v>
      </c>
      <c r="Q5" s="280" t="s">
        <v>803</v>
      </c>
      <c r="W5" s="386" t="s">
        <v>1514</v>
      </c>
      <c r="X5" s="386"/>
      <c r="Y5" s="386"/>
      <c r="Z5" s="386"/>
      <c r="AA5" s="386"/>
      <c r="AB5" s="386"/>
      <c r="AC5" s="386"/>
      <c r="AD5" s="386"/>
    </row>
    <row r="6" spans="2:34" ht="15" thickBot="1" x14ac:dyDescent="0.35">
      <c r="B6" s="393">
        <v>-82.74</v>
      </c>
      <c r="C6" s="393">
        <v>-0.06</v>
      </c>
      <c r="D6" s="395" t="s">
        <v>1505</v>
      </c>
      <c r="E6" s="392"/>
      <c r="F6" s="390" t="s">
        <v>1506</v>
      </c>
      <c r="G6" s="392"/>
      <c r="I6" s="29">
        <v>-82.74</v>
      </c>
      <c r="J6" s="29">
        <v>-0.06</v>
      </c>
      <c r="K6" s="29">
        <v>0.16</v>
      </c>
      <c r="L6" s="29">
        <v>0.44</v>
      </c>
      <c r="M6" s="281">
        <v>0.72933000000000003</v>
      </c>
      <c r="N6" s="281">
        <v>6.9350000000000002E-3</v>
      </c>
      <c r="O6" s="29"/>
      <c r="P6" s="29"/>
      <c r="Q6" s="281"/>
      <c r="W6" s="304" t="s">
        <v>1506</v>
      </c>
      <c r="X6" s="304"/>
      <c r="Y6" s="304"/>
      <c r="Z6" s="304"/>
      <c r="AA6" s="304"/>
      <c r="AB6" s="304" t="s">
        <v>1515</v>
      </c>
      <c r="AC6" s="304"/>
      <c r="AD6" s="304"/>
    </row>
    <row r="7" spans="2:34" ht="15" thickBot="1" x14ac:dyDescent="0.35">
      <c r="B7" s="394"/>
      <c r="C7" s="394"/>
      <c r="D7" s="390" t="s">
        <v>804</v>
      </c>
      <c r="E7" s="392"/>
      <c r="F7" s="390" t="s">
        <v>805</v>
      </c>
      <c r="G7" s="392"/>
      <c r="I7" s="29">
        <v>0.01</v>
      </c>
      <c r="J7" s="29">
        <v>699.75</v>
      </c>
      <c r="K7" s="29">
        <v>0.17</v>
      </c>
      <c r="L7" s="29">
        <v>0.39</v>
      </c>
      <c r="M7" s="281">
        <v>0.19986999999999999</v>
      </c>
      <c r="N7" s="281">
        <v>3.4981999999999998E-4</v>
      </c>
      <c r="O7" s="29"/>
      <c r="P7" s="29"/>
      <c r="Q7" s="29"/>
      <c r="W7" s="304" t="s">
        <v>1508</v>
      </c>
      <c r="X7" s="304"/>
      <c r="Y7" s="304"/>
      <c r="Z7" s="304"/>
      <c r="AA7" s="304"/>
      <c r="AB7" s="304" t="s">
        <v>1516</v>
      </c>
      <c r="AC7" s="304"/>
      <c r="AD7" s="304"/>
    </row>
    <row r="8" spans="2:34" x14ac:dyDescent="0.3">
      <c r="B8" s="277"/>
      <c r="C8" s="277"/>
      <c r="D8" s="277"/>
      <c r="E8" s="277"/>
      <c r="F8" s="277"/>
      <c r="G8" s="277"/>
      <c r="I8" s="29">
        <v>700</v>
      </c>
      <c r="J8" s="29">
        <v>7000</v>
      </c>
      <c r="K8" s="29">
        <v>26.87</v>
      </c>
      <c r="L8" s="29">
        <v>32.909999999999997</v>
      </c>
      <c r="M8" s="281">
        <v>31.12</v>
      </c>
      <c r="N8" s="281">
        <v>5.128E-4</v>
      </c>
      <c r="O8" s="29"/>
      <c r="P8" s="29"/>
      <c r="Q8" s="29"/>
      <c r="W8" s="304" t="s">
        <v>1509</v>
      </c>
      <c r="X8" s="304"/>
      <c r="Y8" s="304"/>
      <c r="Z8" s="304"/>
      <c r="AA8" s="304"/>
      <c r="AB8" s="304" t="s">
        <v>1517</v>
      </c>
      <c r="AC8" s="304"/>
      <c r="AD8" s="304"/>
    </row>
    <row r="9" spans="2:34" ht="15" thickBot="1" x14ac:dyDescent="0.35">
      <c r="B9" s="388" t="s">
        <v>792</v>
      </c>
      <c r="C9" s="388"/>
      <c r="D9" s="277"/>
      <c r="E9" s="277"/>
      <c r="F9" s="277"/>
      <c r="G9" s="277"/>
      <c r="I9" s="29">
        <v>7001</v>
      </c>
      <c r="J9" s="29">
        <v>34500</v>
      </c>
      <c r="K9" s="29">
        <v>7.43</v>
      </c>
      <c r="L9" s="29">
        <v>17.079999999999998</v>
      </c>
      <c r="M9" s="281">
        <v>9.0002999999999993</v>
      </c>
      <c r="N9" s="281">
        <v>2.3411999999999999E-4</v>
      </c>
      <c r="O9" s="29"/>
      <c r="P9" s="29"/>
      <c r="Q9" s="29"/>
      <c r="W9" s="304" t="s">
        <v>1510</v>
      </c>
      <c r="X9" s="304"/>
      <c r="Y9" s="304"/>
      <c r="Z9" s="304"/>
      <c r="AA9" s="304"/>
      <c r="AB9" s="304" t="s">
        <v>1518</v>
      </c>
      <c r="AC9" s="304"/>
      <c r="AD9" s="304"/>
    </row>
    <row r="10" spans="2:34" ht="15" thickBot="1" x14ac:dyDescent="0.35">
      <c r="B10" s="278" t="s">
        <v>796</v>
      </c>
      <c r="C10" s="279" t="s">
        <v>797</v>
      </c>
      <c r="D10" s="390" t="s">
        <v>798</v>
      </c>
      <c r="E10" s="391"/>
      <c r="F10" s="391"/>
      <c r="G10" s="392"/>
    </row>
    <row r="11" spans="2:34" ht="15" thickBot="1" x14ac:dyDescent="0.35">
      <c r="B11" s="393">
        <v>0.01</v>
      </c>
      <c r="C11" s="393">
        <v>699.75</v>
      </c>
      <c r="D11" s="395" t="s">
        <v>1507</v>
      </c>
      <c r="E11" s="392"/>
      <c r="F11" s="390" t="s">
        <v>1508</v>
      </c>
      <c r="G11" s="392"/>
    </row>
    <row r="12" spans="2:34" ht="15" thickBot="1" x14ac:dyDescent="0.35">
      <c r="B12" s="394"/>
      <c r="C12" s="394"/>
      <c r="D12" s="390" t="s">
        <v>804</v>
      </c>
      <c r="E12" s="392"/>
      <c r="F12" s="390" t="s">
        <v>805</v>
      </c>
      <c r="G12" s="392"/>
    </row>
    <row r="13" spans="2:34" x14ac:dyDescent="0.3">
      <c r="B13" s="277"/>
      <c r="C13" s="277"/>
      <c r="D13" s="277"/>
      <c r="E13" s="277"/>
      <c r="F13" s="277"/>
      <c r="G13" s="277"/>
    </row>
    <row r="14" spans="2:34" ht="15" thickBot="1" x14ac:dyDescent="0.35">
      <c r="B14" s="388" t="s">
        <v>792</v>
      </c>
      <c r="C14" s="388"/>
      <c r="D14" s="277"/>
      <c r="E14" s="277"/>
      <c r="F14" s="277"/>
      <c r="G14" s="277"/>
      <c r="I14" s="17" t="s">
        <v>795</v>
      </c>
      <c r="J14" s="17"/>
      <c r="K14" s="396" t="s">
        <v>1511</v>
      </c>
      <c r="L14" s="396"/>
      <c r="M14" s="396"/>
      <c r="P14" s="17" t="s">
        <v>795</v>
      </c>
      <c r="Q14" s="17"/>
      <c r="R14" s="396" t="s">
        <v>1512</v>
      </c>
      <c r="S14" s="396"/>
      <c r="T14" s="396"/>
      <c r="W14" s="17" t="s">
        <v>795</v>
      </c>
      <c r="X14" s="17"/>
      <c r="Y14" s="397" t="s">
        <v>1513</v>
      </c>
      <c r="Z14" s="397"/>
      <c r="AA14" s="397"/>
      <c r="AD14" s="17" t="s">
        <v>795</v>
      </c>
      <c r="AE14" s="17"/>
      <c r="AF14" s="397" t="s">
        <v>1510</v>
      </c>
      <c r="AG14" s="397"/>
      <c r="AH14" s="397"/>
    </row>
    <row r="15" spans="2:34" ht="16.2" thickBot="1" x14ac:dyDescent="0.35">
      <c r="B15" s="278" t="s">
        <v>796</v>
      </c>
      <c r="C15" s="279" t="s">
        <v>797</v>
      </c>
      <c r="D15" s="390" t="s">
        <v>798</v>
      </c>
      <c r="E15" s="391"/>
      <c r="F15" s="391"/>
      <c r="G15" s="392"/>
      <c r="I15" s="282" t="s">
        <v>806</v>
      </c>
      <c r="J15" s="283" t="s">
        <v>807</v>
      </c>
      <c r="K15" s="283" t="s">
        <v>808</v>
      </c>
      <c r="L15" s="282" t="s">
        <v>538</v>
      </c>
      <c r="M15" s="282" t="s">
        <v>809</v>
      </c>
      <c r="P15" s="282" t="s">
        <v>806</v>
      </c>
      <c r="Q15" s="283" t="s">
        <v>807</v>
      </c>
      <c r="R15" s="283" t="s">
        <v>808</v>
      </c>
      <c r="S15" s="282" t="s">
        <v>538</v>
      </c>
      <c r="T15" s="282" t="s">
        <v>809</v>
      </c>
      <c r="W15" s="282" t="s">
        <v>806</v>
      </c>
      <c r="X15" s="283" t="s">
        <v>807</v>
      </c>
      <c r="Y15" s="283" t="s">
        <v>808</v>
      </c>
      <c r="Z15" s="282" t="s">
        <v>538</v>
      </c>
      <c r="AA15" s="282" t="s">
        <v>809</v>
      </c>
      <c r="AD15" s="282" t="s">
        <v>806</v>
      </c>
      <c r="AE15" s="283" t="s">
        <v>807</v>
      </c>
      <c r="AF15" s="283" t="s">
        <v>808</v>
      </c>
      <c r="AG15" s="282" t="s">
        <v>538</v>
      </c>
      <c r="AH15" s="282" t="s">
        <v>809</v>
      </c>
    </row>
    <row r="16" spans="2:34" ht="15" thickBot="1" x14ac:dyDescent="0.35">
      <c r="B16" s="393">
        <v>700</v>
      </c>
      <c r="C16" s="393">
        <v>7000</v>
      </c>
      <c r="D16" s="390" t="s">
        <v>810</v>
      </c>
      <c r="E16" s="392"/>
      <c r="F16" s="390" t="s">
        <v>1509</v>
      </c>
      <c r="G16" s="392"/>
      <c r="I16" s="22" t="s">
        <v>811</v>
      </c>
      <c r="J16" s="284" t="str">
        <f ca="1">Calibración!G38</f>
        <v/>
      </c>
      <c r="K16" s="285" t="str">
        <f ca="1">Calibración!J38</f>
        <v/>
      </c>
      <c r="L16" s="285" t="e">
        <f ca="1">IF(J16=0,0,IF(J16&lt;=$J$6,$M$6+$N$6*J16+$O$6*J16^2+$P$6*J16^3+$Q$6*J16^4,IF(J16&gt;$J$7,$M$8+$N$8*J16+$O$8*J16^2+$P$8*J16^3+$Q$8*J16^4,$M$7+$N$7*J16+$O$7*J16^2+$P$7*J16^3+$Q$7*J16^4)))</f>
        <v>#VALUE!</v>
      </c>
      <c r="M16" s="285">
        <f ca="1">IF(J16=0,0,IF(J16&lt;=$J$6+5,$K$6,IF(J16&gt;$J$7+10,$K$8,$K$7)))</f>
        <v>26.87</v>
      </c>
      <c r="P16" s="22" t="s">
        <v>811</v>
      </c>
      <c r="Q16" s="284" t="str">
        <f ca="1">Calibración!G38</f>
        <v/>
      </c>
      <c r="R16" s="285" t="str">
        <f ca="1">Calibración!J38</f>
        <v/>
      </c>
      <c r="S16" s="285" t="e">
        <f ca="1">IF(Q16=0,0,IF(Q16&lt;=$J$7,$M$7+$N$7*Q16+$O$7*Q16^2+$P$7*Q16^3+$Q$7*Q16^4,IF(Q16&gt;$J$8,$M$9+$N$9*Q16+$O$9*Q16^2+$P$9*Q16^3+$Q$9*Q16^4,$M$8+$N$8*Q16+$O$8*Q16^2+$P$8*Q16^3+$Q$8*Q16^4)))</f>
        <v>#VALUE!</v>
      </c>
      <c r="T16" s="285">
        <f ca="1">IF(Q16=0,0,IF(Q16&lt;=$J$7+5,$K$7,IF(Q16&gt;$J$8+10,$K$9,$K$8)))</f>
        <v>7.43</v>
      </c>
      <c r="W16" s="22" t="s">
        <v>811</v>
      </c>
      <c r="X16" s="284" t="str">
        <f ca="1">Calibración!G38</f>
        <v/>
      </c>
      <c r="Y16" s="285" t="str">
        <f ca="1">Calibración!J38</f>
        <v/>
      </c>
      <c r="Z16" s="285" t="e">
        <f ca="1">IF(X16=0,0,IF(X16&lt;=$J$8,$M$8+$N$8*X16+$O$8*X16^2+$P$8*X16^3+$Q$8*X16^4,IF(X16&gt;$J$9,$M$9+$N$9*X16+$O$9*X16^2+$P$9*X16^3+$Q$9*X16^4,$M$8+$N$8*X16+$O$8*X16^2+$P$8*X16^3+$Q$8*X16^4)))</f>
        <v>#VALUE!</v>
      </c>
      <c r="AA16" s="285">
        <f ca="1">IF(X16=0,0,IF(X16&lt;=$J$8+5,$K$8,IF(X16&gt;$J$9+10,$K$10,$K$9)))</f>
        <v>0</v>
      </c>
      <c r="AD16" s="22" t="s">
        <v>811</v>
      </c>
      <c r="AE16" s="284" t="str">
        <f ca="1">Calibración!G38</f>
        <v/>
      </c>
      <c r="AF16" s="285" t="str">
        <f ca="1">Calibración!J38</f>
        <v/>
      </c>
      <c r="AG16" s="28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5">
        <f ca="1">IF(AE16=0,0,IF(AE16&lt;=$J$8+5,$K$9,IF(AE16&gt;$J$9+10,$K$11,$K$10)))</f>
        <v>0</v>
      </c>
    </row>
    <row r="17" spans="2:34" ht="15" thickBot="1" x14ac:dyDescent="0.35">
      <c r="B17" s="394"/>
      <c r="C17" s="394"/>
      <c r="D17" s="390" t="s">
        <v>804</v>
      </c>
      <c r="E17" s="392"/>
      <c r="F17" s="390" t="s">
        <v>805</v>
      </c>
      <c r="G17" s="392"/>
      <c r="I17" s="22" t="s">
        <v>812</v>
      </c>
      <c r="J17" s="284" t="str">
        <f ca="1">Calibración!G39</f>
        <v/>
      </c>
      <c r="K17" s="285" t="str">
        <f ca="1">Calibración!J39</f>
        <v/>
      </c>
      <c r="L17" s="28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5">
        <f t="shared" ref="M17:M25" ca="1" si="1">IF(J17=0,0,IF(J17&lt;=$J$6+5,$K$6,IF(J17&gt;$J$7+10,$K$8,$K$7)))</f>
        <v>26.87</v>
      </c>
      <c r="P17" s="22" t="s">
        <v>812</v>
      </c>
      <c r="Q17" s="284" t="str">
        <f ca="1">Calibración!G39</f>
        <v/>
      </c>
      <c r="R17" s="285" t="str">
        <f ca="1">Calibración!J39</f>
        <v/>
      </c>
      <c r="S17" s="28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5">
        <f t="shared" ref="T17:T25" ca="1" si="3">IF(Q17=0,0,IF(Q17&lt;=$J$7+5,$K$7,IF(Q17&gt;$J$8+10,$K$9,$K$8)))</f>
        <v>7.43</v>
      </c>
      <c r="W17" s="22" t="s">
        <v>812</v>
      </c>
      <c r="X17" s="284" t="str">
        <f ca="1">Calibración!G39</f>
        <v/>
      </c>
      <c r="Y17" s="285" t="str">
        <f ca="1">Calibración!J39</f>
        <v/>
      </c>
      <c r="Z17" s="28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5">
        <f t="shared" ref="AA17:AA25" ca="1" si="5">IF(X17=0,0,IF(X17&lt;=$J$8+5,$K$8,IF(X17&gt;$J$9+10,$K$10,$K$9)))</f>
        <v>0</v>
      </c>
      <c r="AD17" s="22" t="s">
        <v>812</v>
      </c>
      <c r="AE17" s="284" t="str">
        <f ca="1">Calibración!G39</f>
        <v/>
      </c>
      <c r="AF17" s="285" t="str">
        <f ca="1">Calibración!J39</f>
        <v/>
      </c>
      <c r="AG17" s="28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5">
        <f t="shared" ref="AH17:AH25" ca="1" si="7">IF(AE17=0,0,IF(AE17&lt;=$J$8+5,$K$9,IF(AE17&gt;$J$9+10,$K$11,$K$10)))</f>
        <v>0</v>
      </c>
    </row>
    <row r="18" spans="2:34" x14ac:dyDescent="0.3">
      <c r="B18" s="286"/>
      <c r="I18" s="22" t="s">
        <v>813</v>
      </c>
      <c r="J18" s="284" t="str">
        <f ca="1">Calibración!G40</f>
        <v/>
      </c>
      <c r="K18" s="285" t="str">
        <f ca="1">Calibración!J40</f>
        <v/>
      </c>
      <c r="L18" s="285" t="e">
        <f t="shared" ca="1" si="0"/>
        <v>#VALUE!</v>
      </c>
      <c r="M18" s="285">
        <f t="shared" ca="1" si="1"/>
        <v>26.87</v>
      </c>
      <c r="P18" s="22" t="s">
        <v>813</v>
      </c>
      <c r="Q18" s="284" t="str">
        <f ca="1">Calibración!G40</f>
        <v/>
      </c>
      <c r="R18" s="285" t="str">
        <f ca="1">Calibración!J40</f>
        <v/>
      </c>
      <c r="S18" s="285" t="e">
        <f t="shared" ca="1" si="2"/>
        <v>#VALUE!</v>
      </c>
      <c r="T18" s="285">
        <f t="shared" ca="1" si="3"/>
        <v>7.43</v>
      </c>
      <c r="W18" s="22" t="s">
        <v>813</v>
      </c>
      <c r="X18" s="284" t="str">
        <f ca="1">Calibración!G40</f>
        <v/>
      </c>
      <c r="Y18" s="285" t="str">
        <f ca="1">Calibración!J40</f>
        <v/>
      </c>
      <c r="Z18" s="285" t="e">
        <f t="shared" ca="1" si="4"/>
        <v>#VALUE!</v>
      </c>
      <c r="AA18" s="285">
        <f t="shared" ca="1" si="5"/>
        <v>0</v>
      </c>
      <c r="AD18" s="22" t="s">
        <v>813</v>
      </c>
      <c r="AE18" s="284" t="str">
        <f ca="1">Calibración!G40</f>
        <v/>
      </c>
      <c r="AF18" s="285" t="str">
        <f ca="1">Calibración!J40</f>
        <v/>
      </c>
      <c r="AG18" s="285" t="e">
        <f t="shared" ca="1" si="6"/>
        <v>#VALUE!</v>
      </c>
      <c r="AH18" s="285">
        <f t="shared" ca="1" si="7"/>
        <v>0</v>
      </c>
    </row>
    <row r="19" spans="2:34" ht="15" thickBot="1" x14ac:dyDescent="0.35">
      <c r="B19" s="388" t="s">
        <v>792</v>
      </c>
      <c r="C19" s="388"/>
      <c r="D19" s="277"/>
      <c r="E19" s="277"/>
      <c r="F19" s="277"/>
      <c r="G19" s="277"/>
      <c r="I19" s="22" t="s">
        <v>814</v>
      </c>
      <c r="J19" s="284" t="str">
        <f ca="1">Calibración!G41</f>
        <v/>
      </c>
      <c r="K19" s="285" t="str">
        <f ca="1">Calibración!J41</f>
        <v/>
      </c>
      <c r="L19" s="285" t="e">
        <f t="shared" ca="1" si="0"/>
        <v>#VALUE!</v>
      </c>
      <c r="M19" s="285">
        <f t="shared" ca="1" si="1"/>
        <v>26.87</v>
      </c>
      <c r="P19" s="22" t="s">
        <v>814</v>
      </c>
      <c r="Q19" s="284" t="str">
        <f ca="1">Calibración!G41</f>
        <v/>
      </c>
      <c r="R19" s="285" t="str">
        <f ca="1">Calibración!J41</f>
        <v/>
      </c>
      <c r="S19" s="285" t="e">
        <f t="shared" ca="1" si="2"/>
        <v>#VALUE!</v>
      </c>
      <c r="T19" s="285">
        <f t="shared" ca="1" si="3"/>
        <v>7.43</v>
      </c>
      <c r="W19" s="22" t="s">
        <v>814</v>
      </c>
      <c r="X19" s="284" t="str">
        <f ca="1">Calibración!G41</f>
        <v/>
      </c>
      <c r="Y19" s="285" t="str">
        <f ca="1">Calibración!J41</f>
        <v/>
      </c>
      <c r="Z19" s="285" t="e">
        <f t="shared" ca="1" si="4"/>
        <v>#VALUE!</v>
      </c>
      <c r="AA19" s="285">
        <f t="shared" ca="1" si="5"/>
        <v>0</v>
      </c>
      <c r="AD19" s="22" t="s">
        <v>814</v>
      </c>
      <c r="AE19" s="284" t="str">
        <f ca="1">Calibración!G41</f>
        <v/>
      </c>
      <c r="AF19" s="285" t="str">
        <f ca="1">Calibración!J41</f>
        <v/>
      </c>
      <c r="AG19" s="285" t="e">
        <f t="shared" ca="1" si="6"/>
        <v>#VALUE!</v>
      </c>
      <c r="AH19" s="285">
        <f t="shared" ca="1" si="7"/>
        <v>0</v>
      </c>
    </row>
    <row r="20" spans="2:34" ht="15" thickBot="1" x14ac:dyDescent="0.35">
      <c r="B20" s="278" t="s">
        <v>796</v>
      </c>
      <c r="C20" s="279" t="s">
        <v>797</v>
      </c>
      <c r="D20" s="390" t="s">
        <v>798</v>
      </c>
      <c r="E20" s="391"/>
      <c r="F20" s="391"/>
      <c r="G20" s="392"/>
      <c r="I20" s="22" t="s">
        <v>815</v>
      </c>
      <c r="J20" s="284" t="str">
        <f ca="1">Calibración!G42</f>
        <v/>
      </c>
      <c r="K20" s="285" t="str">
        <f ca="1">Calibración!J42</f>
        <v/>
      </c>
      <c r="L20" s="285" t="e">
        <f t="shared" ca="1" si="0"/>
        <v>#VALUE!</v>
      </c>
      <c r="M20" s="285">
        <f t="shared" ca="1" si="1"/>
        <v>26.87</v>
      </c>
      <c r="P20" s="22" t="s">
        <v>815</v>
      </c>
      <c r="Q20" s="284" t="str">
        <f ca="1">Calibración!G42</f>
        <v/>
      </c>
      <c r="R20" s="285" t="str">
        <f ca="1">Calibración!J42</f>
        <v/>
      </c>
      <c r="S20" s="285" t="e">
        <f t="shared" ca="1" si="2"/>
        <v>#VALUE!</v>
      </c>
      <c r="T20" s="285">
        <f t="shared" ca="1" si="3"/>
        <v>7.43</v>
      </c>
      <c r="W20" s="22" t="s">
        <v>815</v>
      </c>
      <c r="X20" s="284" t="str">
        <f ca="1">Calibración!G42</f>
        <v/>
      </c>
      <c r="Y20" s="285" t="str">
        <f ca="1">Calibración!J42</f>
        <v/>
      </c>
      <c r="Z20" s="285" t="e">
        <f t="shared" ca="1" si="4"/>
        <v>#VALUE!</v>
      </c>
      <c r="AA20" s="285">
        <f t="shared" ca="1" si="5"/>
        <v>0</v>
      </c>
      <c r="AD20" s="22" t="s">
        <v>815</v>
      </c>
      <c r="AE20" s="284" t="str">
        <f ca="1">Calibración!G42</f>
        <v/>
      </c>
      <c r="AF20" s="285" t="str">
        <f ca="1">Calibración!J42</f>
        <v/>
      </c>
      <c r="AG20" s="285" t="e">
        <f t="shared" ca="1" si="6"/>
        <v>#VALUE!</v>
      </c>
      <c r="AH20" s="285">
        <f t="shared" ca="1" si="7"/>
        <v>0</v>
      </c>
    </row>
    <row r="21" spans="2:34" ht="15" thickBot="1" x14ac:dyDescent="0.35">
      <c r="B21" s="393">
        <v>7001</v>
      </c>
      <c r="C21" s="393">
        <v>34500</v>
      </c>
      <c r="D21" s="390" t="s">
        <v>816</v>
      </c>
      <c r="E21" s="392"/>
      <c r="F21" s="390" t="s">
        <v>1510</v>
      </c>
      <c r="G21" s="392"/>
      <c r="I21" s="22" t="s">
        <v>817</v>
      </c>
      <c r="J21" s="284" t="str">
        <f ca="1">Calibración!G43</f>
        <v/>
      </c>
      <c r="K21" s="285" t="str">
        <f ca="1">Calibración!J43</f>
        <v/>
      </c>
      <c r="L21" s="285" t="e">
        <f t="shared" ca="1" si="0"/>
        <v>#VALUE!</v>
      </c>
      <c r="M21" s="285">
        <f t="shared" ca="1" si="1"/>
        <v>26.87</v>
      </c>
      <c r="P21" s="22" t="s">
        <v>817</v>
      </c>
      <c r="Q21" s="284" t="str">
        <f ca="1">Calibración!G43</f>
        <v/>
      </c>
      <c r="R21" s="285" t="str">
        <f ca="1">Calibración!J43</f>
        <v/>
      </c>
      <c r="S21" s="285" t="e">
        <f t="shared" ca="1" si="2"/>
        <v>#VALUE!</v>
      </c>
      <c r="T21" s="285">
        <f t="shared" ca="1" si="3"/>
        <v>7.43</v>
      </c>
      <c r="W21" s="22" t="s">
        <v>817</v>
      </c>
      <c r="X21" s="284" t="str">
        <f ca="1">Calibración!G43</f>
        <v/>
      </c>
      <c r="Y21" s="285" t="str">
        <f ca="1">Calibración!J43</f>
        <v/>
      </c>
      <c r="Z21" s="285" t="e">
        <f t="shared" ca="1" si="4"/>
        <v>#VALUE!</v>
      </c>
      <c r="AA21" s="285">
        <f t="shared" ca="1" si="5"/>
        <v>0</v>
      </c>
      <c r="AD21" s="22" t="s">
        <v>817</v>
      </c>
      <c r="AE21" s="284" t="str">
        <f ca="1">Calibración!G43</f>
        <v/>
      </c>
      <c r="AF21" s="285" t="str">
        <f ca="1">Calibración!J43</f>
        <v/>
      </c>
      <c r="AG21" s="285" t="e">
        <f t="shared" ca="1" si="6"/>
        <v>#VALUE!</v>
      </c>
      <c r="AH21" s="285">
        <f t="shared" ca="1" si="7"/>
        <v>0</v>
      </c>
    </row>
    <row r="22" spans="2:34" ht="15" thickBot="1" x14ac:dyDescent="0.35">
      <c r="B22" s="394"/>
      <c r="C22" s="394"/>
      <c r="D22" s="390" t="s">
        <v>804</v>
      </c>
      <c r="E22" s="392"/>
      <c r="F22" s="390" t="s">
        <v>805</v>
      </c>
      <c r="G22" s="392"/>
      <c r="I22" s="22" t="s">
        <v>818</v>
      </c>
      <c r="J22" s="284" t="str">
        <f ca="1">Calibración!G44</f>
        <v/>
      </c>
      <c r="K22" s="285" t="str">
        <f ca="1">Calibración!J44</f>
        <v/>
      </c>
      <c r="L22" s="285" t="e">
        <f t="shared" ca="1" si="0"/>
        <v>#VALUE!</v>
      </c>
      <c r="M22" s="285">
        <f t="shared" ca="1" si="1"/>
        <v>26.87</v>
      </c>
      <c r="P22" s="22" t="s">
        <v>818</v>
      </c>
      <c r="Q22" s="284" t="str">
        <f ca="1">Calibración!G44</f>
        <v/>
      </c>
      <c r="R22" s="285" t="str">
        <f ca="1">Calibración!J44</f>
        <v/>
      </c>
      <c r="S22" s="285" t="e">
        <f t="shared" ca="1" si="2"/>
        <v>#VALUE!</v>
      </c>
      <c r="T22" s="285">
        <f t="shared" ca="1" si="3"/>
        <v>7.43</v>
      </c>
      <c r="W22" s="22" t="s">
        <v>818</v>
      </c>
      <c r="X22" s="284" t="str">
        <f ca="1">Calibración!G44</f>
        <v/>
      </c>
      <c r="Y22" s="285" t="str">
        <f ca="1">Calibración!J44</f>
        <v/>
      </c>
      <c r="Z22" s="285" t="e">
        <f t="shared" ca="1" si="4"/>
        <v>#VALUE!</v>
      </c>
      <c r="AA22" s="285">
        <f t="shared" ca="1" si="5"/>
        <v>0</v>
      </c>
      <c r="AD22" s="22" t="s">
        <v>818</v>
      </c>
      <c r="AE22" s="284" t="str">
        <f ca="1">Calibración!G44</f>
        <v/>
      </c>
      <c r="AF22" s="285" t="str">
        <f ca="1">Calibración!J44</f>
        <v/>
      </c>
      <c r="AG22" s="285" t="e">
        <f t="shared" ca="1" si="6"/>
        <v>#VALUE!</v>
      </c>
      <c r="AH22" s="285">
        <f t="shared" ca="1" si="7"/>
        <v>0</v>
      </c>
    </row>
    <row r="23" spans="2:34" x14ac:dyDescent="0.3">
      <c r="I23" s="22" t="s">
        <v>819</v>
      </c>
      <c r="J23" s="284" t="str">
        <f ca="1">Calibración!G45</f>
        <v/>
      </c>
      <c r="K23" s="285" t="str">
        <f ca="1">Calibración!J45</f>
        <v/>
      </c>
      <c r="L23" s="285" t="e">
        <f t="shared" ca="1" si="0"/>
        <v>#VALUE!</v>
      </c>
      <c r="M23" s="285">
        <f t="shared" ca="1" si="1"/>
        <v>26.87</v>
      </c>
      <c r="P23" s="22" t="s">
        <v>819</v>
      </c>
      <c r="Q23" s="284" t="str">
        <f ca="1">Calibración!G45</f>
        <v/>
      </c>
      <c r="R23" s="285" t="str">
        <f ca="1">Calibración!J45</f>
        <v/>
      </c>
      <c r="S23" s="285" t="e">
        <f t="shared" ca="1" si="2"/>
        <v>#VALUE!</v>
      </c>
      <c r="T23" s="285">
        <f t="shared" ca="1" si="3"/>
        <v>7.43</v>
      </c>
      <c r="W23" s="22" t="s">
        <v>819</v>
      </c>
      <c r="X23" s="284" t="str">
        <f ca="1">Calibración!G45</f>
        <v/>
      </c>
      <c r="Y23" s="285" t="str">
        <f ca="1">Calibración!J45</f>
        <v/>
      </c>
      <c r="Z23" s="285" t="e">
        <f t="shared" ca="1" si="4"/>
        <v>#VALUE!</v>
      </c>
      <c r="AA23" s="285">
        <f t="shared" ca="1" si="5"/>
        <v>0</v>
      </c>
      <c r="AD23" s="22" t="s">
        <v>819</v>
      </c>
      <c r="AE23" s="284" t="str">
        <f ca="1">Calibración!G45</f>
        <v/>
      </c>
      <c r="AF23" s="285" t="str">
        <f ca="1">Calibración!J45</f>
        <v/>
      </c>
      <c r="AG23" s="285" t="e">
        <f t="shared" ca="1" si="6"/>
        <v>#VALUE!</v>
      </c>
      <c r="AH23" s="285">
        <f t="shared" ca="1" si="7"/>
        <v>0</v>
      </c>
    </row>
    <row r="24" spans="2:34" x14ac:dyDescent="0.3">
      <c r="I24" s="22" t="s">
        <v>820</v>
      </c>
      <c r="J24" s="284" t="str">
        <f ca="1">Calibración!G46</f>
        <v/>
      </c>
      <c r="K24" s="285" t="str">
        <f ca="1">Calibración!J46</f>
        <v/>
      </c>
      <c r="L24" s="285" t="e">
        <f t="shared" ca="1" si="0"/>
        <v>#VALUE!</v>
      </c>
      <c r="M24" s="285">
        <f t="shared" ca="1" si="1"/>
        <v>26.87</v>
      </c>
      <c r="P24" s="22" t="s">
        <v>820</v>
      </c>
      <c r="Q24" s="284" t="str">
        <f ca="1">Calibración!G46</f>
        <v/>
      </c>
      <c r="R24" s="285" t="str">
        <f ca="1">Calibración!J46</f>
        <v/>
      </c>
      <c r="S24" s="285" t="e">
        <f t="shared" ca="1" si="2"/>
        <v>#VALUE!</v>
      </c>
      <c r="T24" s="285">
        <f t="shared" ca="1" si="3"/>
        <v>7.43</v>
      </c>
      <c r="W24" s="22" t="s">
        <v>820</v>
      </c>
      <c r="X24" s="284" t="str">
        <f ca="1">Calibración!G46</f>
        <v/>
      </c>
      <c r="Y24" s="285" t="str">
        <f ca="1">Calibración!J46</f>
        <v/>
      </c>
      <c r="Z24" s="285" t="e">
        <f t="shared" ca="1" si="4"/>
        <v>#VALUE!</v>
      </c>
      <c r="AA24" s="285">
        <f t="shared" ca="1" si="5"/>
        <v>0</v>
      </c>
      <c r="AD24" s="22" t="s">
        <v>820</v>
      </c>
      <c r="AE24" s="284" t="str">
        <f ca="1">Calibración!G46</f>
        <v/>
      </c>
      <c r="AF24" s="285" t="str">
        <f ca="1">Calibración!J46</f>
        <v/>
      </c>
      <c r="AG24" s="285" t="e">
        <f t="shared" ca="1" si="6"/>
        <v>#VALUE!</v>
      </c>
      <c r="AH24" s="285">
        <f t="shared" ca="1" si="7"/>
        <v>0</v>
      </c>
    </row>
    <row r="25" spans="2:34" x14ac:dyDescent="0.3">
      <c r="I25" s="22" t="s">
        <v>821</v>
      </c>
      <c r="J25" s="284" t="str">
        <f ca="1">Calibración!G47</f>
        <v/>
      </c>
      <c r="K25" s="285" t="str">
        <f ca="1">Calibración!J47</f>
        <v/>
      </c>
      <c r="L25" s="285" t="e">
        <f t="shared" ca="1" si="0"/>
        <v>#VALUE!</v>
      </c>
      <c r="M25" s="285">
        <f t="shared" ca="1" si="1"/>
        <v>26.87</v>
      </c>
      <c r="P25" s="22" t="s">
        <v>821</v>
      </c>
      <c r="Q25" s="284" t="str">
        <f ca="1">Calibración!G47</f>
        <v/>
      </c>
      <c r="R25" s="285" t="str">
        <f ca="1">Calibración!J47</f>
        <v/>
      </c>
      <c r="S25" s="285" t="e">
        <f t="shared" ca="1" si="2"/>
        <v>#VALUE!</v>
      </c>
      <c r="T25" s="285">
        <f t="shared" ca="1" si="3"/>
        <v>7.43</v>
      </c>
      <c r="W25" s="22" t="s">
        <v>821</v>
      </c>
      <c r="X25" s="284" t="str">
        <f ca="1">Calibración!G47</f>
        <v/>
      </c>
      <c r="Y25" s="285" t="str">
        <f ca="1">Calibración!J47</f>
        <v/>
      </c>
      <c r="Z25" s="285" t="e">
        <f t="shared" ca="1" si="4"/>
        <v>#VALUE!</v>
      </c>
      <c r="AA25" s="285">
        <f t="shared" ca="1" si="5"/>
        <v>0</v>
      </c>
      <c r="AD25" s="22" t="s">
        <v>821</v>
      </c>
      <c r="AE25" s="284" t="str">
        <f ca="1">Calibración!G47</f>
        <v/>
      </c>
      <c r="AF25" s="285" t="str">
        <f ca="1">Calibración!J47</f>
        <v/>
      </c>
      <c r="AG25" s="285" t="e">
        <f t="shared" ca="1" si="6"/>
        <v>#VALUE!</v>
      </c>
      <c r="AH25" s="285">
        <f t="shared" ca="1" si="7"/>
        <v>0</v>
      </c>
    </row>
    <row r="26" spans="2:34" ht="15" thickBot="1" x14ac:dyDescent="0.35">
      <c r="I26" s="388" t="s">
        <v>792</v>
      </c>
      <c r="J26" s="388"/>
      <c r="P26" s="388" t="s">
        <v>792</v>
      </c>
      <c r="Q26" s="388"/>
      <c r="W26" s="388" t="s">
        <v>792</v>
      </c>
      <c r="X26" s="388"/>
      <c r="AD26" s="388" t="s">
        <v>792</v>
      </c>
      <c r="AE26" s="388"/>
    </row>
    <row r="27" spans="2:34" ht="15" thickBot="1" x14ac:dyDescent="0.35">
      <c r="I27" s="278" t="s">
        <v>796</v>
      </c>
      <c r="J27" s="279" t="s">
        <v>797</v>
      </c>
      <c r="P27" s="278" t="s">
        <v>796</v>
      </c>
      <c r="Q27" s="279" t="s">
        <v>797</v>
      </c>
      <c r="W27" s="278" t="s">
        <v>796</v>
      </c>
      <c r="X27" s="279" t="s">
        <v>797</v>
      </c>
      <c r="AD27" s="278" t="s">
        <v>796</v>
      </c>
      <c r="AE27" s="279" t="s">
        <v>797</v>
      </c>
    </row>
    <row r="28" spans="2:34" x14ac:dyDescent="0.3">
      <c r="I28" s="393">
        <v>-82.74</v>
      </c>
      <c r="J28" s="393">
        <v>-0.06</v>
      </c>
      <c r="P28" s="393">
        <v>0.01</v>
      </c>
      <c r="Q28" s="393">
        <v>699.75</v>
      </c>
      <c r="W28" s="393">
        <v>700</v>
      </c>
      <c r="X28" s="393">
        <v>7000</v>
      </c>
      <c r="AD28" s="393">
        <v>7001</v>
      </c>
      <c r="AE28" s="393">
        <v>34500</v>
      </c>
    </row>
    <row r="29" spans="2:34" ht="15" thickBot="1" x14ac:dyDescent="0.35">
      <c r="I29" s="394"/>
      <c r="J29" s="394"/>
      <c r="P29" s="394"/>
      <c r="Q29" s="394"/>
      <c r="W29" s="394"/>
      <c r="X29" s="394"/>
      <c r="AD29" s="394"/>
      <c r="AE29" s="394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2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98" t="s">
        <v>725</v>
      </c>
      <c r="B5" s="398"/>
      <c r="C5" s="398"/>
      <c r="D5" s="398"/>
      <c r="E5" s="398"/>
      <c r="F5" s="398"/>
      <c r="G5" s="398"/>
      <c r="H5" s="398"/>
      <c r="I5" s="398"/>
      <c r="J5" s="398"/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710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65" t="s">
        <v>366</v>
      </c>
      <c r="B8" s="366"/>
      <c r="C8" s="366"/>
      <c r="D8" s="366"/>
      <c r="E8" s="366"/>
      <c r="F8" s="367"/>
      <c r="G8" s="365" t="s">
        <v>4</v>
      </c>
      <c r="H8" s="366"/>
      <c r="I8" s="367"/>
      <c r="J8" s="368" t="s">
        <v>369</v>
      </c>
      <c r="K8" s="369"/>
      <c r="L8" s="369"/>
      <c r="M8" s="369"/>
      <c r="N8" s="370"/>
      <c r="O8" s="365" t="s">
        <v>711</v>
      </c>
      <c r="P8" s="366"/>
      <c r="Q8" s="366"/>
      <c r="R8" s="366"/>
      <c r="S8" s="366"/>
      <c r="T8" s="367"/>
      <c r="U8" s="368" t="s">
        <v>712</v>
      </c>
      <c r="V8" s="369"/>
      <c r="W8" s="369"/>
      <c r="X8" s="370"/>
    </row>
    <row r="9" spans="1:24" x14ac:dyDescent="0.3">
      <c r="A9" s="373" t="s">
        <v>720</v>
      </c>
      <c r="B9" s="374" t="s">
        <v>720</v>
      </c>
      <c r="C9" s="374" t="s">
        <v>720</v>
      </c>
      <c r="D9" s="374" t="s">
        <v>720</v>
      </c>
      <c r="E9" s="374" t="s">
        <v>720</v>
      </c>
      <c r="F9" s="375" t="s">
        <v>720</v>
      </c>
      <c r="G9" s="373" t="s">
        <v>553</v>
      </c>
      <c r="H9" s="374" t="s">
        <v>553</v>
      </c>
      <c r="I9" s="375" t="s">
        <v>553</v>
      </c>
      <c r="J9" s="376" t="s">
        <v>1119</v>
      </c>
      <c r="K9" s="377" t="s">
        <v>722</v>
      </c>
      <c r="L9" s="377">
        <v>43368</v>
      </c>
      <c r="M9" s="377" t="s">
        <v>721</v>
      </c>
      <c r="N9" s="378" t="s">
        <v>722</v>
      </c>
      <c r="O9" s="373" t="s">
        <v>722</v>
      </c>
      <c r="P9" s="374" t="s">
        <v>722</v>
      </c>
      <c r="Q9" s="374" t="s">
        <v>722</v>
      </c>
      <c r="R9" s="374" t="s">
        <v>722</v>
      </c>
      <c r="S9" s="374" t="s">
        <v>722</v>
      </c>
      <c r="T9" s="375" t="s">
        <v>722</v>
      </c>
      <c r="U9" s="376">
        <v>44096</v>
      </c>
      <c r="V9" s="377" t="s">
        <v>721</v>
      </c>
      <c r="W9" s="377" t="s">
        <v>722</v>
      </c>
      <c r="X9" s="378">
        <v>43368</v>
      </c>
    </row>
    <row r="10" spans="1:24" ht="15" customHeight="1" x14ac:dyDescent="0.3">
      <c r="A10" s="373" t="s">
        <v>720</v>
      </c>
      <c r="B10" s="374" t="s">
        <v>720</v>
      </c>
      <c r="C10" s="374" t="s">
        <v>720</v>
      </c>
      <c r="D10" s="374" t="s">
        <v>720</v>
      </c>
      <c r="E10" s="374" t="s">
        <v>720</v>
      </c>
      <c r="F10" s="375" t="s">
        <v>720</v>
      </c>
      <c r="G10" s="373" t="s">
        <v>561</v>
      </c>
      <c r="H10" s="374" t="s">
        <v>561</v>
      </c>
      <c r="I10" s="375" t="s">
        <v>561</v>
      </c>
      <c r="J10" s="376" t="s">
        <v>1120</v>
      </c>
      <c r="K10" s="377" t="s">
        <v>722</v>
      </c>
      <c r="L10" s="377">
        <v>43369</v>
      </c>
      <c r="M10" s="377" t="s">
        <v>1121</v>
      </c>
      <c r="N10" s="378" t="s">
        <v>722</v>
      </c>
      <c r="O10" s="373" t="s">
        <v>722</v>
      </c>
      <c r="P10" s="374" t="s">
        <v>722</v>
      </c>
      <c r="Q10" s="374" t="s">
        <v>722</v>
      </c>
      <c r="R10" s="374" t="s">
        <v>722</v>
      </c>
      <c r="S10" s="374" t="s">
        <v>722</v>
      </c>
      <c r="T10" s="375" t="s">
        <v>722</v>
      </c>
      <c r="U10" s="376">
        <v>44431</v>
      </c>
      <c r="V10" s="377" t="s">
        <v>1121</v>
      </c>
      <c r="W10" s="377" t="s">
        <v>722</v>
      </c>
      <c r="X10" s="378">
        <v>43369</v>
      </c>
    </row>
    <row r="11" spans="1:24" ht="15" customHeight="1" x14ac:dyDescent="0.3">
      <c r="A11" s="373" t="s">
        <v>572</v>
      </c>
      <c r="B11" s="374" t="s">
        <v>720</v>
      </c>
      <c r="C11" s="374" t="s">
        <v>720</v>
      </c>
      <c r="D11" s="374" t="s">
        <v>720</v>
      </c>
      <c r="E11" s="374" t="s">
        <v>720</v>
      </c>
      <c r="F11" s="375" t="s">
        <v>720</v>
      </c>
      <c r="G11" s="373" t="s">
        <v>562</v>
      </c>
      <c r="H11" s="374" t="s">
        <v>562</v>
      </c>
      <c r="I11" s="375" t="s">
        <v>562</v>
      </c>
      <c r="J11" s="376" t="s">
        <v>768</v>
      </c>
      <c r="K11" s="377" t="s">
        <v>724</v>
      </c>
      <c r="L11" s="377">
        <v>43392</v>
      </c>
      <c r="M11" s="377" t="s">
        <v>723</v>
      </c>
      <c r="N11" s="378" t="s">
        <v>724</v>
      </c>
      <c r="O11" s="373" t="s">
        <v>724</v>
      </c>
      <c r="P11" s="374" t="s">
        <v>724</v>
      </c>
      <c r="Q11" s="374" t="s">
        <v>724</v>
      </c>
      <c r="R11" s="374" t="s">
        <v>724</v>
      </c>
      <c r="S11" s="374" t="s">
        <v>724</v>
      </c>
      <c r="T11" s="375" t="s">
        <v>724</v>
      </c>
      <c r="U11" s="376">
        <v>44243</v>
      </c>
      <c r="V11" s="377" t="s">
        <v>723</v>
      </c>
      <c r="W11" s="377" t="s">
        <v>724</v>
      </c>
      <c r="X11" s="378">
        <v>43392</v>
      </c>
    </row>
    <row r="12" spans="1:24" ht="15" customHeight="1" x14ac:dyDescent="0.3">
      <c r="A12" s="373" t="s">
        <v>732</v>
      </c>
      <c r="B12" s="374" t="s">
        <v>720</v>
      </c>
      <c r="C12" s="374" t="s">
        <v>720</v>
      </c>
      <c r="D12" s="374" t="s">
        <v>720</v>
      </c>
      <c r="E12" s="374" t="s">
        <v>720</v>
      </c>
      <c r="F12" s="375" t="s">
        <v>720</v>
      </c>
      <c r="G12" s="373" t="s">
        <v>730</v>
      </c>
      <c r="H12" s="374" t="s">
        <v>562</v>
      </c>
      <c r="I12" s="375" t="s">
        <v>562</v>
      </c>
      <c r="J12" s="376" t="s">
        <v>1129</v>
      </c>
      <c r="K12" s="377" t="s">
        <v>724</v>
      </c>
      <c r="L12" s="377">
        <v>43393</v>
      </c>
      <c r="M12" s="377" t="s">
        <v>733</v>
      </c>
      <c r="N12" s="378" t="s">
        <v>724</v>
      </c>
      <c r="O12" s="373" t="s">
        <v>724</v>
      </c>
      <c r="P12" s="374" t="s">
        <v>724</v>
      </c>
      <c r="Q12" s="374" t="s">
        <v>724</v>
      </c>
      <c r="R12" s="374" t="s">
        <v>724</v>
      </c>
      <c r="S12" s="374" t="s">
        <v>724</v>
      </c>
      <c r="T12" s="375" t="s">
        <v>724</v>
      </c>
      <c r="U12" s="376">
        <v>44542</v>
      </c>
      <c r="V12" s="377" t="s">
        <v>733</v>
      </c>
      <c r="W12" s="377" t="s">
        <v>724</v>
      </c>
      <c r="X12" s="378">
        <v>43393</v>
      </c>
    </row>
    <row r="13" spans="1:24" x14ac:dyDescent="0.3">
      <c r="A13" s="373" t="s">
        <v>1122</v>
      </c>
      <c r="B13" s="374"/>
      <c r="C13" s="374"/>
      <c r="D13" s="374"/>
      <c r="E13" s="374"/>
      <c r="F13" s="375"/>
      <c r="G13" s="373" t="s">
        <v>375</v>
      </c>
      <c r="H13" s="374" t="s">
        <v>562</v>
      </c>
      <c r="I13" s="375" t="s">
        <v>562</v>
      </c>
      <c r="J13" s="376" t="s">
        <v>1123</v>
      </c>
      <c r="K13" s="377" t="s">
        <v>724</v>
      </c>
      <c r="L13" s="377">
        <v>43394</v>
      </c>
      <c r="M13" s="377" t="s">
        <v>738</v>
      </c>
      <c r="N13" s="378" t="s">
        <v>724</v>
      </c>
      <c r="O13" s="373" t="s">
        <v>724</v>
      </c>
      <c r="P13" s="374" t="s">
        <v>724</v>
      </c>
      <c r="Q13" s="374" t="s">
        <v>724</v>
      </c>
      <c r="R13" s="374" t="s">
        <v>724</v>
      </c>
      <c r="S13" s="374" t="s">
        <v>724</v>
      </c>
      <c r="T13" s="375" t="s">
        <v>724</v>
      </c>
      <c r="U13" s="376">
        <v>44158</v>
      </c>
      <c r="V13" s="377" t="s">
        <v>738</v>
      </c>
      <c r="W13" s="377" t="s">
        <v>724</v>
      </c>
      <c r="X13" s="378">
        <v>43394</v>
      </c>
    </row>
    <row r="14" spans="1:24" x14ac:dyDescent="0.3">
      <c r="A14" s="373" t="s">
        <v>1122</v>
      </c>
      <c r="B14" s="374"/>
      <c r="C14" s="374"/>
      <c r="D14" s="374"/>
      <c r="E14" s="374"/>
      <c r="F14" s="375"/>
      <c r="G14" s="373" t="s">
        <v>377</v>
      </c>
      <c r="H14" s="374" t="s">
        <v>562</v>
      </c>
      <c r="I14" s="375" t="s">
        <v>562</v>
      </c>
      <c r="J14" s="376" t="s">
        <v>1124</v>
      </c>
      <c r="K14" s="377" t="s">
        <v>724</v>
      </c>
      <c r="L14" s="377">
        <v>43394</v>
      </c>
      <c r="M14" s="377" t="s">
        <v>738</v>
      </c>
      <c r="N14" s="378" t="s">
        <v>724</v>
      </c>
      <c r="O14" s="373" t="s">
        <v>724</v>
      </c>
      <c r="P14" s="374" t="s">
        <v>724</v>
      </c>
      <c r="Q14" s="374" t="s">
        <v>724</v>
      </c>
      <c r="R14" s="374" t="s">
        <v>724</v>
      </c>
      <c r="S14" s="374" t="s">
        <v>724</v>
      </c>
      <c r="T14" s="375" t="s">
        <v>724</v>
      </c>
      <c r="U14" s="376">
        <v>44331</v>
      </c>
      <c r="V14" s="377" t="s">
        <v>738</v>
      </c>
      <c r="W14" s="377" t="s">
        <v>724</v>
      </c>
      <c r="X14" s="378">
        <v>43394</v>
      </c>
    </row>
    <row r="15" spans="1:24" x14ac:dyDescent="0.3">
      <c r="A15" s="373" t="s">
        <v>1122</v>
      </c>
      <c r="B15" s="374"/>
      <c r="C15" s="374"/>
      <c r="D15" s="374"/>
      <c r="E15" s="374"/>
      <c r="F15" s="375"/>
      <c r="G15" s="373" t="s">
        <v>379</v>
      </c>
      <c r="H15" s="374" t="s">
        <v>562</v>
      </c>
      <c r="I15" s="375" t="s">
        <v>562</v>
      </c>
      <c r="J15" s="376" t="s">
        <v>1125</v>
      </c>
      <c r="K15" s="377" t="s">
        <v>724</v>
      </c>
      <c r="L15" s="377">
        <v>43394</v>
      </c>
      <c r="M15" s="377" t="s">
        <v>738</v>
      </c>
      <c r="N15" s="378" t="s">
        <v>724</v>
      </c>
      <c r="O15" s="373" t="s">
        <v>724</v>
      </c>
      <c r="P15" s="374" t="s">
        <v>724</v>
      </c>
      <c r="Q15" s="374" t="s">
        <v>724</v>
      </c>
      <c r="R15" s="374" t="s">
        <v>724</v>
      </c>
      <c r="S15" s="374" t="s">
        <v>724</v>
      </c>
      <c r="T15" s="375" t="s">
        <v>724</v>
      </c>
      <c r="U15" s="376">
        <v>44331</v>
      </c>
      <c r="V15" s="377" t="s">
        <v>738</v>
      </c>
      <c r="W15" s="377" t="s">
        <v>724</v>
      </c>
      <c r="X15" s="378">
        <v>43394</v>
      </c>
    </row>
    <row r="16" spans="1:24" x14ac:dyDescent="0.3">
      <c r="A16" s="373" t="s">
        <v>1122</v>
      </c>
      <c r="B16" s="374"/>
      <c r="C16" s="374"/>
      <c r="D16" s="374"/>
      <c r="E16" s="374"/>
      <c r="F16" s="375"/>
      <c r="G16" s="373" t="s">
        <v>582</v>
      </c>
      <c r="H16" s="374" t="s">
        <v>562</v>
      </c>
      <c r="I16" s="375" t="s">
        <v>562</v>
      </c>
      <c r="J16" s="376" t="s">
        <v>1126</v>
      </c>
      <c r="K16" s="377" t="s">
        <v>724</v>
      </c>
      <c r="L16" s="377">
        <v>43394</v>
      </c>
      <c r="M16" s="377" t="s">
        <v>738</v>
      </c>
      <c r="N16" s="378" t="s">
        <v>724</v>
      </c>
      <c r="O16" s="373" t="s">
        <v>724</v>
      </c>
      <c r="P16" s="374" t="s">
        <v>724</v>
      </c>
      <c r="Q16" s="374" t="s">
        <v>724</v>
      </c>
      <c r="R16" s="374" t="s">
        <v>724</v>
      </c>
      <c r="S16" s="374" t="s">
        <v>724</v>
      </c>
      <c r="T16" s="375" t="s">
        <v>724</v>
      </c>
      <c r="U16" s="376">
        <v>44331</v>
      </c>
      <c r="V16" s="377" t="s">
        <v>738</v>
      </c>
      <c r="W16" s="377" t="s">
        <v>724</v>
      </c>
      <c r="X16" s="378">
        <v>43394</v>
      </c>
    </row>
    <row r="17" spans="1:24" x14ac:dyDescent="0.3">
      <c r="A17" s="373" t="s">
        <v>737</v>
      </c>
      <c r="B17" s="374" t="s">
        <v>720</v>
      </c>
      <c r="C17" s="374" t="s">
        <v>720</v>
      </c>
      <c r="D17" s="374" t="s">
        <v>720</v>
      </c>
      <c r="E17" s="374" t="s">
        <v>720</v>
      </c>
      <c r="F17" s="375" t="s">
        <v>720</v>
      </c>
      <c r="G17" s="373" t="s">
        <v>734</v>
      </c>
      <c r="H17" s="374" t="s">
        <v>562</v>
      </c>
      <c r="I17" s="375" t="s">
        <v>562</v>
      </c>
      <c r="J17" s="376" t="s">
        <v>1113</v>
      </c>
      <c r="K17" s="377" t="s">
        <v>724</v>
      </c>
      <c r="L17" s="377">
        <v>43394</v>
      </c>
      <c r="M17" s="377" t="s">
        <v>738</v>
      </c>
      <c r="N17" s="378" t="s">
        <v>724</v>
      </c>
      <c r="O17" s="373" t="s">
        <v>724</v>
      </c>
      <c r="P17" s="374" t="s">
        <v>724</v>
      </c>
      <c r="Q17" s="374" t="s">
        <v>724</v>
      </c>
      <c r="R17" s="374" t="s">
        <v>724</v>
      </c>
      <c r="S17" s="374" t="s">
        <v>724</v>
      </c>
      <c r="T17" s="375" t="s">
        <v>724</v>
      </c>
      <c r="U17" s="376">
        <v>44331</v>
      </c>
      <c r="V17" s="377" t="s">
        <v>738</v>
      </c>
      <c r="W17" s="377" t="s">
        <v>724</v>
      </c>
      <c r="X17" s="378">
        <v>43394</v>
      </c>
    </row>
  </sheetData>
  <mergeCells count="51"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3:F13"/>
    <mergeCell ref="G13:I13"/>
    <mergeCell ref="J13:N13"/>
    <mergeCell ref="O13:T13"/>
    <mergeCell ref="U13:X13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topLeftCell="B1" zoomScale="70" zoomScaleNormal="70" workbookViewId="0">
      <selection activeCell="S8" sqref="S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4" t="s">
        <v>368</v>
      </c>
      <c r="I4" s="405"/>
      <c r="J4" s="404" t="s">
        <v>369</v>
      </c>
      <c r="K4" s="405"/>
      <c r="L4" s="406" t="s">
        <v>526</v>
      </c>
      <c r="M4" s="408" t="s">
        <v>384</v>
      </c>
      <c r="N4" s="409"/>
      <c r="O4" s="409"/>
      <c r="P4" s="410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07"/>
      <c r="M5" s="411"/>
      <c r="N5" s="412"/>
      <c r="O5" s="412"/>
      <c r="P5" s="413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1">
        <v>0.3</v>
      </c>
      <c r="K6" s="131">
        <v>1.3</v>
      </c>
      <c r="L6" s="132">
        <v>45328</v>
      </c>
      <c r="M6" s="133" t="s">
        <v>1519</v>
      </c>
      <c r="N6" s="134"/>
      <c r="O6" s="135"/>
      <c r="P6" s="138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1">
        <v>0.4</v>
      </c>
      <c r="K7" s="131">
        <v>1.3</v>
      </c>
      <c r="L7" s="132">
        <v>44839</v>
      </c>
      <c r="M7" s="130" t="s">
        <v>1520</v>
      </c>
      <c r="N7" s="134"/>
      <c r="O7" s="135"/>
      <c r="P7" s="138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1">
        <v>0.27</v>
      </c>
      <c r="K8" s="131">
        <v>1.3</v>
      </c>
      <c r="L8" s="132">
        <v>45328</v>
      </c>
      <c r="M8" s="130" t="s">
        <v>1521</v>
      </c>
      <c r="N8" s="136"/>
      <c r="O8" s="137"/>
      <c r="P8" s="138"/>
    </row>
    <row r="9" spans="2:23" x14ac:dyDescent="0.3">
      <c r="B9" s="18">
        <v>4</v>
      </c>
      <c r="C9" s="18" t="s">
        <v>582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1">
        <v>0.4</v>
      </c>
      <c r="K9" s="131">
        <v>2.2000000000000002</v>
      </c>
      <c r="L9" s="132">
        <v>44839</v>
      </c>
      <c r="M9" s="130" t="s">
        <v>1522</v>
      </c>
      <c r="N9" s="134"/>
      <c r="O9" s="135"/>
      <c r="P9" s="138"/>
    </row>
    <row r="10" spans="2:23" x14ac:dyDescent="0.3">
      <c r="B10" s="18">
        <v>5</v>
      </c>
      <c r="C10" s="18" t="s">
        <v>734</v>
      </c>
      <c r="D10" s="18" t="s">
        <v>735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1">
        <v>0.42</v>
      </c>
      <c r="K10" s="131">
        <v>1.3</v>
      </c>
      <c r="L10" s="132">
        <v>44839</v>
      </c>
      <c r="M10" s="130" t="s">
        <v>1523</v>
      </c>
      <c r="N10" s="29"/>
      <c r="O10" s="29"/>
      <c r="P10" s="138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558</v>
      </c>
      <c r="E12"/>
      <c r="F12" t="s">
        <v>568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402" t="s">
        <v>383</v>
      </c>
      <c r="I13" s="403"/>
      <c r="J13" s="402" t="s">
        <v>560</v>
      </c>
      <c r="K13" s="403"/>
      <c r="L13" s="402" t="s">
        <v>405</v>
      </c>
      <c r="M13" s="403"/>
      <c r="N13" s="402" t="s">
        <v>46</v>
      </c>
      <c r="O13" s="403"/>
      <c r="P13" s="402" t="s">
        <v>570</v>
      </c>
      <c r="Q13" s="403"/>
      <c r="T13" s="185" t="s">
        <v>601</v>
      </c>
      <c r="U13" s="180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559</v>
      </c>
      <c r="H14" s="24" t="s">
        <v>602</v>
      </c>
      <c r="I14" s="24" t="s">
        <v>603</v>
      </c>
      <c r="J14" s="24" t="s">
        <v>556</v>
      </c>
      <c r="K14" s="24" t="s">
        <v>557</v>
      </c>
      <c r="L14" s="24" t="s">
        <v>403</v>
      </c>
      <c r="M14" s="24" t="s">
        <v>404</v>
      </c>
      <c r="N14" s="24" t="s">
        <v>599</v>
      </c>
      <c r="O14" s="24" t="s">
        <v>598</v>
      </c>
      <c r="P14" s="24" t="s">
        <v>571</v>
      </c>
      <c r="Q14" s="24" t="s">
        <v>569</v>
      </c>
      <c r="R14" s="24" t="s">
        <v>600</v>
      </c>
      <c r="S14" s="24" t="s">
        <v>604</v>
      </c>
      <c r="T14" s="24" t="s">
        <v>605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553</v>
      </c>
      <c r="D15" s="19" t="s">
        <v>554</v>
      </c>
      <c r="E15" s="21" t="s">
        <v>382</v>
      </c>
      <c r="F15" s="21" t="s">
        <v>555</v>
      </c>
      <c r="G15" s="20" t="s">
        <v>565</v>
      </c>
      <c r="H15" s="22">
        <v>-10</v>
      </c>
      <c r="I15" s="22">
        <v>50</v>
      </c>
      <c r="J15" s="22">
        <v>-15</v>
      </c>
      <c r="K15" s="22">
        <v>200</v>
      </c>
      <c r="L15" s="144">
        <v>-12</v>
      </c>
      <c r="M15" s="144">
        <v>200</v>
      </c>
      <c r="N15" s="34">
        <v>0.1</v>
      </c>
      <c r="O15" s="34">
        <v>0.01</v>
      </c>
      <c r="P15" s="22">
        <v>0.1</v>
      </c>
      <c r="Q15" s="22">
        <v>0.05</v>
      </c>
      <c r="R15" s="34">
        <v>5.0000000000000001E-3</v>
      </c>
      <c r="S15" s="34">
        <v>15</v>
      </c>
      <c r="T15" s="34">
        <v>35</v>
      </c>
      <c r="U15" s="141">
        <v>44830</v>
      </c>
      <c r="V15" s="158" t="s">
        <v>402</v>
      </c>
      <c r="W15" s="142" t="s">
        <v>1524</v>
      </c>
    </row>
    <row r="16" spans="2:23" ht="28.8" x14ac:dyDescent="0.3">
      <c r="B16" s="32">
        <v>2</v>
      </c>
      <c r="C16" s="20" t="s">
        <v>561</v>
      </c>
      <c r="D16" s="19" t="s">
        <v>563</v>
      </c>
      <c r="E16" s="21" t="s">
        <v>382</v>
      </c>
      <c r="F16" s="21" t="s">
        <v>564</v>
      </c>
      <c r="G16" s="20" t="s">
        <v>565</v>
      </c>
      <c r="H16" s="22">
        <v>-10</v>
      </c>
      <c r="I16" s="22">
        <v>50</v>
      </c>
      <c r="J16" s="22">
        <v>0</v>
      </c>
      <c r="K16" s="22">
        <v>10000</v>
      </c>
      <c r="L16" s="144">
        <v>0</v>
      </c>
      <c r="M16" s="144">
        <v>5000</v>
      </c>
      <c r="N16" s="34">
        <v>7</v>
      </c>
      <c r="O16" s="34">
        <v>1</v>
      </c>
      <c r="P16" s="170" t="s">
        <v>482</v>
      </c>
      <c r="Q16" s="22">
        <v>0.05</v>
      </c>
      <c r="R16" s="34">
        <v>5.0000000000000001E-3</v>
      </c>
      <c r="S16" s="34">
        <v>15</v>
      </c>
      <c r="T16" s="34">
        <v>35</v>
      </c>
      <c r="U16" s="143">
        <v>44830</v>
      </c>
      <c r="V16" s="158" t="s">
        <v>402</v>
      </c>
      <c r="W16" s="142" t="s">
        <v>1525</v>
      </c>
    </row>
    <row r="17" spans="1:23" ht="28.8" x14ac:dyDescent="0.3">
      <c r="B17" s="32">
        <v>3</v>
      </c>
      <c r="C17" s="20" t="s">
        <v>562</v>
      </c>
      <c r="D17" s="20" t="s">
        <v>566</v>
      </c>
      <c r="E17" s="21" t="s">
        <v>382</v>
      </c>
      <c r="F17" s="21" t="s">
        <v>567</v>
      </c>
      <c r="G17" s="20" t="s">
        <v>572</v>
      </c>
      <c r="H17" s="22">
        <v>-10</v>
      </c>
      <c r="I17" s="22">
        <v>50</v>
      </c>
      <c r="J17" s="22">
        <v>-14</v>
      </c>
      <c r="K17" s="22">
        <v>1000</v>
      </c>
      <c r="L17" s="142">
        <v>60</v>
      </c>
      <c r="M17" s="142">
        <v>900</v>
      </c>
      <c r="N17" s="184">
        <v>0.1</v>
      </c>
      <c r="O17" s="22">
        <v>0.1</v>
      </c>
      <c r="P17" s="269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3">
        <v>45349</v>
      </c>
      <c r="V17" s="159" t="s">
        <v>402</v>
      </c>
      <c r="W17" s="142" t="s">
        <v>1526</v>
      </c>
    </row>
    <row r="18" spans="1:23" ht="28.8" x14ac:dyDescent="0.3">
      <c r="B18" s="32">
        <v>4</v>
      </c>
      <c r="C18" s="20" t="s">
        <v>1527</v>
      </c>
      <c r="D18" s="20" t="s">
        <v>573</v>
      </c>
      <c r="E18" s="21" t="s">
        <v>382</v>
      </c>
      <c r="F18" s="21">
        <v>754</v>
      </c>
      <c r="G18" s="20" t="s">
        <v>574</v>
      </c>
      <c r="H18" s="22">
        <v>-10</v>
      </c>
      <c r="I18" s="22">
        <v>50</v>
      </c>
      <c r="J18" s="216">
        <v>0</v>
      </c>
      <c r="K18" s="22">
        <v>10000</v>
      </c>
      <c r="L18" s="215">
        <v>0</v>
      </c>
      <c r="M18" s="22">
        <v>10000</v>
      </c>
      <c r="N18" s="21"/>
      <c r="O18" s="22"/>
      <c r="P18" s="269">
        <v>2.5000000000000001E-2</v>
      </c>
      <c r="Q18" s="269">
        <v>2.5000000000000001E-2</v>
      </c>
      <c r="R18" s="34">
        <v>0</v>
      </c>
      <c r="S18" s="34">
        <v>0</v>
      </c>
      <c r="T18" s="34">
        <v>50</v>
      </c>
      <c r="U18" s="143">
        <v>45377</v>
      </c>
      <c r="V18" s="159" t="s">
        <v>402</v>
      </c>
      <c r="W18" s="142" t="s">
        <v>1528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583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584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580</v>
      </c>
      <c r="K24"/>
      <c r="L24"/>
      <c r="S24" t="s">
        <v>585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578</v>
      </c>
      <c r="F25" s="24" t="s">
        <v>431</v>
      </c>
      <c r="G25" s="24" t="s">
        <v>432</v>
      </c>
      <c r="H25" s="24" t="s">
        <v>579</v>
      </c>
      <c r="I25" s="24" t="s">
        <v>433</v>
      </c>
      <c r="J25" s="61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2" t="str">
        <f>C15</f>
        <v>NI-MCPP-01</v>
      </c>
      <c r="D26" s="39" t="s">
        <v>554</v>
      </c>
      <c r="E26" s="22">
        <v>-12</v>
      </c>
      <c r="F26" s="22">
        <v>-2E-3</v>
      </c>
      <c r="G26" s="22">
        <v>2.1999999999999999E-2</v>
      </c>
      <c r="H26" s="22">
        <v>-12.882</v>
      </c>
      <c r="I26" s="22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40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2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40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40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40"/>
      <c r="E30" s="22">
        <v>100</v>
      </c>
      <c r="F30" s="22">
        <v>-4.2999999999999997E-2</v>
      </c>
      <c r="G30" s="22">
        <v>2.1000000000000001E-2</v>
      </c>
      <c r="H30" s="22">
        <v>99.997</v>
      </c>
      <c r="I30" s="22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40"/>
      <c r="E31" s="22">
        <v>150.005</v>
      </c>
      <c r="F31" s="35">
        <v>-6.2E-2</v>
      </c>
      <c r="G31" s="22">
        <v>2.8000000000000001E-2</v>
      </c>
      <c r="H31" s="22">
        <v>150.00299999999999</v>
      </c>
      <c r="I31" s="33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40"/>
      <c r="E32" s="22">
        <v>200</v>
      </c>
      <c r="F32" s="22">
        <v>-6.8000000000000005E-2</v>
      </c>
      <c r="G32" s="22">
        <v>2.1000000000000001E-2</v>
      </c>
      <c r="H32" s="22">
        <v>200.017</v>
      </c>
      <c r="I32" s="22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40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3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40"/>
      <c r="E34" s="22">
        <v>150</v>
      </c>
      <c r="F34" s="22">
        <v>-9.6000000000000002E-2</v>
      </c>
      <c r="G34" s="22">
        <v>2.1000000000000001E-2</v>
      </c>
      <c r="H34" s="22">
        <v>150.00200000000001</v>
      </c>
      <c r="I34" s="33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40"/>
      <c r="E35" s="22">
        <v>100</v>
      </c>
      <c r="F35" s="22">
        <v>-9.8000000000000004E-2</v>
      </c>
      <c r="G35" s="22">
        <v>2.1999999999999999E-2</v>
      </c>
      <c r="H35" s="22">
        <v>100.00700000000001</v>
      </c>
      <c r="I35" s="33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40"/>
      <c r="E36" s="22">
        <v>50</v>
      </c>
      <c r="F36" s="22">
        <v>-9.4E-2</v>
      </c>
      <c r="G36" s="22">
        <v>2.1999999999999999E-2</v>
      </c>
      <c r="H36" s="22">
        <v>49.997999999999998</v>
      </c>
      <c r="I36" s="22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40"/>
      <c r="E37" s="22">
        <v>20.004999999999999</v>
      </c>
      <c r="F37" s="22">
        <v>-0.06</v>
      </c>
      <c r="G37" s="22">
        <v>2.9000000000000001E-2</v>
      </c>
      <c r="H37" s="22">
        <v>20.015000000000001</v>
      </c>
      <c r="I37" s="33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40"/>
      <c r="E38" s="22">
        <v>0.04</v>
      </c>
      <c r="F38" s="22">
        <v>-3.4000000000000002E-2</v>
      </c>
      <c r="G38" s="22">
        <v>2.1999999999999999E-2</v>
      </c>
      <c r="H38" s="22">
        <v>1E-3</v>
      </c>
      <c r="I38" s="33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40"/>
      <c r="E39" s="22">
        <v>-12</v>
      </c>
      <c r="F39" s="22">
        <v>-3.0000000000000001E-3</v>
      </c>
      <c r="G39" s="22">
        <v>2.1999999999999999E-2</v>
      </c>
      <c r="H39" s="22">
        <v>-12.85</v>
      </c>
      <c r="I39" s="33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40"/>
      <c r="E40" s="22"/>
      <c r="F40" s="22"/>
      <c r="G40" s="22"/>
      <c r="H40" s="22"/>
      <c r="I40" s="22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40"/>
      <c r="E41" s="22"/>
      <c r="F41" s="22"/>
      <c r="G41" s="22"/>
      <c r="H41" s="22"/>
      <c r="I41" s="33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40"/>
      <c r="E42" s="22"/>
      <c r="F42" s="22"/>
      <c r="G42" s="22"/>
      <c r="H42" s="22"/>
      <c r="I42" s="22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41"/>
      <c r="E43" s="160"/>
      <c r="F43" s="161"/>
      <c r="G43" s="42"/>
      <c r="H43" s="42"/>
      <c r="I43" s="42"/>
      <c r="J43" s="60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8">
        <v>1</v>
      </c>
      <c r="C44" s="63" t="str">
        <f>C16</f>
        <v>NI-MCPP-02</v>
      </c>
      <c r="D44" s="40" t="s">
        <v>575</v>
      </c>
      <c r="E44" s="22">
        <v>0</v>
      </c>
      <c r="F44" s="163">
        <v>0</v>
      </c>
      <c r="G44" s="22">
        <v>0.68</v>
      </c>
      <c r="H44" s="22">
        <v>0</v>
      </c>
      <c r="I44" s="22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40" t="s">
        <v>576</v>
      </c>
      <c r="E45" s="22">
        <v>100</v>
      </c>
      <c r="F45" s="22">
        <v>-0.54</v>
      </c>
      <c r="G45" s="22">
        <v>0.68</v>
      </c>
      <c r="H45" s="22"/>
      <c r="I45" s="22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40"/>
      <c r="E47" s="22">
        <v>2000</v>
      </c>
      <c r="F47" s="22">
        <v>-0.65</v>
      </c>
      <c r="G47" s="22">
        <v>0.68</v>
      </c>
      <c r="H47" s="22"/>
      <c r="I47" s="22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40"/>
      <c r="E49" s="44">
        <v>4000</v>
      </c>
      <c r="F49" s="44">
        <v>-0.83</v>
      </c>
      <c r="G49" s="22">
        <v>0.72</v>
      </c>
      <c r="H49" s="22"/>
      <c r="I49" s="22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40"/>
      <c r="E51" s="22">
        <v>5000</v>
      </c>
      <c r="F51" s="22">
        <v>-0.37</v>
      </c>
      <c r="G51" s="22">
        <v>0.7</v>
      </c>
      <c r="H51" s="22">
        <v>5003</v>
      </c>
      <c r="I51" s="22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40"/>
      <c r="E54" s="22">
        <v>2000</v>
      </c>
      <c r="F54" s="44">
        <v>-0.63</v>
      </c>
      <c r="G54" s="44">
        <v>0.68</v>
      </c>
      <c r="H54" s="22"/>
      <c r="I54" s="22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40"/>
      <c r="E55" s="22">
        <v>1000</v>
      </c>
      <c r="F55" s="44">
        <v>-0.43</v>
      </c>
      <c r="G55" s="44">
        <v>0.68</v>
      </c>
      <c r="H55" s="22">
        <v>999.9</v>
      </c>
      <c r="I55" s="22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40"/>
      <c r="E56" s="44">
        <v>100</v>
      </c>
      <c r="F56" s="44">
        <v>0.25</v>
      </c>
      <c r="G56" s="22">
        <v>0.72</v>
      </c>
      <c r="H56" s="22"/>
      <c r="I56" s="22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40"/>
      <c r="E57" s="22">
        <v>0</v>
      </c>
      <c r="F57" s="22">
        <v>0.01</v>
      </c>
      <c r="G57" s="22">
        <v>0.68</v>
      </c>
      <c r="H57" s="22">
        <v>0</v>
      </c>
      <c r="I57" s="22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40"/>
      <c r="E58" s="44"/>
      <c r="F58" s="44"/>
      <c r="G58" s="22"/>
      <c r="H58" s="22"/>
      <c r="I58" s="22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40"/>
      <c r="E59" s="22"/>
      <c r="F59" s="44"/>
      <c r="G59" s="22"/>
      <c r="H59" s="22"/>
      <c r="I59" s="22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41"/>
      <c r="E60" s="42"/>
      <c r="F60" s="164"/>
      <c r="G60" s="42"/>
      <c r="H60" s="42"/>
      <c r="I60" s="42"/>
      <c r="J60" s="60"/>
      <c r="K60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58">
        <v>1</v>
      </c>
      <c r="C61" s="63" t="str">
        <f>C17</f>
        <v>NI-MCPP-04</v>
      </c>
      <c r="D61" s="40" t="s">
        <v>577</v>
      </c>
      <c r="E61" s="305">
        <v>-11.8</v>
      </c>
      <c r="F61" s="309">
        <v>4.8000000000000001E-2</v>
      </c>
      <c r="G61" s="313">
        <v>5.8999999999999997E-2</v>
      </c>
      <c r="H61" s="305">
        <v>0</v>
      </c>
      <c r="I61" s="309">
        <v>0</v>
      </c>
      <c r="J61" s="313">
        <v>5.2999999999999999E-2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1"/>
    </row>
    <row r="62" spans="1:12" x14ac:dyDescent="0.3">
      <c r="B62" s="56">
        <v>2</v>
      </c>
      <c r="C62" s="176" t="str">
        <f>$C$61</f>
        <v>NI-MCPP-04</v>
      </c>
      <c r="D62" s="40" t="s">
        <v>399</v>
      </c>
      <c r="E62" s="306">
        <v>-10</v>
      </c>
      <c r="F62" s="310">
        <v>2.9000000000000001E-2</v>
      </c>
      <c r="G62" s="314">
        <v>5.8999999999999997E-2</v>
      </c>
      <c r="H62" s="306">
        <v>59.9</v>
      </c>
      <c r="I62" s="310">
        <v>0</v>
      </c>
      <c r="J62" s="314">
        <v>5.2999999999999999E-2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2"/>
    </row>
    <row r="63" spans="1:12" x14ac:dyDescent="0.3">
      <c r="B63" s="56">
        <v>3</v>
      </c>
      <c r="C63" s="176" t="str">
        <f t="shared" ref="C63:C86" si="2">$C$61</f>
        <v>NI-MCPP-04</v>
      </c>
      <c r="D63" s="40"/>
      <c r="E63" s="306">
        <v>-6</v>
      </c>
      <c r="F63" s="310">
        <v>1.7000000000000001E-2</v>
      </c>
      <c r="G63" s="314">
        <v>6.5000000000000002E-2</v>
      </c>
      <c r="H63" s="306">
        <v>79.91</v>
      </c>
      <c r="I63" s="310">
        <v>0</v>
      </c>
      <c r="J63" s="314">
        <v>6.9599999999999995E-2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63"/>
    </row>
    <row r="64" spans="1:12" x14ac:dyDescent="0.3">
      <c r="B64" s="56">
        <v>4</v>
      </c>
      <c r="C64" s="176" t="str">
        <f t="shared" si="2"/>
        <v>NI-MCPP-04</v>
      </c>
      <c r="D64" s="40"/>
      <c r="E64" s="306">
        <v>0</v>
      </c>
      <c r="F64" s="310">
        <v>3.0000000000000001E-3</v>
      </c>
      <c r="G64" s="314">
        <v>5.8999999999999997E-2</v>
      </c>
      <c r="H64" s="306">
        <v>100.06</v>
      </c>
      <c r="I64" s="310">
        <v>-8.6999999999999994E-3</v>
      </c>
      <c r="J64" s="314">
        <v>7.5399999999999995E-2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64"/>
    </row>
    <row r="65" spans="2:12" x14ac:dyDescent="0.3">
      <c r="B65" s="56">
        <v>5</v>
      </c>
      <c r="C65" s="176" t="str">
        <f t="shared" si="2"/>
        <v>NI-MCPP-04</v>
      </c>
      <c r="D65" s="40"/>
      <c r="E65" s="307">
        <v>50</v>
      </c>
      <c r="F65" s="311">
        <v>-1.9E-2</v>
      </c>
      <c r="G65" s="314">
        <v>6.3E-2</v>
      </c>
      <c r="H65" s="307">
        <v>159.97</v>
      </c>
      <c r="I65" s="311">
        <v>-4.4000000000000003E-3</v>
      </c>
      <c r="J65" s="314">
        <v>7.5399999999999995E-2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65"/>
    </row>
    <row r="66" spans="2:12" x14ac:dyDescent="0.3">
      <c r="B66" s="56">
        <v>6</v>
      </c>
      <c r="C66" s="176" t="str">
        <f t="shared" si="2"/>
        <v>NI-MCPP-04</v>
      </c>
      <c r="D66" s="40"/>
      <c r="E66" s="307">
        <v>100</v>
      </c>
      <c r="F66" s="311">
        <v>-1.4999999999999999E-2</v>
      </c>
      <c r="G66" s="314">
        <v>5.8999999999999997E-2</v>
      </c>
      <c r="H66" s="307">
        <v>199.99</v>
      </c>
      <c r="I66" s="311">
        <v>-1.1599999999999999E-2</v>
      </c>
      <c r="J66" s="314">
        <v>0.13200000000000001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66"/>
    </row>
    <row r="67" spans="2:12" x14ac:dyDescent="0.3">
      <c r="B67" s="56">
        <v>7</v>
      </c>
      <c r="C67" s="176" t="str">
        <f t="shared" si="2"/>
        <v>NI-MCPP-04</v>
      </c>
      <c r="D67" s="40"/>
      <c r="E67" s="307">
        <v>200</v>
      </c>
      <c r="F67" s="311">
        <v>-7.0000000000000001E-3</v>
      </c>
      <c r="G67" s="314">
        <v>0.06</v>
      </c>
      <c r="H67" s="307">
        <v>299.91000000000003</v>
      </c>
      <c r="I67" s="311">
        <v>-2.47E-2</v>
      </c>
      <c r="J67" s="314">
        <v>0.10879999999999999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67"/>
    </row>
    <row r="68" spans="2:12" x14ac:dyDescent="0.3">
      <c r="B68" s="56">
        <v>8</v>
      </c>
      <c r="C68" s="176" t="str">
        <f t="shared" si="2"/>
        <v>NI-MCPP-04</v>
      </c>
      <c r="D68" s="40"/>
      <c r="E68" s="308">
        <v>400</v>
      </c>
      <c r="F68" s="312">
        <v>-4.2000000000000003E-2</v>
      </c>
      <c r="G68" s="314">
        <v>6.7000000000000004E-2</v>
      </c>
      <c r="H68" s="308">
        <v>399.95</v>
      </c>
      <c r="I68" s="312">
        <v>-5.8000000000000003E-2</v>
      </c>
      <c r="J68" s="314">
        <v>0.21759999999999999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68"/>
    </row>
    <row r="69" spans="2:12" x14ac:dyDescent="0.3">
      <c r="B69" s="56">
        <v>9</v>
      </c>
      <c r="C69" s="176" t="str">
        <f t="shared" si="2"/>
        <v>NI-MCPP-04</v>
      </c>
      <c r="D69" s="40"/>
      <c r="E69" s="308">
        <v>600</v>
      </c>
      <c r="F69" s="312">
        <v>-0.05</v>
      </c>
      <c r="G69" s="314">
        <v>0.12</v>
      </c>
      <c r="H69" s="308">
        <v>499.87</v>
      </c>
      <c r="I69" s="312">
        <v>-7.2499999999999995E-2</v>
      </c>
      <c r="J69" s="314">
        <v>0.2321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69"/>
    </row>
    <row r="70" spans="2:12" x14ac:dyDescent="0.3">
      <c r="B70" s="56">
        <v>10</v>
      </c>
      <c r="C70" s="176" t="str">
        <f t="shared" si="2"/>
        <v>NI-MCPP-04</v>
      </c>
      <c r="D70" s="40"/>
      <c r="E70" s="308">
        <v>800</v>
      </c>
      <c r="F70" s="312">
        <v>-0.15</v>
      </c>
      <c r="G70" s="314">
        <v>0.11</v>
      </c>
      <c r="H70" s="308">
        <v>599.77</v>
      </c>
      <c r="I70" s="312">
        <v>-6.1499999999999999E-2</v>
      </c>
      <c r="J70" s="314">
        <v>0.29010000000000002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0"/>
    </row>
    <row r="71" spans="2:12" x14ac:dyDescent="0.3">
      <c r="B71" s="56">
        <v>11</v>
      </c>
      <c r="C71" s="176" t="str">
        <f t="shared" si="2"/>
        <v>NI-MCPP-04</v>
      </c>
      <c r="D71" s="40"/>
      <c r="E71" s="308">
        <v>1000</v>
      </c>
      <c r="F71" s="312">
        <v>-0.11</v>
      </c>
      <c r="G71" s="314">
        <v>0.12</v>
      </c>
      <c r="H71" s="308">
        <v>699.79</v>
      </c>
      <c r="I71" s="312">
        <v>-1.95E-2</v>
      </c>
      <c r="J71" s="314">
        <v>0.21759999999999999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1"/>
    </row>
    <row r="72" spans="2:12" x14ac:dyDescent="0.3">
      <c r="B72" s="56">
        <v>12</v>
      </c>
      <c r="C72" s="176" t="str">
        <f t="shared" si="2"/>
        <v>NI-MCPP-04</v>
      </c>
      <c r="D72" s="40"/>
      <c r="E72" s="308">
        <v>1000</v>
      </c>
      <c r="F72" s="312">
        <v>-0.15</v>
      </c>
      <c r="G72" s="314">
        <v>0.12</v>
      </c>
      <c r="H72" s="308">
        <v>799.68</v>
      </c>
      <c r="I72" s="312">
        <v>-4.3099999999999999E-2</v>
      </c>
      <c r="J72" s="314">
        <v>0.2611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2"/>
    </row>
    <row r="73" spans="2:12" x14ac:dyDescent="0.3">
      <c r="B73" s="56">
        <v>13</v>
      </c>
      <c r="C73" s="176" t="str">
        <f t="shared" si="2"/>
        <v>NI-MCPP-04</v>
      </c>
      <c r="D73" s="40"/>
      <c r="E73" s="308">
        <v>800</v>
      </c>
      <c r="F73" s="312">
        <v>-0.1</v>
      </c>
      <c r="G73" s="314">
        <v>0.12</v>
      </c>
      <c r="H73" s="308">
        <v>899.75</v>
      </c>
      <c r="I73" s="312">
        <v>-2.3099999999999999E-2</v>
      </c>
      <c r="J73" s="314">
        <v>0.24660000000000001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73"/>
    </row>
    <row r="74" spans="2:12" x14ac:dyDescent="0.3">
      <c r="B74" s="56">
        <v>14</v>
      </c>
      <c r="C74" s="176" t="str">
        <f t="shared" si="2"/>
        <v>NI-MCPP-04</v>
      </c>
      <c r="D74" s="40"/>
      <c r="E74" s="308">
        <v>600</v>
      </c>
      <c r="F74" s="312">
        <v>-0.06</v>
      </c>
      <c r="G74" s="314">
        <v>0.12</v>
      </c>
      <c r="H74" s="308">
        <v>899.74</v>
      </c>
      <c r="I74" s="312">
        <v>-3.7600000000000001E-2</v>
      </c>
      <c r="J74" s="314">
        <v>0.24660000000000001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74"/>
    </row>
    <row r="75" spans="2:12" x14ac:dyDescent="0.3">
      <c r="B75" s="56">
        <v>15</v>
      </c>
      <c r="C75" s="176" t="str">
        <f t="shared" si="2"/>
        <v>NI-MCPP-04</v>
      </c>
      <c r="D75" s="40"/>
      <c r="E75" s="308">
        <v>400</v>
      </c>
      <c r="F75" s="312">
        <v>2.1999999999999999E-2</v>
      </c>
      <c r="G75" s="314">
        <v>0.06</v>
      </c>
      <c r="H75" s="308">
        <v>799.66</v>
      </c>
      <c r="I75" s="312">
        <v>-4.7600000000000003E-2</v>
      </c>
      <c r="J75" s="314">
        <v>0.2611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75"/>
    </row>
    <row r="76" spans="2:12" x14ac:dyDescent="0.3">
      <c r="B76" s="56">
        <v>16</v>
      </c>
      <c r="C76" s="176" t="str">
        <f t="shared" si="2"/>
        <v>NI-MCPP-04</v>
      </c>
      <c r="D76" s="40"/>
      <c r="E76" s="308">
        <v>200</v>
      </c>
      <c r="F76" s="312">
        <v>5.0999999999999997E-2</v>
      </c>
      <c r="G76" s="314">
        <v>5.8999999999999997E-2</v>
      </c>
      <c r="H76" s="308">
        <v>699.76</v>
      </c>
      <c r="I76" s="312">
        <v>-0.13850000000000001</v>
      </c>
      <c r="J76" s="314">
        <v>0.1885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6"/>
    </row>
    <row r="77" spans="2:12" x14ac:dyDescent="0.3">
      <c r="B77" s="56">
        <v>17</v>
      </c>
      <c r="C77" s="176" t="str">
        <f t="shared" si="2"/>
        <v>NI-MCPP-04</v>
      </c>
      <c r="D77" s="40"/>
      <c r="E77" s="308">
        <v>100</v>
      </c>
      <c r="F77" s="312">
        <v>4.8000000000000001E-2</v>
      </c>
      <c r="G77" s="314">
        <v>5.8000000000000003E-2</v>
      </c>
      <c r="H77" s="308">
        <v>599.75</v>
      </c>
      <c r="I77" s="312">
        <v>-4.0500000000000001E-2</v>
      </c>
      <c r="J77" s="314">
        <v>0.24660000000000001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2:12" x14ac:dyDescent="0.3">
      <c r="B78" s="56">
        <v>18</v>
      </c>
      <c r="C78" s="176" t="str">
        <f t="shared" si="2"/>
        <v>NI-MCPP-04</v>
      </c>
      <c r="D78" s="40"/>
      <c r="E78" s="308">
        <v>50</v>
      </c>
      <c r="F78" s="312">
        <v>1.7999999999999999E-2</v>
      </c>
      <c r="G78" s="314">
        <v>5.8999999999999997E-2</v>
      </c>
      <c r="H78" s="308">
        <v>499.84</v>
      </c>
      <c r="I78" s="312">
        <v>-0.10150000000000001</v>
      </c>
      <c r="J78" s="314">
        <v>0.27560000000000001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78"/>
    </row>
    <row r="79" spans="2:12" x14ac:dyDescent="0.3">
      <c r="B79" s="56">
        <v>19</v>
      </c>
      <c r="C79" s="176" t="str">
        <f t="shared" si="2"/>
        <v>NI-MCPP-04</v>
      </c>
      <c r="D79" s="40"/>
      <c r="E79" s="308">
        <v>0</v>
      </c>
      <c r="F79" s="312">
        <v>2E-3</v>
      </c>
      <c r="G79" s="314">
        <v>5.8000000000000003E-2</v>
      </c>
      <c r="H79" s="308">
        <v>399.95</v>
      </c>
      <c r="I79" s="312">
        <v>-5.8000000000000003E-2</v>
      </c>
      <c r="J79" s="314">
        <v>0.29010000000000002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79"/>
    </row>
    <row r="80" spans="2:12" x14ac:dyDescent="0.3">
      <c r="B80" s="56">
        <v>20</v>
      </c>
      <c r="C80" s="176" t="str">
        <f t="shared" si="2"/>
        <v>NI-MCPP-04</v>
      </c>
      <c r="D80" s="40"/>
      <c r="E80" s="308">
        <v>-6</v>
      </c>
      <c r="F80" s="312">
        <v>-2.9000000000000001E-2</v>
      </c>
      <c r="G80" s="314">
        <v>5.8999999999999997E-2</v>
      </c>
      <c r="H80" s="308">
        <v>299.91000000000003</v>
      </c>
      <c r="I80" s="312">
        <v>-2.9000000000000001E-2</v>
      </c>
      <c r="J80" s="314">
        <v>0.27560000000000001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0"/>
    </row>
    <row r="81" spans="1:12" x14ac:dyDescent="0.3">
      <c r="B81" s="56">
        <v>21</v>
      </c>
      <c r="C81" s="176" t="str">
        <f t="shared" si="2"/>
        <v>NI-MCPP-04</v>
      </c>
      <c r="D81" s="40"/>
      <c r="E81" s="308">
        <v>-10</v>
      </c>
      <c r="F81" s="312">
        <v>-3.2000000000000001E-2</v>
      </c>
      <c r="G81" s="314">
        <v>5.8999999999999997E-2</v>
      </c>
      <c r="H81" s="308">
        <v>199.99</v>
      </c>
      <c r="I81" s="312">
        <v>-1.4500000000000001E-2</v>
      </c>
      <c r="J81" s="314">
        <v>0.2611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1"/>
    </row>
    <row r="82" spans="1:12" x14ac:dyDescent="0.3">
      <c r="B82" s="56">
        <v>22</v>
      </c>
      <c r="C82" s="176" t="str">
        <f t="shared" si="2"/>
        <v>NI-MCPP-04</v>
      </c>
      <c r="D82" s="40"/>
      <c r="E82" s="306">
        <v>-11.897</v>
      </c>
      <c r="F82" s="310">
        <v>8.5999999999999993E-2</v>
      </c>
      <c r="G82" s="314">
        <v>0.06</v>
      </c>
      <c r="H82" s="306">
        <v>159.97</v>
      </c>
      <c r="I82" s="310">
        <v>0</v>
      </c>
      <c r="J82" s="314">
        <v>0.30459999999999998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2"/>
    </row>
    <row r="83" spans="1:12" x14ac:dyDescent="0.3">
      <c r="B83" s="56">
        <v>23</v>
      </c>
      <c r="C83" s="176" t="str">
        <f t="shared" si="2"/>
        <v>NI-MCPP-04</v>
      </c>
      <c r="D83" s="40"/>
      <c r="E83" s="35"/>
      <c r="F83" s="35"/>
      <c r="G83" s="270"/>
      <c r="H83" s="307">
        <v>100.09</v>
      </c>
      <c r="I83" s="311">
        <v>1.4500000000000001E-2</v>
      </c>
      <c r="J83" s="314">
        <v>0.33360000000000001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3"/>
    </row>
    <row r="84" spans="1:12" x14ac:dyDescent="0.3">
      <c r="B84" s="56">
        <v>24</v>
      </c>
      <c r="C84" s="176" t="str">
        <f t="shared" si="2"/>
        <v>NI-MCPP-04</v>
      </c>
      <c r="D84" s="40"/>
      <c r="E84" s="35"/>
      <c r="F84" s="35"/>
      <c r="G84" s="270"/>
      <c r="H84" s="307">
        <v>79.930000000000007</v>
      </c>
      <c r="I84" s="311">
        <v>1.4500000000000001E-2</v>
      </c>
      <c r="J84" s="314">
        <v>0.33360000000000001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4"/>
    </row>
    <row r="85" spans="1:12" x14ac:dyDescent="0.3">
      <c r="B85" s="56">
        <v>25</v>
      </c>
      <c r="C85" s="176" t="str">
        <f t="shared" si="2"/>
        <v>NI-MCPP-04</v>
      </c>
      <c r="D85" s="40"/>
      <c r="E85" s="35"/>
      <c r="F85" s="35"/>
      <c r="G85" s="270"/>
      <c r="H85" s="307">
        <v>59.92</v>
      </c>
      <c r="I85" s="311">
        <v>2.9000000000000001E-2</v>
      </c>
      <c r="J85" s="314">
        <v>0.34810000000000002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5"/>
    </row>
    <row r="86" spans="1:12" ht="15" thickBot="1" x14ac:dyDescent="0.35">
      <c r="B86" s="57">
        <v>26</v>
      </c>
      <c r="C86" s="177" t="str">
        <f t="shared" si="2"/>
        <v>NI-MCPP-04</v>
      </c>
      <c r="D86" s="41"/>
      <c r="E86" s="160"/>
      <c r="F86" s="161"/>
      <c r="G86" s="160"/>
      <c r="H86" s="315">
        <v>0.03</v>
      </c>
      <c r="I86" s="316">
        <v>0.03</v>
      </c>
      <c r="J86" s="317">
        <v>5.2999999999999999E-2</v>
      </c>
      <c r="K86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399" t="s">
        <v>744</v>
      </c>
      <c r="E90" s="400"/>
      <c r="F90" s="400"/>
      <c r="G90" s="401"/>
      <c r="L90"/>
    </row>
    <row r="91" spans="1:12" x14ac:dyDescent="0.3">
      <c r="D91" s="320" t="s">
        <v>745</v>
      </c>
      <c r="E91" s="321"/>
      <c r="F91" s="321"/>
      <c r="G91" s="322"/>
      <c r="L91"/>
    </row>
    <row r="92" spans="1:12" x14ac:dyDescent="0.3">
      <c r="D92" s="320" t="s">
        <v>746</v>
      </c>
      <c r="E92" s="321"/>
      <c r="F92" s="321"/>
      <c r="G92" s="322"/>
      <c r="L92"/>
    </row>
    <row r="93" spans="1:12" x14ac:dyDescent="0.3">
      <c r="D93" s="320" t="s">
        <v>747</v>
      </c>
      <c r="E93" s="321"/>
      <c r="F93" s="321"/>
      <c r="G93" s="322"/>
      <c r="L93"/>
    </row>
    <row r="94" spans="1:12" x14ac:dyDescent="0.3">
      <c r="D94" s="320" t="s">
        <v>748</v>
      </c>
      <c r="E94" s="321"/>
      <c r="F94" s="321"/>
      <c r="G94" s="322"/>
      <c r="L94"/>
    </row>
    <row r="95" spans="1:12" x14ac:dyDescent="0.3">
      <c r="D95" s="320" t="s">
        <v>749</v>
      </c>
      <c r="E95" s="321"/>
      <c r="F95" s="321"/>
      <c r="G95" s="322"/>
      <c r="L95"/>
    </row>
    <row r="96" spans="1:12" x14ac:dyDescent="0.3">
      <c r="D96" s="320" t="s">
        <v>750</v>
      </c>
      <c r="E96" s="321"/>
      <c r="F96" s="321"/>
      <c r="G96" s="322"/>
    </row>
    <row r="97" spans="4:7" x14ac:dyDescent="0.3">
      <c r="D97" s="320" t="s">
        <v>751</v>
      </c>
      <c r="E97" s="321"/>
      <c r="F97" s="321"/>
      <c r="G97" s="322"/>
    </row>
    <row r="98" spans="4:7" x14ac:dyDescent="0.3">
      <c r="D98" s="320" t="s">
        <v>752</v>
      </c>
      <c r="E98" s="321"/>
      <c r="F98" s="321"/>
      <c r="G98" s="322"/>
    </row>
    <row r="99" spans="4:7" x14ac:dyDescent="0.3">
      <c r="D99" s="320" t="s">
        <v>753</v>
      </c>
      <c r="E99" s="321"/>
      <c r="F99" s="321"/>
      <c r="G99" s="322"/>
    </row>
    <row r="100" spans="4:7" x14ac:dyDescent="0.3">
      <c r="D100" s="320" t="s">
        <v>754</v>
      </c>
      <c r="E100" s="321"/>
      <c r="F100" s="321"/>
      <c r="G100" s="322"/>
    </row>
    <row r="101" spans="4:7" x14ac:dyDescent="0.3">
      <c r="D101" s="320" t="s">
        <v>755</v>
      </c>
      <c r="E101" s="321"/>
      <c r="F101" s="321"/>
      <c r="G101" s="322"/>
    </row>
    <row r="102" spans="4:7" x14ac:dyDescent="0.3">
      <c r="D102" s="320" t="s">
        <v>756</v>
      </c>
      <c r="E102" s="321"/>
      <c r="F102" s="321"/>
      <c r="G102" s="322"/>
    </row>
    <row r="103" spans="4:7" x14ac:dyDescent="0.3">
      <c r="D103" s="320" t="s">
        <v>757</v>
      </c>
      <c r="E103" s="321"/>
      <c r="F103" s="321"/>
      <c r="G103" s="322"/>
    </row>
    <row r="104" spans="4:7" x14ac:dyDescent="0.3">
      <c r="D104" s="320" t="s">
        <v>758</v>
      </c>
      <c r="E104" s="321"/>
      <c r="F104" s="321"/>
      <c r="G104" s="322"/>
    </row>
    <row r="105" spans="4:7" x14ac:dyDescent="0.3">
      <c r="D105" s="320" t="s">
        <v>759</v>
      </c>
      <c r="E105" s="321"/>
      <c r="F105" s="321"/>
      <c r="G105" s="322"/>
    </row>
    <row r="106" spans="4:7" x14ac:dyDescent="0.3">
      <c r="D106" s="320" t="s">
        <v>760</v>
      </c>
      <c r="E106" s="321"/>
      <c r="F106" s="321"/>
      <c r="G106" s="322"/>
    </row>
    <row r="107" spans="4:7" x14ac:dyDescent="0.3">
      <c r="D107" s="320" t="s">
        <v>761</v>
      </c>
      <c r="E107" s="321"/>
      <c r="F107" s="321"/>
      <c r="G107" s="322"/>
    </row>
    <row r="108" spans="4:7" x14ac:dyDescent="0.3">
      <c r="D108" s="320" t="s">
        <v>762</v>
      </c>
      <c r="E108" s="321"/>
      <c r="F108" s="321"/>
      <c r="G108" s="322"/>
    </row>
    <row r="109" spans="4:7" x14ac:dyDescent="0.3">
      <c r="D109" s="320" t="s">
        <v>763</v>
      </c>
      <c r="E109" s="321"/>
      <c r="F109" s="321"/>
      <c r="G109" s="322"/>
    </row>
    <row r="110" spans="4:7" x14ac:dyDescent="0.3">
      <c r="D110" s="320" t="s">
        <v>764</v>
      </c>
      <c r="E110" s="321"/>
      <c r="F110" s="321"/>
      <c r="G110" s="322"/>
    </row>
    <row r="111" spans="4:7" x14ac:dyDescent="0.3">
      <c r="D111" s="320" t="s">
        <v>765</v>
      </c>
      <c r="E111" s="321"/>
      <c r="F111" s="321"/>
      <c r="G111" s="322"/>
    </row>
    <row r="112" spans="4:7" x14ac:dyDescent="0.3">
      <c r="D112" s="320" t="s">
        <v>766</v>
      </c>
      <c r="E112" s="321"/>
      <c r="F112" s="321"/>
      <c r="G112" s="322"/>
    </row>
    <row r="113" spans="4:7" ht="15" thickBot="1" x14ac:dyDescent="0.35">
      <c r="D113" s="323" t="s">
        <v>767</v>
      </c>
      <c r="E113" s="324"/>
      <c r="F113" s="324"/>
      <c r="G113" s="325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topLeftCell="A112" zoomScale="88" zoomScaleNormal="88" workbookViewId="0">
      <selection activeCell="B71" sqref="B71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4" t="s">
        <v>362</v>
      </c>
      <c r="B2" s="414"/>
      <c r="C2" s="414"/>
    </row>
    <row r="3" spans="1:7" x14ac:dyDescent="0.3">
      <c r="A3" s="13"/>
      <c r="B3" s="415" t="s">
        <v>361</v>
      </c>
      <c r="C3" s="415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1131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1132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1133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1134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1135</v>
      </c>
      <c r="B10" s="10" t="s">
        <v>832</v>
      </c>
      <c r="C10" s="10" t="s">
        <v>833</v>
      </c>
      <c r="D10" s="9"/>
      <c r="E10" s="9"/>
      <c r="F10" s="9"/>
      <c r="G10" s="9"/>
    </row>
    <row r="11" spans="1:7" x14ac:dyDescent="0.3">
      <c r="A11" s="10" t="s">
        <v>1136</v>
      </c>
      <c r="B11" s="10" t="s">
        <v>1137</v>
      </c>
      <c r="C11" s="10" t="s">
        <v>834</v>
      </c>
      <c r="D11" s="9"/>
      <c r="E11" s="9"/>
      <c r="F11" s="9"/>
      <c r="G11" s="9"/>
    </row>
    <row r="12" spans="1:7" x14ac:dyDescent="0.3">
      <c r="A12" s="10" t="s">
        <v>1138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1139</v>
      </c>
      <c r="B13" s="10" t="s">
        <v>835</v>
      </c>
      <c r="C13" s="10" t="s">
        <v>836</v>
      </c>
      <c r="D13" s="9"/>
      <c r="E13" s="9"/>
      <c r="F13" s="9"/>
      <c r="G13" s="9"/>
    </row>
    <row r="14" spans="1:7" x14ac:dyDescent="0.3">
      <c r="A14" s="10" t="s">
        <v>1140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1141</v>
      </c>
      <c r="B15" s="10" t="s">
        <v>837</v>
      </c>
      <c r="C15" s="287" t="s">
        <v>838</v>
      </c>
      <c r="D15" s="9"/>
      <c r="E15" s="9"/>
      <c r="F15" s="9"/>
      <c r="G15" s="9"/>
    </row>
    <row r="16" spans="1:7" x14ac:dyDescent="0.3">
      <c r="A16" s="10" t="s">
        <v>1142</v>
      </c>
      <c r="B16" s="10" t="s">
        <v>839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1143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1144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1145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1146</v>
      </c>
      <c r="B20" s="10" t="s">
        <v>840</v>
      </c>
      <c r="C20" s="10" t="s">
        <v>841</v>
      </c>
      <c r="D20" s="9"/>
      <c r="E20" s="9"/>
      <c r="F20" s="9"/>
      <c r="G20" s="9"/>
    </row>
    <row r="21" spans="1:7" x14ac:dyDescent="0.3">
      <c r="A21" s="10" t="s">
        <v>1147</v>
      </c>
      <c r="B21" s="10" t="s">
        <v>340</v>
      </c>
      <c r="C21" s="10" t="s">
        <v>1148</v>
      </c>
      <c r="D21" s="9"/>
      <c r="E21" s="9"/>
      <c r="F21" s="9"/>
      <c r="G21" s="9"/>
    </row>
    <row r="22" spans="1:7" x14ac:dyDescent="0.3">
      <c r="A22" s="10" t="s">
        <v>1149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1150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1151</v>
      </c>
      <c r="B24" s="10" t="s">
        <v>842</v>
      </c>
      <c r="C24" s="10" t="s">
        <v>843</v>
      </c>
      <c r="D24" s="9"/>
      <c r="E24" s="9"/>
      <c r="F24" s="9"/>
      <c r="G24" s="9"/>
    </row>
    <row r="25" spans="1:7" ht="18" customHeight="1" x14ac:dyDescent="0.3">
      <c r="A25" s="10" t="s">
        <v>1152</v>
      </c>
      <c r="B25" s="10" t="s">
        <v>1153</v>
      </c>
      <c r="C25" s="288" t="s">
        <v>1154</v>
      </c>
      <c r="D25" s="9"/>
      <c r="E25" s="9"/>
      <c r="F25" s="9"/>
      <c r="G25" s="9"/>
    </row>
    <row r="26" spans="1:7" x14ac:dyDescent="0.3">
      <c r="A26" s="10" t="s">
        <v>1155</v>
      </c>
      <c r="B26" s="10" t="s">
        <v>844</v>
      </c>
      <c r="C26" s="288" t="s">
        <v>126</v>
      </c>
      <c r="D26" s="9"/>
      <c r="E26" s="9"/>
      <c r="F26" s="9"/>
      <c r="G26" s="9"/>
    </row>
    <row r="27" spans="1:7" x14ac:dyDescent="0.3">
      <c r="A27" s="10" t="s">
        <v>1156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1157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1158</v>
      </c>
      <c r="B29" s="10" t="s">
        <v>845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1159</v>
      </c>
      <c r="B30" s="10" t="s">
        <v>846</v>
      </c>
      <c r="C30" s="10" t="s">
        <v>847</v>
      </c>
      <c r="D30" s="9"/>
      <c r="E30" s="9"/>
      <c r="F30" s="9"/>
      <c r="G30" s="9"/>
    </row>
    <row r="31" spans="1:7" ht="17.25" customHeight="1" x14ac:dyDescent="0.3">
      <c r="A31" s="10" t="s">
        <v>1160</v>
      </c>
      <c r="B31" s="289" t="s">
        <v>848</v>
      </c>
      <c r="C31" s="290" t="s">
        <v>1161</v>
      </c>
      <c r="D31" s="9"/>
      <c r="E31" s="9"/>
      <c r="F31" s="9"/>
      <c r="G31" s="9"/>
    </row>
    <row r="32" spans="1:7" x14ac:dyDescent="0.3">
      <c r="A32" s="10" t="s">
        <v>1162</v>
      </c>
      <c r="B32" s="289" t="s">
        <v>849</v>
      </c>
      <c r="C32" s="290" t="s">
        <v>94</v>
      </c>
      <c r="D32" s="9"/>
      <c r="E32" s="9"/>
      <c r="F32" s="9"/>
      <c r="G32" s="9"/>
    </row>
    <row r="33" spans="1:7" x14ac:dyDescent="0.3">
      <c r="A33" s="10" t="s">
        <v>1163</v>
      </c>
      <c r="B33" s="289" t="s">
        <v>850</v>
      </c>
      <c r="C33" s="290" t="s">
        <v>851</v>
      </c>
      <c r="D33" s="9"/>
      <c r="E33" s="9"/>
      <c r="F33" s="9"/>
      <c r="G33" s="9"/>
    </row>
    <row r="34" spans="1:7" x14ac:dyDescent="0.3">
      <c r="A34" s="10" t="s">
        <v>1164</v>
      </c>
      <c r="B34" s="289" t="s">
        <v>852</v>
      </c>
      <c r="C34" s="290" t="s">
        <v>853</v>
      </c>
      <c r="D34" s="9"/>
      <c r="E34" s="9"/>
      <c r="F34" s="9"/>
      <c r="G34" s="9"/>
    </row>
    <row r="35" spans="1:7" x14ac:dyDescent="0.3">
      <c r="A35" s="10" t="s">
        <v>1165</v>
      </c>
      <c r="B35" s="289" t="s">
        <v>1166</v>
      </c>
      <c r="C35" s="290" t="s">
        <v>1167</v>
      </c>
      <c r="D35" s="9"/>
      <c r="E35" s="9"/>
      <c r="F35" s="9"/>
      <c r="G35" s="9"/>
    </row>
    <row r="36" spans="1:7" x14ac:dyDescent="0.3">
      <c r="A36" s="10" t="s">
        <v>1168</v>
      </c>
      <c r="B36" s="289" t="s">
        <v>1169</v>
      </c>
      <c r="C36" s="290" t="s">
        <v>1170</v>
      </c>
      <c r="D36" s="9"/>
      <c r="E36" s="9"/>
      <c r="F36" s="9"/>
      <c r="G36" s="9"/>
    </row>
    <row r="37" spans="1:7" x14ac:dyDescent="0.3">
      <c r="A37" s="10" t="s">
        <v>1171</v>
      </c>
      <c r="B37" s="289" t="s">
        <v>854</v>
      </c>
      <c r="C37" s="290" t="s">
        <v>855</v>
      </c>
      <c r="D37" s="9"/>
      <c r="E37" s="9"/>
      <c r="F37" s="9"/>
      <c r="G37" s="9"/>
    </row>
    <row r="38" spans="1:7" x14ac:dyDescent="0.3">
      <c r="A38" s="10" t="s">
        <v>1172</v>
      </c>
      <c r="B38" s="289" t="s">
        <v>856</v>
      </c>
      <c r="C38" s="290" t="s">
        <v>857</v>
      </c>
      <c r="D38" s="9"/>
      <c r="E38" s="9"/>
      <c r="F38" s="9"/>
      <c r="G38" s="9"/>
    </row>
    <row r="39" spans="1:7" x14ac:dyDescent="0.3">
      <c r="A39" s="10" t="s">
        <v>1173</v>
      </c>
      <c r="B39" s="10" t="s">
        <v>1174</v>
      </c>
      <c r="C39" s="10" t="s">
        <v>1175</v>
      </c>
      <c r="D39" s="9"/>
      <c r="E39" s="9"/>
      <c r="F39" s="9"/>
      <c r="G39" s="9"/>
    </row>
    <row r="40" spans="1:7" x14ac:dyDescent="0.3">
      <c r="A40" s="10" t="s">
        <v>1176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1177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1178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1179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1180</v>
      </c>
      <c r="B44" s="10" t="s">
        <v>324</v>
      </c>
      <c r="C44" s="10" t="s">
        <v>858</v>
      </c>
      <c r="D44" s="9"/>
      <c r="E44" s="9"/>
      <c r="F44" s="9"/>
      <c r="G44" s="9"/>
    </row>
    <row r="45" spans="1:7" x14ac:dyDescent="0.3">
      <c r="A45" s="10" t="s">
        <v>1181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1182</v>
      </c>
      <c r="B46" s="10" t="s">
        <v>859</v>
      </c>
      <c r="C46" s="10" t="s">
        <v>860</v>
      </c>
      <c r="D46" s="9"/>
      <c r="E46" s="9"/>
      <c r="F46" s="9"/>
      <c r="G46" s="9"/>
    </row>
    <row r="47" spans="1:7" x14ac:dyDescent="0.3">
      <c r="A47" s="10" t="s">
        <v>1183</v>
      </c>
      <c r="B47" s="10" t="s">
        <v>1184</v>
      </c>
      <c r="C47" s="10" t="s">
        <v>861</v>
      </c>
      <c r="D47" s="9"/>
      <c r="E47" s="9"/>
      <c r="F47" s="9"/>
      <c r="G47" s="9"/>
    </row>
    <row r="48" spans="1:7" x14ac:dyDescent="0.3">
      <c r="A48" s="10" t="s">
        <v>1185</v>
      </c>
      <c r="B48" s="10" t="s">
        <v>862</v>
      </c>
      <c r="C48" s="10" t="s">
        <v>863</v>
      </c>
      <c r="D48" s="9"/>
      <c r="E48" s="9"/>
      <c r="F48" s="9"/>
      <c r="G48" s="9"/>
    </row>
    <row r="49" spans="1:7" x14ac:dyDescent="0.3">
      <c r="A49" s="10" t="s">
        <v>1186</v>
      </c>
      <c r="B49" s="10" t="s">
        <v>864</v>
      </c>
      <c r="C49" s="10" t="s">
        <v>865</v>
      </c>
      <c r="D49" s="9"/>
      <c r="E49" s="9"/>
      <c r="F49" s="9"/>
      <c r="G49" s="9"/>
    </row>
    <row r="50" spans="1:7" x14ac:dyDescent="0.3">
      <c r="A50" s="10" t="s">
        <v>1187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1188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1189</v>
      </c>
      <c r="B52" s="10" t="s">
        <v>866</v>
      </c>
      <c r="C52" s="10" t="s">
        <v>867</v>
      </c>
      <c r="D52" s="9"/>
      <c r="E52" s="9"/>
      <c r="F52" s="9"/>
      <c r="G52" s="9"/>
    </row>
    <row r="53" spans="1:7" x14ac:dyDescent="0.3">
      <c r="A53" s="10" t="s">
        <v>1190</v>
      </c>
      <c r="B53" s="10" t="s">
        <v>868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1191</v>
      </c>
      <c r="B54" s="10" t="s">
        <v>869</v>
      </c>
      <c r="C54" s="10" t="s">
        <v>870</v>
      </c>
      <c r="D54" s="9"/>
      <c r="E54" s="9"/>
      <c r="F54" s="9"/>
      <c r="G54" s="9"/>
    </row>
    <row r="55" spans="1:7" x14ac:dyDescent="0.3">
      <c r="A55" s="10" t="s">
        <v>1192</v>
      </c>
      <c r="B55" s="10" t="s">
        <v>871</v>
      </c>
      <c r="C55" s="10" t="s">
        <v>872</v>
      </c>
      <c r="D55" s="9"/>
      <c r="E55" s="9"/>
      <c r="F55" s="9"/>
      <c r="G55" s="9"/>
    </row>
    <row r="56" spans="1:7" x14ac:dyDescent="0.3">
      <c r="A56" s="10" t="s">
        <v>1193</v>
      </c>
      <c r="B56" s="10" t="s">
        <v>873</v>
      </c>
      <c r="C56" s="10" t="s">
        <v>874</v>
      </c>
      <c r="D56" s="9"/>
      <c r="E56" s="9"/>
      <c r="F56" s="9"/>
      <c r="G56" s="9"/>
    </row>
    <row r="57" spans="1:7" x14ac:dyDescent="0.3">
      <c r="A57" s="10" t="s">
        <v>1194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1195</v>
      </c>
      <c r="B58" s="10" t="s">
        <v>875</v>
      </c>
      <c r="C58" s="10" t="s">
        <v>876</v>
      </c>
      <c r="D58" s="9"/>
      <c r="E58" s="9"/>
      <c r="F58" s="9"/>
      <c r="G58" s="9"/>
    </row>
    <row r="59" spans="1:7" x14ac:dyDescent="0.3">
      <c r="A59" s="10" t="s">
        <v>1196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1197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1198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1199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1200</v>
      </c>
      <c r="B63" s="10" t="s">
        <v>877</v>
      </c>
      <c r="C63" s="10" t="s">
        <v>878</v>
      </c>
      <c r="D63" s="9"/>
      <c r="E63" s="9"/>
      <c r="F63" s="9"/>
      <c r="G63" s="9"/>
    </row>
    <row r="64" spans="1:7" x14ac:dyDescent="0.3">
      <c r="A64" s="10" t="s">
        <v>1201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1202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1203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1204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1205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1206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1207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1208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1209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1210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1211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1212</v>
      </c>
      <c r="B75" s="10" t="s">
        <v>879</v>
      </c>
      <c r="C75" s="10" t="s">
        <v>880</v>
      </c>
      <c r="D75" s="9"/>
      <c r="E75" s="9"/>
      <c r="F75" s="9"/>
      <c r="G75" s="9"/>
    </row>
    <row r="76" spans="1:7" x14ac:dyDescent="0.3">
      <c r="A76" s="10" t="s">
        <v>1213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1214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1215</v>
      </c>
      <c r="B78" s="10" t="s">
        <v>881</v>
      </c>
      <c r="C78" s="10" t="s">
        <v>882</v>
      </c>
      <c r="D78" s="9"/>
      <c r="E78" s="9"/>
      <c r="F78" s="9"/>
      <c r="G78" s="9"/>
    </row>
    <row r="79" spans="1:7" x14ac:dyDescent="0.3">
      <c r="A79" s="10" t="s">
        <v>1216</v>
      </c>
      <c r="B79" s="10" t="s">
        <v>1217</v>
      </c>
      <c r="C79" s="10" t="s">
        <v>1218</v>
      </c>
      <c r="D79" s="9"/>
      <c r="E79" s="9"/>
      <c r="F79" s="9"/>
      <c r="G79" s="9"/>
    </row>
    <row r="80" spans="1:7" x14ac:dyDescent="0.3">
      <c r="A80" s="10" t="s">
        <v>1219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1220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1221</v>
      </c>
      <c r="B82" s="10" t="s">
        <v>278</v>
      </c>
      <c r="C82" s="10" t="s">
        <v>883</v>
      </c>
      <c r="D82" s="9"/>
      <c r="E82" s="9"/>
      <c r="F82" s="9"/>
      <c r="G82" s="9"/>
    </row>
    <row r="83" spans="1:7" x14ac:dyDescent="0.3">
      <c r="A83" s="10" t="s">
        <v>1222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1223</v>
      </c>
      <c r="B84" s="10" t="s">
        <v>884</v>
      </c>
      <c r="C84" s="10" t="s">
        <v>885</v>
      </c>
      <c r="D84" s="9"/>
      <c r="E84" s="9"/>
      <c r="F84" s="9"/>
      <c r="G84" s="9"/>
    </row>
    <row r="85" spans="1:7" x14ac:dyDescent="0.3">
      <c r="A85" s="10" t="s">
        <v>1224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1225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1226</v>
      </c>
      <c r="B87" s="10" t="s">
        <v>1227</v>
      </c>
      <c r="C87" s="10" t="s">
        <v>1228</v>
      </c>
      <c r="D87" s="9"/>
      <c r="E87" s="9"/>
      <c r="F87" s="9"/>
      <c r="G87" s="9"/>
    </row>
    <row r="88" spans="1:7" x14ac:dyDescent="0.3">
      <c r="A88" s="10" t="s">
        <v>1229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1230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1231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1232</v>
      </c>
      <c r="B91" s="10" t="s">
        <v>1233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1234</v>
      </c>
      <c r="B92" s="10" t="s">
        <v>886</v>
      </c>
      <c r="C92" s="10" t="s">
        <v>887</v>
      </c>
      <c r="D92" s="9"/>
      <c r="E92" s="9"/>
      <c r="F92" s="9"/>
      <c r="G92" s="9"/>
    </row>
    <row r="93" spans="1:7" x14ac:dyDescent="0.3">
      <c r="A93" s="10" t="s">
        <v>1235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1236</v>
      </c>
      <c r="B94" s="10" t="s">
        <v>888</v>
      </c>
      <c r="C94" s="10" t="s">
        <v>889</v>
      </c>
      <c r="D94" s="9"/>
      <c r="E94" s="9"/>
      <c r="F94" s="9"/>
      <c r="G94" s="9"/>
    </row>
    <row r="95" spans="1:7" x14ac:dyDescent="0.3">
      <c r="A95" s="10" t="s">
        <v>1237</v>
      </c>
      <c r="B95" s="10" t="s">
        <v>890</v>
      </c>
      <c r="C95" s="10" t="s">
        <v>891</v>
      </c>
      <c r="D95" s="9"/>
      <c r="E95" s="9"/>
      <c r="F95" s="9"/>
      <c r="G95" s="9"/>
    </row>
    <row r="96" spans="1:7" x14ac:dyDescent="0.3">
      <c r="A96" s="10" t="s">
        <v>1238</v>
      </c>
      <c r="B96" s="10" t="s">
        <v>892</v>
      </c>
      <c r="C96" s="10" t="s">
        <v>893</v>
      </c>
      <c r="D96" s="9"/>
      <c r="E96" s="9"/>
      <c r="F96" s="9"/>
      <c r="G96" s="9"/>
    </row>
    <row r="97" spans="1:7" x14ac:dyDescent="0.3">
      <c r="A97" s="10" t="s">
        <v>1239</v>
      </c>
      <c r="B97" s="10" t="s">
        <v>1240</v>
      </c>
      <c r="C97" s="10" t="s">
        <v>1241</v>
      </c>
      <c r="D97" s="9"/>
      <c r="E97" s="9"/>
      <c r="F97" s="9"/>
      <c r="G97" s="9"/>
    </row>
    <row r="98" spans="1:7" x14ac:dyDescent="0.3">
      <c r="A98" s="10" t="s">
        <v>1242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1243</v>
      </c>
      <c r="B99" s="10" t="s">
        <v>1244</v>
      </c>
      <c r="C99" s="10" t="s">
        <v>1245</v>
      </c>
      <c r="D99" s="9"/>
      <c r="E99" s="9"/>
      <c r="F99" s="9"/>
      <c r="G99" s="9"/>
    </row>
    <row r="100" spans="1:7" x14ac:dyDescent="0.3">
      <c r="A100" s="10" t="s">
        <v>1246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1247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1248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1249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1250</v>
      </c>
      <c r="B104" s="10" t="s">
        <v>894</v>
      </c>
      <c r="C104" s="10" t="s">
        <v>895</v>
      </c>
      <c r="D104" s="9"/>
      <c r="E104" s="9"/>
      <c r="F104" s="9"/>
      <c r="G104" s="9"/>
    </row>
    <row r="105" spans="1:7" x14ac:dyDescent="0.3">
      <c r="A105" s="10" t="s">
        <v>1251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1252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1253</v>
      </c>
      <c r="B107" s="10" t="s">
        <v>896</v>
      </c>
      <c r="C107" s="10" t="s">
        <v>897</v>
      </c>
      <c r="D107" s="9"/>
      <c r="E107" s="9"/>
      <c r="F107" s="9"/>
      <c r="G107" s="9"/>
    </row>
    <row r="108" spans="1:7" x14ac:dyDescent="0.3">
      <c r="A108" s="10" t="s">
        <v>1254</v>
      </c>
      <c r="B108" s="10" t="s">
        <v>898</v>
      </c>
      <c r="C108" s="10" t="s">
        <v>899</v>
      </c>
      <c r="D108" s="9"/>
      <c r="E108" s="9"/>
      <c r="F108" s="9"/>
      <c r="G108" s="9"/>
    </row>
    <row r="109" spans="1:7" x14ac:dyDescent="0.3">
      <c r="A109" s="10" t="s">
        <v>1255</v>
      </c>
      <c r="B109" s="10" t="s">
        <v>900</v>
      </c>
      <c r="C109" s="10" t="s">
        <v>901</v>
      </c>
      <c r="D109" s="9"/>
      <c r="E109" s="9"/>
      <c r="F109" s="9"/>
      <c r="G109" s="9"/>
    </row>
    <row r="110" spans="1:7" x14ac:dyDescent="0.3">
      <c r="A110" s="10" t="s">
        <v>1256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1257</v>
      </c>
      <c r="B111" s="10" t="s">
        <v>902</v>
      </c>
      <c r="C111" s="10" t="s">
        <v>903</v>
      </c>
      <c r="D111" s="9"/>
      <c r="E111" s="9"/>
      <c r="F111" s="9"/>
      <c r="G111" s="9"/>
    </row>
    <row r="112" spans="1:7" x14ac:dyDescent="0.3">
      <c r="A112" s="10" t="s">
        <v>1258</v>
      </c>
      <c r="B112" s="10" t="s">
        <v>904</v>
      </c>
      <c r="C112" s="10" t="s">
        <v>905</v>
      </c>
      <c r="D112" s="9"/>
      <c r="E112" s="9"/>
      <c r="F112" s="9"/>
      <c r="G112" s="9"/>
    </row>
    <row r="113" spans="1:7" x14ac:dyDescent="0.3">
      <c r="A113" s="10" t="s">
        <v>1259</v>
      </c>
      <c r="B113" s="10" t="s">
        <v>906</v>
      </c>
      <c r="C113" s="10" t="s">
        <v>907</v>
      </c>
      <c r="D113" s="9"/>
      <c r="E113" s="9"/>
      <c r="F113" s="9"/>
      <c r="G113" s="9"/>
    </row>
    <row r="114" spans="1:7" x14ac:dyDescent="0.3">
      <c r="A114" s="10" t="s">
        <v>1260</v>
      </c>
      <c r="B114" s="10" t="s">
        <v>1261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1262</v>
      </c>
      <c r="B115" s="10" t="s">
        <v>908</v>
      </c>
      <c r="C115" s="10" t="s">
        <v>909</v>
      </c>
      <c r="D115" s="9"/>
      <c r="E115" s="9"/>
      <c r="F115" s="9"/>
      <c r="G115" s="9"/>
    </row>
    <row r="116" spans="1:7" x14ac:dyDescent="0.3">
      <c r="A116" s="10" t="s">
        <v>1263</v>
      </c>
      <c r="B116" s="10" t="s">
        <v>1264</v>
      </c>
      <c r="C116" s="10" t="s">
        <v>1265</v>
      </c>
      <c r="D116" s="9"/>
      <c r="E116" s="9"/>
      <c r="F116" s="9"/>
      <c r="G116" s="9"/>
    </row>
    <row r="117" spans="1:7" x14ac:dyDescent="0.3">
      <c r="A117" s="10" t="s">
        <v>1266</v>
      </c>
      <c r="B117" s="10" t="s">
        <v>581</v>
      </c>
      <c r="C117" s="10" t="s">
        <v>910</v>
      </c>
      <c r="D117" s="9"/>
      <c r="E117" s="9"/>
      <c r="F117" s="9"/>
      <c r="G117" s="9"/>
    </row>
    <row r="118" spans="1:7" x14ac:dyDescent="0.3">
      <c r="A118" s="10" t="s">
        <v>1267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1268</v>
      </c>
      <c r="B119" s="9" t="s">
        <v>911</v>
      </c>
      <c r="C119" s="9" t="s">
        <v>912</v>
      </c>
      <c r="D119" s="9"/>
      <c r="E119" s="9"/>
      <c r="F119" s="9"/>
      <c r="G119" s="9"/>
    </row>
    <row r="120" spans="1:7" x14ac:dyDescent="0.3">
      <c r="A120" s="10" t="s">
        <v>1269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1270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1271</v>
      </c>
      <c r="B122" s="10" t="s">
        <v>913</v>
      </c>
      <c r="C122" s="10" t="s">
        <v>914</v>
      </c>
      <c r="D122" s="9"/>
      <c r="E122" s="9"/>
      <c r="F122" s="9"/>
      <c r="G122" s="9"/>
    </row>
    <row r="123" spans="1:7" x14ac:dyDescent="0.3">
      <c r="A123" s="10" t="s">
        <v>1272</v>
      </c>
      <c r="B123" s="10" t="s">
        <v>915</v>
      </c>
      <c r="C123" s="10" t="s">
        <v>916</v>
      </c>
      <c r="D123" s="9"/>
      <c r="E123" s="9"/>
      <c r="F123" s="9"/>
      <c r="G123" s="9"/>
    </row>
    <row r="124" spans="1:7" x14ac:dyDescent="0.3">
      <c r="A124" s="10" t="s">
        <v>1273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1274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1275</v>
      </c>
      <c r="B126" s="10" t="s">
        <v>917</v>
      </c>
      <c r="C126" s="10" t="s">
        <v>918</v>
      </c>
      <c r="D126" s="9"/>
      <c r="E126" s="9"/>
      <c r="F126" s="9"/>
      <c r="G126" s="9"/>
    </row>
    <row r="127" spans="1:7" x14ac:dyDescent="0.3">
      <c r="A127" s="10" t="s">
        <v>1276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1277</v>
      </c>
      <c r="B128" s="10" t="s">
        <v>238</v>
      </c>
      <c r="C128" s="10" t="s">
        <v>919</v>
      </c>
      <c r="D128" s="9"/>
      <c r="E128" s="9"/>
      <c r="F128" s="9"/>
      <c r="G128" s="9"/>
    </row>
    <row r="129" spans="1:7" x14ac:dyDescent="0.3">
      <c r="A129" s="10" t="s">
        <v>1278</v>
      </c>
      <c r="B129" s="10" t="s">
        <v>1279</v>
      </c>
      <c r="C129" s="10" t="s">
        <v>1280</v>
      </c>
      <c r="D129" s="9"/>
      <c r="E129" s="9"/>
      <c r="F129" s="9"/>
      <c r="G129" s="9"/>
    </row>
    <row r="130" spans="1:7" x14ac:dyDescent="0.3">
      <c r="A130" s="10" t="s">
        <v>1281</v>
      </c>
      <c r="B130" s="10" t="s">
        <v>920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1282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1283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1284</v>
      </c>
      <c r="B133" s="10" t="s">
        <v>921</v>
      </c>
      <c r="C133" s="10" t="s">
        <v>922</v>
      </c>
      <c r="D133" s="9"/>
      <c r="E133" s="9"/>
      <c r="F133" s="9"/>
      <c r="G133" s="9"/>
    </row>
    <row r="134" spans="1:7" x14ac:dyDescent="0.3">
      <c r="A134" s="10" t="s">
        <v>1285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1286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1287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1288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1289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1290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1291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1292</v>
      </c>
      <c r="B141" s="10" t="s">
        <v>923</v>
      </c>
      <c r="C141" s="10" t="s">
        <v>924</v>
      </c>
      <c r="D141" s="9"/>
      <c r="E141" s="9"/>
      <c r="F141" s="9"/>
      <c r="G141" s="9"/>
    </row>
    <row r="142" spans="1:7" x14ac:dyDescent="0.3">
      <c r="A142" s="10" t="s">
        <v>1293</v>
      </c>
      <c r="B142" s="10" t="s">
        <v>925</v>
      </c>
      <c r="C142" s="10" t="s">
        <v>926</v>
      </c>
      <c r="D142" s="9"/>
      <c r="E142" s="9"/>
      <c r="F142" s="9"/>
      <c r="G142" s="9"/>
    </row>
    <row r="143" spans="1:7" x14ac:dyDescent="0.3">
      <c r="A143" s="10" t="s">
        <v>1294</v>
      </c>
      <c r="B143" s="9" t="s">
        <v>927</v>
      </c>
      <c r="C143" s="9" t="s">
        <v>928</v>
      </c>
      <c r="D143" s="9"/>
      <c r="E143" s="9"/>
      <c r="F143" s="9"/>
      <c r="G143" s="9"/>
    </row>
    <row r="144" spans="1:7" x14ac:dyDescent="0.3">
      <c r="A144" s="10" t="s">
        <v>1295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1296</v>
      </c>
      <c r="B145" s="10" t="s">
        <v>929</v>
      </c>
      <c r="C145" s="10" t="s">
        <v>930</v>
      </c>
      <c r="D145" s="9"/>
      <c r="E145" s="9"/>
      <c r="F145" s="9"/>
      <c r="G145" s="9"/>
    </row>
    <row r="146" spans="1:7" x14ac:dyDescent="0.3">
      <c r="A146" s="10" t="s">
        <v>1297</v>
      </c>
      <c r="B146" s="10" t="s">
        <v>1298</v>
      </c>
      <c r="C146" s="10" t="s">
        <v>1299</v>
      </c>
      <c r="D146" s="9"/>
      <c r="E146" s="9"/>
      <c r="F146" s="9"/>
      <c r="G146" s="9"/>
    </row>
    <row r="147" spans="1:7" x14ac:dyDescent="0.3">
      <c r="A147" s="10" t="s">
        <v>1300</v>
      </c>
      <c r="B147" s="10" t="s">
        <v>931</v>
      </c>
      <c r="C147" s="10" t="s">
        <v>932</v>
      </c>
      <c r="D147" s="9"/>
      <c r="E147" s="9"/>
      <c r="F147" s="9"/>
      <c r="G147" s="9"/>
    </row>
    <row r="148" spans="1:7" x14ac:dyDescent="0.3">
      <c r="A148" s="10" t="s">
        <v>1301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1302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1303</v>
      </c>
      <c r="B150" s="10" t="s">
        <v>1304</v>
      </c>
      <c r="C150" s="10" t="s">
        <v>1305</v>
      </c>
      <c r="D150" s="9"/>
      <c r="E150" s="9"/>
      <c r="F150" s="9"/>
      <c r="G150" s="9"/>
    </row>
    <row r="151" spans="1:7" x14ac:dyDescent="0.3">
      <c r="A151" s="10" t="s">
        <v>1306</v>
      </c>
      <c r="B151" s="10" t="s">
        <v>933</v>
      </c>
      <c r="C151" s="10" t="s">
        <v>934</v>
      </c>
      <c r="D151" s="9"/>
      <c r="E151" s="9"/>
      <c r="F151" s="9"/>
      <c r="G151" s="9"/>
    </row>
    <row r="152" spans="1:7" x14ac:dyDescent="0.3">
      <c r="A152" s="10" t="s">
        <v>1307</v>
      </c>
      <c r="B152" s="10" t="s">
        <v>935</v>
      </c>
      <c r="C152" s="10" t="s">
        <v>936</v>
      </c>
      <c r="D152" s="9"/>
      <c r="E152" s="9"/>
      <c r="F152" s="9"/>
      <c r="G152" s="9"/>
    </row>
    <row r="153" spans="1:7" x14ac:dyDescent="0.3">
      <c r="A153" s="10" t="s">
        <v>1308</v>
      </c>
      <c r="B153" s="10" t="s">
        <v>937</v>
      </c>
      <c r="C153" s="10" t="s">
        <v>938</v>
      </c>
      <c r="D153" s="9"/>
      <c r="E153" s="9"/>
      <c r="F153" s="9"/>
      <c r="G153" s="9"/>
    </row>
    <row r="154" spans="1:7" x14ac:dyDescent="0.3">
      <c r="A154" s="10" t="s">
        <v>1309</v>
      </c>
      <c r="B154" s="10" t="s">
        <v>1310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1311</v>
      </c>
      <c r="B155" s="10" t="s">
        <v>1312</v>
      </c>
      <c r="C155" s="10" t="s">
        <v>1313</v>
      </c>
      <c r="D155" s="9"/>
      <c r="E155" s="9"/>
      <c r="F155" s="9"/>
      <c r="G155" s="9"/>
    </row>
    <row r="156" spans="1:7" x14ac:dyDescent="0.3">
      <c r="A156" s="10" t="s">
        <v>1314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1315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1316</v>
      </c>
      <c r="B158" s="10" t="s">
        <v>939</v>
      </c>
      <c r="C158" s="10" t="s">
        <v>940</v>
      </c>
      <c r="D158" s="9"/>
      <c r="E158" s="9"/>
      <c r="F158" s="9"/>
      <c r="G158" s="9"/>
    </row>
    <row r="159" spans="1:7" x14ac:dyDescent="0.3">
      <c r="A159" s="10" t="s">
        <v>1317</v>
      </c>
      <c r="B159" s="10" t="s">
        <v>1318</v>
      </c>
      <c r="C159" s="10" t="s">
        <v>1319</v>
      </c>
      <c r="D159" s="9"/>
      <c r="E159" s="9"/>
      <c r="F159" s="9"/>
      <c r="G159" s="9"/>
    </row>
    <row r="160" spans="1:7" x14ac:dyDescent="0.3">
      <c r="A160" s="10" t="s">
        <v>1320</v>
      </c>
      <c r="B160" s="10" t="s">
        <v>1321</v>
      </c>
      <c r="C160" s="10" t="s">
        <v>1322</v>
      </c>
      <c r="D160" s="9"/>
      <c r="E160" s="9"/>
      <c r="F160" s="9"/>
      <c r="G160" s="9"/>
    </row>
    <row r="161" spans="1:7" x14ac:dyDescent="0.3">
      <c r="A161" s="10" t="s">
        <v>1323</v>
      </c>
      <c r="B161" s="10" t="s">
        <v>941</v>
      </c>
      <c r="C161" s="10" t="s">
        <v>942</v>
      </c>
      <c r="D161" s="9"/>
      <c r="E161" s="9"/>
      <c r="F161" s="9"/>
      <c r="G161" s="9"/>
    </row>
    <row r="162" spans="1:7" x14ac:dyDescent="0.3">
      <c r="A162" s="10" t="s">
        <v>1324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1325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1326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1327</v>
      </c>
      <c r="B165" s="10" t="s">
        <v>943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1328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1329</v>
      </c>
      <c r="B167" s="10" t="s">
        <v>944</v>
      </c>
      <c r="C167" s="10" t="s">
        <v>945</v>
      </c>
      <c r="D167" s="9"/>
      <c r="E167" s="9"/>
      <c r="F167" s="9"/>
      <c r="G167" s="9"/>
    </row>
    <row r="168" spans="1:7" x14ac:dyDescent="0.3">
      <c r="A168" s="10" t="s">
        <v>1330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1331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1332</v>
      </c>
      <c r="B170" s="10" t="s">
        <v>946</v>
      </c>
      <c r="C170" s="10" t="s">
        <v>947</v>
      </c>
      <c r="D170" s="9"/>
      <c r="E170" s="9"/>
      <c r="F170" s="9"/>
      <c r="G170" s="9"/>
    </row>
    <row r="171" spans="1:7" x14ac:dyDescent="0.3">
      <c r="A171" s="10" t="s">
        <v>1333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1334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1335</v>
      </c>
      <c r="B173" s="10" t="s">
        <v>1336</v>
      </c>
      <c r="C173" s="10" t="s">
        <v>1337</v>
      </c>
      <c r="D173" s="9"/>
      <c r="E173" s="9"/>
      <c r="F173" s="9"/>
      <c r="G173" s="9"/>
    </row>
    <row r="174" spans="1:7" x14ac:dyDescent="0.3">
      <c r="A174" s="10" t="s">
        <v>1338</v>
      </c>
      <c r="B174" s="10" t="s">
        <v>198</v>
      </c>
      <c r="C174" s="10" t="s">
        <v>948</v>
      </c>
      <c r="D174" s="9"/>
      <c r="E174" s="9"/>
      <c r="F174" s="9"/>
      <c r="G174" s="9"/>
    </row>
    <row r="175" spans="1:7" x14ac:dyDescent="0.3">
      <c r="A175" s="10" t="s">
        <v>1339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1340</v>
      </c>
      <c r="B176" s="10" t="s">
        <v>949</v>
      </c>
      <c r="C176" s="10" t="s">
        <v>950</v>
      </c>
      <c r="D176" s="9"/>
      <c r="E176" s="9"/>
      <c r="F176" s="9"/>
      <c r="G176" s="9"/>
    </row>
    <row r="177" spans="1:8" x14ac:dyDescent="0.3">
      <c r="A177" s="10" t="s">
        <v>1341</v>
      </c>
      <c r="B177" s="10" t="s">
        <v>951</v>
      </c>
      <c r="C177" s="10" t="s">
        <v>952</v>
      </c>
      <c r="D177" s="9"/>
      <c r="E177" s="9"/>
      <c r="F177" s="9"/>
      <c r="G177" s="9"/>
    </row>
    <row r="178" spans="1:8" x14ac:dyDescent="0.3">
      <c r="A178" s="10" t="s">
        <v>1342</v>
      </c>
      <c r="B178" s="10" t="s">
        <v>953</v>
      </c>
      <c r="C178" s="10" t="s">
        <v>954</v>
      </c>
      <c r="D178" s="9"/>
      <c r="E178" s="9"/>
      <c r="F178" s="9"/>
      <c r="G178" s="9"/>
    </row>
    <row r="179" spans="1:8" x14ac:dyDescent="0.3">
      <c r="A179" s="10" t="s">
        <v>1343</v>
      </c>
      <c r="B179" s="10" t="s">
        <v>955</v>
      </c>
      <c r="C179" s="10" t="s">
        <v>956</v>
      </c>
      <c r="D179" s="9"/>
      <c r="E179" s="9"/>
      <c r="F179" s="9"/>
      <c r="G179" s="9"/>
    </row>
    <row r="180" spans="1:8" x14ac:dyDescent="0.3">
      <c r="A180" s="10" t="s">
        <v>1344</v>
      </c>
      <c r="B180" s="10" t="s">
        <v>957</v>
      </c>
      <c r="C180" s="10" t="s">
        <v>958</v>
      </c>
      <c r="D180" s="9"/>
      <c r="E180" s="9"/>
      <c r="F180" s="9"/>
      <c r="G180" s="9"/>
    </row>
    <row r="181" spans="1:8" x14ac:dyDescent="0.3">
      <c r="A181" s="10" t="s">
        <v>1345</v>
      </c>
      <c r="B181" s="10" t="s">
        <v>959</v>
      </c>
      <c r="C181" s="10" t="s">
        <v>960</v>
      </c>
      <c r="D181" s="9"/>
      <c r="E181" s="9"/>
      <c r="F181" s="9"/>
      <c r="G181" s="9"/>
    </row>
    <row r="182" spans="1:8" x14ac:dyDescent="0.3">
      <c r="A182" s="10" t="s">
        <v>1346</v>
      </c>
      <c r="B182" s="10" t="s">
        <v>961</v>
      </c>
      <c r="C182" s="10" t="s">
        <v>962</v>
      </c>
      <c r="D182" s="9"/>
      <c r="E182" s="9"/>
      <c r="F182" s="9"/>
      <c r="G182" s="9"/>
    </row>
    <row r="183" spans="1:8" x14ac:dyDescent="0.3">
      <c r="A183" s="10" t="s">
        <v>1347</v>
      </c>
      <c r="B183" s="10" t="s">
        <v>1348</v>
      </c>
      <c r="C183" s="10" t="s">
        <v>1349</v>
      </c>
      <c r="D183" s="9"/>
      <c r="E183" s="9"/>
      <c r="F183" s="9"/>
      <c r="G183" s="9"/>
    </row>
    <row r="184" spans="1:8" x14ac:dyDescent="0.3">
      <c r="A184" s="10" t="s">
        <v>1350</v>
      </c>
      <c r="B184" s="10" t="s">
        <v>1351</v>
      </c>
      <c r="C184" s="10" t="s">
        <v>1352</v>
      </c>
      <c r="D184" s="9"/>
      <c r="E184" s="9"/>
      <c r="F184" s="9"/>
      <c r="G184" s="9"/>
    </row>
    <row r="185" spans="1:8" x14ac:dyDescent="0.3">
      <c r="A185" s="10" t="s">
        <v>1353</v>
      </c>
      <c r="B185" s="10" t="s">
        <v>1130</v>
      </c>
      <c r="C185" s="10" t="s">
        <v>1128</v>
      </c>
      <c r="D185" s="9"/>
      <c r="E185" s="9"/>
      <c r="F185" s="9"/>
      <c r="G185" s="9"/>
    </row>
    <row r="186" spans="1:8" x14ac:dyDescent="0.3">
      <c r="A186" s="10" t="s">
        <v>1354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1355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1356</v>
      </c>
      <c r="B188" s="10" t="s">
        <v>963</v>
      </c>
      <c r="C188" s="10" t="s">
        <v>964</v>
      </c>
      <c r="D188" s="9"/>
      <c r="E188" s="9"/>
      <c r="F188" s="9"/>
      <c r="G188" s="9"/>
    </row>
    <row r="189" spans="1:8" x14ac:dyDescent="0.3">
      <c r="A189" s="10" t="s">
        <v>1357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1358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1359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1360</v>
      </c>
      <c r="B192" s="291" t="s">
        <v>1361</v>
      </c>
      <c r="C192" s="288" t="s">
        <v>1362</v>
      </c>
      <c r="D192" s="9"/>
      <c r="E192" s="9"/>
      <c r="F192" s="9"/>
      <c r="G192" s="9"/>
      <c r="H192" s="9"/>
    </row>
    <row r="193" spans="1:8" x14ac:dyDescent="0.3">
      <c r="A193" s="10" t="s">
        <v>1363</v>
      </c>
      <c r="B193" s="10" t="s">
        <v>185</v>
      </c>
      <c r="C193" s="10" t="s">
        <v>1364</v>
      </c>
      <c r="D193" s="9"/>
      <c r="E193" s="9"/>
      <c r="F193" s="9"/>
      <c r="G193" s="9"/>
      <c r="H193" s="9"/>
    </row>
    <row r="194" spans="1:8" x14ac:dyDescent="0.3">
      <c r="A194" s="10" t="s">
        <v>1365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1366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1367</v>
      </c>
      <c r="B196" s="10" t="s">
        <v>965</v>
      </c>
      <c r="C196" s="10" t="s">
        <v>966</v>
      </c>
      <c r="D196" s="9"/>
      <c r="E196" s="9"/>
      <c r="F196" s="9"/>
      <c r="G196" s="9"/>
      <c r="H196" s="9"/>
    </row>
    <row r="197" spans="1:8" x14ac:dyDescent="0.3">
      <c r="A197" s="10" t="s">
        <v>1368</v>
      </c>
      <c r="B197" s="10" t="s">
        <v>967</v>
      </c>
      <c r="C197" s="10" t="s">
        <v>968</v>
      </c>
      <c r="D197" s="9"/>
      <c r="E197" s="9"/>
      <c r="F197" s="9"/>
      <c r="G197" s="9"/>
      <c r="H197" s="9"/>
    </row>
    <row r="198" spans="1:8" x14ac:dyDescent="0.3">
      <c r="A198" s="10" t="s">
        <v>1369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1370</v>
      </c>
      <c r="B199" s="10" t="s">
        <v>1371</v>
      </c>
      <c r="C199" s="10" t="s">
        <v>1372</v>
      </c>
      <c r="D199" s="9"/>
      <c r="E199" s="9"/>
      <c r="F199" s="9"/>
      <c r="G199" s="9"/>
      <c r="H199" s="9"/>
    </row>
    <row r="200" spans="1:8" x14ac:dyDescent="0.3">
      <c r="A200" s="10" t="s">
        <v>1373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1374</v>
      </c>
      <c r="B201" s="10" t="s">
        <v>969</v>
      </c>
      <c r="C201" s="10" t="s">
        <v>970</v>
      </c>
      <c r="D201" s="9"/>
      <c r="E201" s="9"/>
      <c r="F201" s="9"/>
      <c r="G201" s="9"/>
      <c r="H201" s="9"/>
    </row>
    <row r="202" spans="1:8" x14ac:dyDescent="0.3">
      <c r="A202" s="10" t="s">
        <v>1375</v>
      </c>
      <c r="B202" s="10" t="s">
        <v>971</v>
      </c>
      <c r="C202" s="10" t="s">
        <v>970</v>
      </c>
      <c r="D202" s="9"/>
      <c r="E202" s="9"/>
      <c r="F202" s="9"/>
      <c r="G202" s="9"/>
      <c r="H202" s="9"/>
    </row>
    <row r="203" spans="1:8" x14ac:dyDescent="0.3">
      <c r="A203" s="10" t="s">
        <v>1376</v>
      </c>
      <c r="B203" s="10" t="s">
        <v>1377</v>
      </c>
      <c r="C203" s="10" t="s">
        <v>1378</v>
      </c>
      <c r="D203" s="9"/>
      <c r="E203" s="9"/>
      <c r="F203" s="9"/>
      <c r="G203" s="9"/>
      <c r="H203" s="9"/>
    </row>
    <row r="204" spans="1:8" x14ac:dyDescent="0.3">
      <c r="A204" s="10" t="s">
        <v>1379</v>
      </c>
      <c r="B204" s="10" t="s">
        <v>972</v>
      </c>
      <c r="C204" s="10" t="s">
        <v>973</v>
      </c>
      <c r="D204" s="9"/>
      <c r="E204" s="9"/>
      <c r="F204" s="9"/>
      <c r="G204" s="9"/>
      <c r="H204" s="9"/>
    </row>
    <row r="205" spans="1:8" x14ac:dyDescent="0.3">
      <c r="A205" s="10" t="s">
        <v>1380</v>
      </c>
      <c r="B205" s="10" t="s">
        <v>974</v>
      </c>
      <c r="C205" s="10" t="s">
        <v>975</v>
      </c>
      <c r="D205" s="9"/>
      <c r="E205" s="9"/>
      <c r="F205" s="9"/>
      <c r="G205" s="9"/>
      <c r="H205" s="9"/>
    </row>
    <row r="206" spans="1:8" x14ac:dyDescent="0.3">
      <c r="A206" s="10" t="s">
        <v>1381</v>
      </c>
      <c r="B206" s="10" t="s">
        <v>976</v>
      </c>
      <c r="C206" s="10" t="s">
        <v>977</v>
      </c>
      <c r="D206" s="9"/>
      <c r="E206" s="9"/>
      <c r="F206" s="9"/>
      <c r="G206" s="9"/>
      <c r="H206" s="9"/>
    </row>
    <row r="207" spans="1:8" x14ac:dyDescent="0.3">
      <c r="A207" s="10" t="s">
        <v>1382</v>
      </c>
      <c r="B207" s="10" t="s">
        <v>978</v>
      </c>
      <c r="C207" s="10" t="s">
        <v>979</v>
      </c>
      <c r="D207" s="9"/>
      <c r="E207" s="9"/>
      <c r="F207" s="9"/>
      <c r="G207" s="9"/>
      <c r="H207" s="9"/>
    </row>
    <row r="208" spans="1:8" x14ac:dyDescent="0.3">
      <c r="A208" s="10" t="s">
        <v>1383</v>
      </c>
      <c r="B208" s="10" t="s">
        <v>980</v>
      </c>
      <c r="C208" s="10" t="s">
        <v>981</v>
      </c>
      <c r="D208" s="9"/>
      <c r="E208" s="9"/>
      <c r="F208" s="9"/>
      <c r="G208" s="9"/>
      <c r="H208" s="9"/>
    </row>
    <row r="209" spans="1:8" x14ac:dyDescent="0.3">
      <c r="A209" s="10" t="s">
        <v>1384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1385</v>
      </c>
      <c r="B210" s="10" t="s">
        <v>982</v>
      </c>
      <c r="C210" s="10" t="s">
        <v>983</v>
      </c>
      <c r="D210" s="9"/>
      <c r="E210" s="9"/>
      <c r="F210" s="9"/>
      <c r="G210" s="9"/>
      <c r="H210" s="9"/>
    </row>
    <row r="211" spans="1:8" x14ac:dyDescent="0.3">
      <c r="A211" s="10" t="s">
        <v>1386</v>
      </c>
      <c r="B211" s="10" t="s">
        <v>984</v>
      </c>
      <c r="C211" s="10" t="s">
        <v>985</v>
      </c>
      <c r="D211" s="9"/>
      <c r="E211" s="9"/>
      <c r="F211" s="9"/>
      <c r="G211" s="9"/>
      <c r="H211" s="9"/>
    </row>
    <row r="212" spans="1:8" x14ac:dyDescent="0.3">
      <c r="A212" s="10" t="s">
        <v>1387</v>
      </c>
      <c r="B212" s="10" t="s">
        <v>986</v>
      </c>
      <c r="C212" s="10" t="s">
        <v>987</v>
      </c>
      <c r="D212" s="9"/>
      <c r="E212" s="9"/>
      <c r="F212" s="9"/>
      <c r="G212" s="9"/>
      <c r="H212" s="9"/>
    </row>
    <row r="213" spans="1:8" x14ac:dyDescent="0.3">
      <c r="A213" s="10" t="s">
        <v>1388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1389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1390</v>
      </c>
      <c r="B215" s="10" t="s">
        <v>988</v>
      </c>
      <c r="C215" s="10" t="s">
        <v>989</v>
      </c>
      <c r="D215" s="9"/>
      <c r="E215" s="9"/>
      <c r="F215" s="9"/>
      <c r="G215" s="9"/>
      <c r="H215" s="9"/>
    </row>
    <row r="216" spans="1:8" x14ac:dyDescent="0.3">
      <c r="A216" s="10" t="s">
        <v>1391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1392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1393</v>
      </c>
      <c r="B218" s="10" t="s">
        <v>990</v>
      </c>
      <c r="C218" s="10" t="s">
        <v>991</v>
      </c>
      <c r="D218" s="9"/>
      <c r="E218" s="9"/>
      <c r="F218" s="9"/>
      <c r="G218" s="9"/>
      <c r="H218" s="9"/>
    </row>
    <row r="219" spans="1:8" x14ac:dyDescent="0.3">
      <c r="A219" s="10" t="s">
        <v>1394</v>
      </c>
      <c r="B219" s="10" t="s">
        <v>992</v>
      </c>
      <c r="C219" s="10" t="s">
        <v>993</v>
      </c>
      <c r="D219" s="9"/>
      <c r="E219" s="9"/>
      <c r="F219" s="9"/>
      <c r="G219" s="9"/>
      <c r="H219" s="9"/>
    </row>
    <row r="220" spans="1:8" x14ac:dyDescent="0.3">
      <c r="A220" s="10" t="s">
        <v>1395</v>
      </c>
      <c r="B220" s="10" t="s">
        <v>994</v>
      </c>
      <c r="C220" s="10" t="s">
        <v>995</v>
      </c>
      <c r="D220" s="9"/>
      <c r="E220" s="9"/>
      <c r="F220" s="9"/>
      <c r="G220" s="9"/>
      <c r="H220" s="9"/>
    </row>
    <row r="221" spans="1:8" x14ac:dyDescent="0.3">
      <c r="A221" s="10" t="s">
        <v>1396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1397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1398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1399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1400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1401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1402</v>
      </c>
      <c r="B227" s="10" t="s">
        <v>997</v>
      </c>
      <c r="C227" s="10" t="s">
        <v>998</v>
      </c>
      <c r="D227" s="9"/>
      <c r="E227" s="9"/>
      <c r="F227" s="9"/>
      <c r="G227" s="9"/>
      <c r="H227" s="9"/>
    </row>
    <row r="228" spans="1:8" x14ac:dyDescent="0.3">
      <c r="A228" s="10" t="s">
        <v>1403</v>
      </c>
      <c r="B228" s="10" t="s">
        <v>999</v>
      </c>
      <c r="C228" s="10" t="s">
        <v>1000</v>
      </c>
      <c r="D228" s="9"/>
      <c r="E228" s="9"/>
      <c r="F228" s="9"/>
      <c r="G228" s="9"/>
      <c r="H228" s="9"/>
    </row>
    <row r="229" spans="1:8" x14ac:dyDescent="0.3">
      <c r="A229" s="10" t="s">
        <v>1404</v>
      </c>
      <c r="B229" s="9" t="s">
        <v>1001</v>
      </c>
      <c r="C229" s="10" t="s">
        <v>1002</v>
      </c>
      <c r="D229" s="9"/>
      <c r="E229" s="9"/>
      <c r="F229" s="9"/>
      <c r="G229" s="9"/>
      <c r="H229" s="9"/>
    </row>
    <row r="230" spans="1:8" x14ac:dyDescent="0.3">
      <c r="A230" s="10" t="s">
        <v>1405</v>
      </c>
      <c r="B230" s="9" t="s">
        <v>1003</v>
      </c>
      <c r="C230" s="10" t="s">
        <v>1004</v>
      </c>
      <c r="D230" s="9"/>
      <c r="E230" s="9"/>
      <c r="F230" s="9"/>
      <c r="G230" s="9"/>
      <c r="H230" s="9"/>
    </row>
    <row r="231" spans="1:8" x14ac:dyDescent="0.3">
      <c r="A231" s="10" t="s">
        <v>1406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1407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1408</v>
      </c>
      <c r="B233" s="9" t="s">
        <v>1005</v>
      </c>
      <c r="C233" s="292" t="s">
        <v>1006</v>
      </c>
      <c r="D233" s="9"/>
      <c r="E233" s="9"/>
      <c r="F233" s="9"/>
      <c r="G233" s="9"/>
      <c r="H233" s="9"/>
    </row>
    <row r="234" spans="1:8" x14ac:dyDescent="0.3">
      <c r="A234" s="10" t="s">
        <v>1409</v>
      </c>
      <c r="B234" s="10" t="s">
        <v>1007</v>
      </c>
      <c r="C234" s="10" t="s">
        <v>1008</v>
      </c>
      <c r="D234" s="9"/>
      <c r="E234" s="9"/>
      <c r="F234" s="9"/>
      <c r="G234" s="9"/>
      <c r="H234" s="9"/>
    </row>
    <row r="235" spans="1:8" x14ac:dyDescent="0.3">
      <c r="A235" s="10" t="s">
        <v>1410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1411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1412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1413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1414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1415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1416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1417</v>
      </c>
      <c r="B242" s="10" t="s">
        <v>1418</v>
      </c>
      <c r="C242" s="10" t="s">
        <v>1419</v>
      </c>
      <c r="D242" s="9"/>
      <c r="E242" s="9"/>
      <c r="F242" s="9"/>
      <c r="G242" s="9"/>
      <c r="H242" s="9"/>
    </row>
    <row r="243" spans="1:8" x14ac:dyDescent="0.3">
      <c r="A243" s="10" t="s">
        <v>1420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1421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1422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1423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1424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1425</v>
      </c>
      <c r="B248" s="10" t="s">
        <v>1009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1426</v>
      </c>
      <c r="B249" s="10" t="s">
        <v>1010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1427</v>
      </c>
      <c r="B250" s="10" t="s">
        <v>1011</v>
      </c>
      <c r="C250" s="10" t="s">
        <v>1012</v>
      </c>
      <c r="D250" s="9"/>
      <c r="E250" s="9"/>
      <c r="F250" s="9"/>
      <c r="G250" s="9"/>
      <c r="H250" s="9"/>
    </row>
    <row r="251" spans="1:8" x14ac:dyDescent="0.3">
      <c r="A251" s="10" t="s">
        <v>1428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1429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1430</v>
      </c>
      <c r="B253" s="10" t="s">
        <v>1013</v>
      </c>
      <c r="C253" s="10" t="s">
        <v>1014</v>
      </c>
      <c r="D253" s="9"/>
      <c r="E253" s="9"/>
      <c r="F253" s="9"/>
      <c r="G253" s="9"/>
      <c r="H253" s="9"/>
    </row>
    <row r="254" spans="1:8" x14ac:dyDescent="0.3">
      <c r="A254" s="10" t="s">
        <v>1431</v>
      </c>
      <c r="B254" s="10" t="s">
        <v>1015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1432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1433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1434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1435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1436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1437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1438</v>
      </c>
      <c r="B261" t="s">
        <v>1016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1439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1440</v>
      </c>
      <c r="B263" s="10" t="s">
        <v>1441</v>
      </c>
      <c r="C263" s="10" t="s">
        <v>1442</v>
      </c>
      <c r="D263" s="9"/>
      <c r="E263" s="9"/>
      <c r="F263" s="9"/>
      <c r="G263" s="9"/>
      <c r="H263" s="9"/>
    </row>
    <row r="264" spans="1:8" x14ac:dyDescent="0.3">
      <c r="A264" s="10" t="s">
        <v>1443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1444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1445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1446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1447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1448</v>
      </c>
      <c r="B269" s="10" t="s">
        <v>1017</v>
      </c>
      <c r="C269" s="10" t="s">
        <v>1018</v>
      </c>
      <c r="D269" s="9"/>
      <c r="E269" s="9"/>
      <c r="F269" s="9"/>
      <c r="G269" s="9"/>
      <c r="H269" s="9"/>
    </row>
    <row r="270" spans="1:8" x14ac:dyDescent="0.3">
      <c r="A270" s="10" t="s">
        <v>1449</v>
      </c>
      <c r="B270" s="10" t="s">
        <v>1450</v>
      </c>
      <c r="C270" s="10" t="s">
        <v>1451</v>
      </c>
      <c r="D270" s="9"/>
      <c r="E270" s="9"/>
      <c r="F270" s="9"/>
      <c r="G270" s="9"/>
      <c r="H270" s="9"/>
    </row>
    <row r="271" spans="1:8" x14ac:dyDescent="0.3">
      <c r="A271" s="10" t="s">
        <v>1452</v>
      </c>
      <c r="B271" s="10" t="s">
        <v>1453</v>
      </c>
      <c r="C271" s="10" t="s">
        <v>1454</v>
      </c>
      <c r="D271" s="9"/>
      <c r="E271" s="9"/>
      <c r="F271" s="9"/>
      <c r="G271" s="9"/>
      <c r="H271" s="9"/>
    </row>
    <row r="272" spans="1:8" x14ac:dyDescent="0.3">
      <c r="A272" s="10" t="s">
        <v>1455</v>
      </c>
      <c r="B272" s="10" t="s">
        <v>1456</v>
      </c>
      <c r="C272" s="10" t="s">
        <v>1019</v>
      </c>
      <c r="D272" s="9"/>
      <c r="E272" s="9"/>
      <c r="F272" s="9"/>
      <c r="G272" s="9"/>
      <c r="H272" s="9"/>
    </row>
    <row r="273" spans="1:8" x14ac:dyDescent="0.3">
      <c r="A273" s="10" t="s">
        <v>1457</v>
      </c>
      <c r="B273" s="10" t="s">
        <v>1458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1459</v>
      </c>
      <c r="B274" s="10" t="s">
        <v>1020</v>
      </c>
      <c r="C274" s="10" t="s">
        <v>1021</v>
      </c>
      <c r="D274" s="9"/>
      <c r="E274" s="9"/>
      <c r="F274" s="9"/>
      <c r="G274" s="9"/>
      <c r="H274" s="9"/>
    </row>
    <row r="275" spans="1:8" x14ac:dyDescent="0.3">
      <c r="A275" s="10" t="s">
        <v>1460</v>
      </c>
      <c r="B275" s="10" t="s">
        <v>1022</v>
      </c>
      <c r="C275" s="10" t="s">
        <v>1023</v>
      </c>
      <c r="D275" s="9"/>
      <c r="E275" s="9"/>
      <c r="F275" s="9"/>
      <c r="G275" s="9"/>
      <c r="H275" s="9"/>
    </row>
    <row r="276" spans="1:8" x14ac:dyDescent="0.3">
      <c r="A276" s="10" t="s">
        <v>1461</v>
      </c>
      <c r="B276" s="10" t="s">
        <v>100</v>
      </c>
      <c r="C276" s="10" t="s">
        <v>1462</v>
      </c>
      <c r="D276" s="9"/>
      <c r="E276" s="9"/>
      <c r="F276" s="9"/>
      <c r="G276" s="9"/>
      <c r="H276" s="9"/>
    </row>
    <row r="277" spans="1:8" x14ac:dyDescent="0.3">
      <c r="A277" s="10" t="s">
        <v>1463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1464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1465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1466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1467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1468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1469</v>
      </c>
      <c r="B283" s="293" t="s">
        <v>1024</v>
      </c>
      <c r="C283" s="10" t="s">
        <v>1025</v>
      </c>
      <c r="D283" s="9"/>
      <c r="E283" s="9"/>
      <c r="F283" s="9"/>
      <c r="G283" s="9"/>
      <c r="H283" s="9"/>
    </row>
    <row r="284" spans="1:8" x14ac:dyDescent="0.3">
      <c r="A284" s="10" t="s">
        <v>1470</v>
      </c>
      <c r="B284" s="293" t="s">
        <v>1026</v>
      </c>
      <c r="C284" s="10" t="s">
        <v>1027</v>
      </c>
      <c r="D284" s="9"/>
      <c r="E284" s="9"/>
      <c r="F284" s="9"/>
      <c r="G284" s="9"/>
      <c r="H284" s="9"/>
    </row>
    <row r="285" spans="1:8" x14ac:dyDescent="0.3">
      <c r="A285" s="10" t="s">
        <v>1471</v>
      </c>
      <c r="B285" s="293" t="s">
        <v>1028</v>
      </c>
      <c r="C285" s="10" t="s">
        <v>1029</v>
      </c>
      <c r="D285" s="9"/>
      <c r="E285" s="9"/>
      <c r="F285" s="9"/>
      <c r="G285" s="9"/>
      <c r="H285" s="9"/>
    </row>
    <row r="286" spans="1:8" x14ac:dyDescent="0.3">
      <c r="A286" s="10" t="s">
        <v>1472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1473</v>
      </c>
      <c r="B287" s="10" t="s">
        <v>1474</v>
      </c>
      <c r="C287" s="10" t="s">
        <v>1475</v>
      </c>
      <c r="D287" s="9"/>
      <c r="E287" s="9"/>
      <c r="F287" s="9"/>
      <c r="G287" s="9"/>
      <c r="H287" s="9"/>
    </row>
    <row r="288" spans="1:8" x14ac:dyDescent="0.3">
      <c r="A288" s="10" t="s">
        <v>1476</v>
      </c>
      <c r="B288" s="10" t="s">
        <v>1030</v>
      </c>
      <c r="C288" s="10" t="s">
        <v>1031</v>
      </c>
      <c r="D288" s="9"/>
      <c r="E288" s="9"/>
      <c r="F288" s="9"/>
      <c r="G288" s="9"/>
      <c r="H288" s="9"/>
    </row>
    <row r="289" spans="1:8" x14ac:dyDescent="0.3">
      <c r="A289" s="10" t="s">
        <v>1477</v>
      </c>
      <c r="B289" s="10" t="s">
        <v>1478</v>
      </c>
      <c r="C289" s="10" t="s">
        <v>1479</v>
      </c>
      <c r="D289" s="9"/>
      <c r="E289" s="9"/>
      <c r="F289" s="9"/>
      <c r="G289" s="9"/>
      <c r="H289" s="9"/>
    </row>
    <row r="290" spans="1:8" x14ac:dyDescent="0.3">
      <c r="A290" s="10" t="s">
        <v>1480</v>
      </c>
      <c r="B290" s="10" t="s">
        <v>1032</v>
      </c>
      <c r="C290" s="10" t="s">
        <v>1033</v>
      </c>
      <c r="D290" s="9"/>
      <c r="E290" s="9"/>
      <c r="F290" s="9"/>
      <c r="G290" s="9"/>
      <c r="H290" s="9"/>
    </row>
    <row r="291" spans="1:8" x14ac:dyDescent="0.3">
      <c r="A291" s="10" t="s">
        <v>1481</v>
      </c>
      <c r="B291" s="10" t="s">
        <v>1034</v>
      </c>
      <c r="C291" s="10" t="s">
        <v>1035</v>
      </c>
      <c r="D291" s="9"/>
      <c r="E291" s="9"/>
      <c r="F291" s="9"/>
      <c r="G291" s="9"/>
      <c r="H291" s="9"/>
    </row>
    <row r="292" spans="1:8" x14ac:dyDescent="0.3">
      <c r="A292" s="10" t="s">
        <v>1482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1483</v>
      </c>
      <c r="B293" s="10" t="s">
        <v>1036</v>
      </c>
      <c r="C293" s="10" t="s">
        <v>909</v>
      </c>
      <c r="D293" s="9"/>
      <c r="E293" s="9"/>
      <c r="F293" s="9"/>
      <c r="G293" s="9"/>
      <c r="H293" s="9"/>
    </row>
    <row r="294" spans="1:8" x14ac:dyDescent="0.3">
      <c r="A294" s="10" t="s">
        <v>1484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1485</v>
      </c>
      <c r="B295" s="9" t="s">
        <v>1486</v>
      </c>
      <c r="C295" s="10" t="s">
        <v>1487</v>
      </c>
      <c r="D295" s="9"/>
      <c r="E295" s="9"/>
      <c r="F295" s="9"/>
      <c r="G295" s="9"/>
      <c r="H295" s="9"/>
    </row>
    <row r="296" spans="1:8" x14ac:dyDescent="0.3">
      <c r="A296" s="10" t="s">
        <v>1488</v>
      </c>
      <c r="B296" s="9" t="s">
        <v>1037</v>
      </c>
      <c r="C296" s="10" t="s">
        <v>1038</v>
      </c>
      <c r="D296" s="9"/>
      <c r="E296" s="9"/>
      <c r="F296" s="9"/>
      <c r="G296" s="9"/>
      <c r="H296" s="9"/>
    </row>
    <row r="297" spans="1:8" x14ac:dyDescent="0.3">
      <c r="A297" s="10" t="s">
        <v>1489</v>
      </c>
      <c r="B297" s="9" t="s">
        <v>1490</v>
      </c>
      <c r="C297" s="10" t="s">
        <v>1491</v>
      </c>
      <c r="D297" s="9"/>
      <c r="E297" s="9"/>
      <c r="F297" s="9"/>
      <c r="G297" s="9"/>
      <c r="H297" s="9"/>
    </row>
    <row r="298" spans="1:8" x14ac:dyDescent="0.3">
      <c r="A298" s="10" t="s">
        <v>1492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1493</v>
      </c>
      <c r="B299" s="11" t="s">
        <v>1039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1494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1495</v>
      </c>
      <c r="B301" s="10" t="s">
        <v>1040</v>
      </c>
      <c r="C301" s="10" t="s">
        <v>1041</v>
      </c>
      <c r="D301" s="9"/>
      <c r="E301" s="9"/>
      <c r="F301" s="9"/>
      <c r="G301" s="9"/>
      <c r="H301" s="9"/>
    </row>
    <row r="302" spans="1:8" x14ac:dyDescent="0.3">
      <c r="A302" s="10" t="s">
        <v>1496</v>
      </c>
      <c r="B302" s="10" t="s">
        <v>1042</v>
      </c>
      <c r="C302" s="10" t="s">
        <v>1043</v>
      </c>
      <c r="D302" s="9"/>
      <c r="E302" s="9"/>
      <c r="F302" s="9"/>
      <c r="G302" s="9"/>
      <c r="H302" s="9"/>
    </row>
    <row r="303" spans="1:8" x14ac:dyDescent="0.3">
      <c r="A303" s="10" t="s">
        <v>1497</v>
      </c>
      <c r="B303" s="10" t="s">
        <v>1044</v>
      </c>
      <c r="C303" s="10" t="s">
        <v>1045</v>
      </c>
      <c r="D303" s="9"/>
      <c r="E303" s="9"/>
      <c r="F303" s="9"/>
      <c r="G303" s="9"/>
      <c r="H303" s="9"/>
    </row>
    <row r="304" spans="1:8" x14ac:dyDescent="0.3">
      <c r="A304" s="10" t="s">
        <v>1498</v>
      </c>
      <c r="B304" s="10" t="s">
        <v>1046</v>
      </c>
      <c r="C304" s="10" t="s">
        <v>1047</v>
      </c>
      <c r="D304" s="9"/>
      <c r="E304" s="9"/>
      <c r="F304" s="9"/>
      <c r="G304" s="9"/>
      <c r="H304" s="9"/>
    </row>
    <row r="305" spans="1:8" x14ac:dyDescent="0.3">
      <c r="A305" s="10" t="s">
        <v>1499</v>
      </c>
      <c r="B305" s="10" t="s">
        <v>1500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1501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1502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1503</v>
      </c>
      <c r="B308" s="10" t="s">
        <v>1048</v>
      </c>
      <c r="C308" s="10" t="s">
        <v>1049</v>
      </c>
      <c r="D308" s="9"/>
      <c r="E308" s="9"/>
      <c r="F308" s="9"/>
      <c r="G308" s="9"/>
      <c r="H308" s="9"/>
    </row>
    <row r="309" spans="1:8" x14ac:dyDescent="0.3">
      <c r="A309" s="10" t="s">
        <v>1050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1051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1052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1053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1054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1055</v>
      </c>
      <c r="B314" s="10" t="s">
        <v>1056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1057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1058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1059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1060</v>
      </c>
      <c r="B318" s="10" t="s">
        <v>1061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1062</v>
      </c>
      <c r="B319" s="10" t="s">
        <v>1063</v>
      </c>
      <c r="C319" s="10" t="s">
        <v>834</v>
      </c>
      <c r="D319" s="9"/>
      <c r="E319" s="9"/>
      <c r="F319" s="9"/>
      <c r="G319" s="9"/>
      <c r="H319" s="9"/>
    </row>
    <row r="320" spans="1:8" x14ac:dyDescent="0.3">
      <c r="A320" s="10" t="s">
        <v>1064</v>
      </c>
      <c r="B320" s="10" t="s">
        <v>1065</v>
      </c>
      <c r="C320" s="10" t="s">
        <v>1066</v>
      </c>
      <c r="D320" s="9"/>
      <c r="E320" s="9"/>
      <c r="F320" s="9"/>
      <c r="G320" s="9"/>
      <c r="H320" s="9"/>
    </row>
    <row r="321" spans="1:8" x14ac:dyDescent="0.3">
      <c r="A321" s="10" t="s">
        <v>1067</v>
      </c>
      <c r="B321" s="10" t="s">
        <v>1068</v>
      </c>
      <c r="C321" s="10" t="s">
        <v>1069</v>
      </c>
      <c r="D321" s="9"/>
      <c r="E321" s="9"/>
      <c r="F321" s="9"/>
      <c r="G321" s="9"/>
      <c r="H321" s="9"/>
    </row>
    <row r="322" spans="1:8" x14ac:dyDescent="0.3">
      <c r="A322" s="10" t="s">
        <v>1070</v>
      </c>
      <c r="B322" s="291" t="s">
        <v>1071</v>
      </c>
      <c r="C322" s="287" t="s">
        <v>1072</v>
      </c>
      <c r="D322" s="9"/>
      <c r="E322" s="9"/>
      <c r="F322" s="9"/>
      <c r="G322" s="9"/>
      <c r="H322" s="9"/>
    </row>
    <row r="323" spans="1:8" x14ac:dyDescent="0.3">
      <c r="A323" s="10" t="s">
        <v>1073</v>
      </c>
      <c r="B323" s="291" t="s">
        <v>1074</v>
      </c>
      <c r="C323" s="287" t="s">
        <v>1075</v>
      </c>
      <c r="D323" s="9"/>
      <c r="E323" s="9"/>
      <c r="F323" s="9"/>
      <c r="G323" s="9"/>
      <c r="H323" s="9"/>
    </row>
    <row r="324" spans="1:8" x14ac:dyDescent="0.3">
      <c r="A324" s="10" t="s">
        <v>1076</v>
      </c>
      <c r="B324" s="291" t="s">
        <v>1077</v>
      </c>
      <c r="C324" s="287" t="s">
        <v>1078</v>
      </c>
      <c r="D324" s="9"/>
      <c r="E324" s="9"/>
      <c r="F324" s="9"/>
      <c r="G324" s="9"/>
      <c r="H324" s="9"/>
    </row>
    <row r="325" spans="1:8" x14ac:dyDescent="0.3">
      <c r="A325" s="10" t="s">
        <v>1079</v>
      </c>
      <c r="B325" s="291" t="s">
        <v>1080</v>
      </c>
      <c r="C325" s="287" t="s">
        <v>1081</v>
      </c>
      <c r="D325" s="9"/>
      <c r="E325" s="9"/>
      <c r="F325" s="9"/>
      <c r="G325" s="9"/>
      <c r="H325" s="9"/>
    </row>
    <row r="326" spans="1:8" x14ac:dyDescent="0.3">
      <c r="A326" s="10" t="s">
        <v>1082</v>
      </c>
      <c r="B326" s="10" t="s">
        <v>59</v>
      </c>
      <c r="C326" s="10" t="s">
        <v>1083</v>
      </c>
      <c r="D326" s="9"/>
      <c r="E326" s="9"/>
      <c r="F326" s="9"/>
      <c r="G326" s="9"/>
      <c r="H326" s="9"/>
    </row>
    <row r="327" spans="1:8" x14ac:dyDescent="0.3">
      <c r="A327" s="10" t="s">
        <v>1084</v>
      </c>
      <c r="B327" s="10" t="s">
        <v>58</v>
      </c>
      <c r="C327" s="10" t="s">
        <v>1085</v>
      </c>
      <c r="D327" s="9"/>
      <c r="E327" s="9"/>
      <c r="F327" s="9"/>
      <c r="G327" s="9"/>
      <c r="H327" s="9"/>
    </row>
    <row r="328" spans="1:8" x14ac:dyDescent="0.3">
      <c r="A328" s="10" t="s">
        <v>1086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1087</v>
      </c>
      <c r="B329" s="10" t="s">
        <v>1088</v>
      </c>
      <c r="C329" s="294" t="s">
        <v>1089</v>
      </c>
      <c r="D329" s="9"/>
      <c r="E329" s="9"/>
      <c r="F329" s="9"/>
      <c r="G329" s="9"/>
      <c r="H329" s="9"/>
    </row>
    <row r="330" spans="1:8" x14ac:dyDescent="0.3">
      <c r="A330" s="10" t="s">
        <v>1090</v>
      </c>
      <c r="B330" s="10" t="s">
        <v>1091</v>
      </c>
      <c r="C330" s="294" t="s">
        <v>1092</v>
      </c>
      <c r="D330" s="9"/>
      <c r="E330" s="9"/>
      <c r="F330" s="9"/>
      <c r="G330" s="9"/>
      <c r="H330" s="9"/>
    </row>
    <row r="331" spans="1:8" x14ac:dyDescent="0.3">
      <c r="A331" s="10" t="s">
        <v>1093</v>
      </c>
      <c r="B331" s="10" t="s">
        <v>1094</v>
      </c>
      <c r="C331" s="294" t="s">
        <v>1095</v>
      </c>
      <c r="D331" s="9"/>
      <c r="E331" s="9"/>
      <c r="F331" s="9"/>
      <c r="G331" s="9"/>
      <c r="H331" s="9"/>
    </row>
    <row r="332" spans="1:8" x14ac:dyDescent="0.3">
      <c r="A332" s="10" t="s">
        <v>1096</v>
      </c>
      <c r="B332" s="10" t="s">
        <v>55</v>
      </c>
      <c r="C332" s="10" t="s">
        <v>54</v>
      </c>
    </row>
    <row r="333" spans="1:8" x14ac:dyDescent="0.3">
      <c r="A333" s="10" t="s">
        <v>1097</v>
      </c>
      <c r="B333" s="10" t="s">
        <v>1098</v>
      </c>
      <c r="C333" s="10" t="s">
        <v>1004</v>
      </c>
    </row>
    <row r="334" spans="1:8" x14ac:dyDescent="0.3">
      <c r="A334" s="10" t="s">
        <v>1099</v>
      </c>
      <c r="B334" s="10" t="s">
        <v>1100</v>
      </c>
      <c r="C334" s="10" t="s">
        <v>1101</v>
      </c>
    </row>
    <row r="335" spans="1:8" x14ac:dyDescent="0.3">
      <c r="A335" s="10" t="s">
        <v>1102</v>
      </c>
      <c r="B335" s="10" t="s">
        <v>1103</v>
      </c>
      <c r="C335" s="10" t="s">
        <v>1104</v>
      </c>
    </row>
    <row r="336" spans="1:8" x14ac:dyDescent="0.3">
      <c r="A336" s="10" t="s">
        <v>1105</v>
      </c>
      <c r="B336" s="10" t="s">
        <v>53</v>
      </c>
      <c r="C336" s="10" t="s">
        <v>52</v>
      </c>
    </row>
    <row r="337" spans="1:3" x14ac:dyDescent="0.3">
      <c r="A337" s="10" t="s">
        <v>1106</v>
      </c>
      <c r="B337" s="10" t="s">
        <v>1107</v>
      </c>
      <c r="C337" s="10" t="s">
        <v>1108</v>
      </c>
    </row>
    <row r="338" spans="1:3" x14ac:dyDescent="0.3">
      <c r="A338" s="10" t="s">
        <v>1109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2024-07-10T16:56:38Z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