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93D0E6D9-8C9C-409C-A7A0-219A514F8DA0}" xr6:coauthVersionLast="47" xr6:coauthVersionMax="47" xr10:uidLastSave="{00000000-0000-0000-0000-000000000000}"/>
  <bookViews>
    <workbookView xWindow="-108" yWindow="-108" windowWidth="30936" windowHeight="16776" tabRatio="887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3" i="14"/>
  <c r="F43" i="9"/>
  <c r="F44" i="9" s="1"/>
  <c r="E16" i="9"/>
  <c r="N11" i="11"/>
  <c r="N11" i="14"/>
  <c r="A84" i="11"/>
  <c r="A119" i="14"/>
  <c r="I126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F38" i="14" s="1"/>
  <c r="W26" i="10"/>
  <c r="D49" i="10" s="1"/>
  <c r="F39" i="14" s="1"/>
  <c r="W27" i="10"/>
  <c r="D50" i="10" s="1"/>
  <c r="F40" i="14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8" i="8"/>
  <c r="C80" i="8" s="1"/>
  <c r="C44" i="8"/>
  <c r="C26" i="8"/>
  <c r="C29" i="8" s="1"/>
  <c r="K29" i="8" s="1"/>
  <c r="K85" i="8"/>
  <c r="K77" i="8"/>
  <c r="K69" i="8"/>
  <c r="K81" i="8"/>
  <c r="K88" i="8"/>
  <c r="K87" i="8"/>
  <c r="K84" i="8"/>
  <c r="K76" i="8"/>
  <c r="K73" i="8"/>
  <c r="K83" i="8"/>
  <c r="K75" i="8"/>
  <c r="K82" i="8"/>
  <c r="K89" i="8"/>
  <c r="K68" i="8"/>
  <c r="K72" i="8"/>
  <c r="K79" i="8"/>
  <c r="K86" i="8"/>
  <c r="K78" i="8"/>
  <c r="K70" i="8"/>
  <c r="K74" i="8"/>
  <c r="K80" i="8"/>
  <c r="K71" i="8"/>
  <c r="O26" i="10"/>
  <c r="P15" i="10"/>
  <c r="G16" i="9" s="1"/>
  <c r="O11" i="9"/>
  <c r="P17" i="10" l="1"/>
  <c r="I16" i="9" s="1"/>
  <c r="P23" i="10"/>
  <c r="O16" i="9" s="1"/>
  <c r="O24" i="10"/>
  <c r="P18" i="10"/>
  <c r="J16" i="9" s="1"/>
  <c r="O23" i="10"/>
  <c r="O16" i="10"/>
  <c r="O21" i="10"/>
  <c r="P21" i="10"/>
  <c r="M16" i="9" s="1"/>
  <c r="L11" i="10"/>
  <c r="K26" i="8"/>
  <c r="C45" i="8"/>
  <c r="K45" i="8" s="1"/>
  <c r="K44" i="8"/>
  <c r="C66" i="8"/>
  <c r="K66" i="8" s="1"/>
  <c r="C61" i="8"/>
  <c r="K61" i="8" s="1"/>
  <c r="C62" i="8"/>
  <c r="K62" i="8" s="1"/>
  <c r="C60" i="8"/>
  <c r="K60" i="8" s="1"/>
  <c r="C64" i="8"/>
  <c r="K64" i="8" s="1"/>
  <c r="C59" i="8"/>
  <c r="K59" i="8" s="1"/>
  <c r="C63" i="8"/>
  <c r="K63" i="8" s="1"/>
  <c r="E37" i="10"/>
  <c r="L27" i="14" s="1"/>
  <c r="AB33" i="10"/>
  <c r="AI25" i="10"/>
  <c r="C11" i="10"/>
  <c r="K37" i="10"/>
  <c r="AC5" i="9"/>
  <c r="F37" i="10"/>
  <c r="R27" i="11" s="1"/>
  <c r="W7" i="10"/>
  <c r="X6" i="10"/>
  <c r="Y6" i="10"/>
  <c r="C91" i="8"/>
  <c r="K91" i="8" s="1"/>
  <c r="O27" i="10"/>
  <c r="P19" i="10"/>
  <c r="K16" i="9" s="1"/>
  <c r="P29" i="10"/>
  <c r="P25" i="10"/>
  <c r="P28" i="10"/>
  <c r="O25" i="10"/>
  <c r="O29" i="10"/>
  <c r="P26" i="10"/>
  <c r="O22" i="10"/>
  <c r="C36" i="8"/>
  <c r="K36" i="8" s="1"/>
  <c r="P27" i="10"/>
  <c r="O15" i="10"/>
  <c r="O20" i="10"/>
  <c r="O17" i="10"/>
  <c r="P22" i="10"/>
  <c r="P16" i="10"/>
  <c r="H16" i="9" s="1"/>
  <c r="O19" i="10"/>
  <c r="P24" i="10"/>
  <c r="P16" i="9" s="1"/>
  <c r="P34" i="9" s="1"/>
  <c r="O18" i="10"/>
  <c r="C37" i="8"/>
  <c r="K37" i="8" s="1"/>
  <c r="P20" i="10"/>
  <c r="L16" i="9" s="1"/>
  <c r="C41" i="8"/>
  <c r="K41" i="8" s="1"/>
  <c r="E7" i="10"/>
  <c r="Q19" i="10" s="1"/>
  <c r="I18" i="2"/>
  <c r="AI2" i="10"/>
  <c r="AI14" i="10"/>
  <c r="AI36" i="10"/>
  <c r="AI47" i="10"/>
  <c r="AI58" i="10"/>
  <c r="W33" i="10"/>
  <c r="D8" i="10"/>
  <c r="V6" i="10" s="1"/>
  <c r="G81" i="14"/>
  <c r="C38" i="8"/>
  <c r="K38" i="8" s="1"/>
  <c r="C40" i="8"/>
  <c r="K40" i="8" s="1"/>
  <c r="F27" i="11"/>
  <c r="C30" i="8"/>
  <c r="K30" i="8" s="1"/>
  <c r="U26" i="10"/>
  <c r="V26" i="10" s="1"/>
  <c r="C49" i="10" s="1"/>
  <c r="D39" i="14" s="1"/>
  <c r="Y26" i="10"/>
  <c r="H43" i="10"/>
  <c r="F69" i="14" s="1"/>
  <c r="H38" i="10"/>
  <c r="F64" i="14" s="1"/>
  <c r="C37" i="10"/>
  <c r="D27" i="14" s="1"/>
  <c r="S13" i="10"/>
  <c r="I8" i="2"/>
  <c r="AB27" i="10" s="1"/>
  <c r="C90" i="8"/>
  <c r="K90" i="8" s="1"/>
  <c r="G46" i="11"/>
  <c r="C70" i="8"/>
  <c r="P5" i="10"/>
  <c r="X5" i="10"/>
  <c r="X7" i="10"/>
  <c r="C71" i="8"/>
  <c r="C78" i="8"/>
  <c r="C83" i="8"/>
  <c r="C93" i="8"/>
  <c r="K93" i="8" s="1"/>
  <c r="C84" i="8"/>
  <c r="C89" i="8"/>
  <c r="I13" i="2"/>
  <c r="E81" i="14" s="1"/>
  <c r="H40" i="10"/>
  <c r="F66" i="14" s="1"/>
  <c r="H51" i="10"/>
  <c r="F28" i="11"/>
  <c r="X23" i="10"/>
  <c r="I46" i="10" s="1"/>
  <c r="L72" i="14" s="1"/>
  <c r="H41" i="10"/>
  <c r="F67" i="14" s="1"/>
  <c r="H45" i="10"/>
  <c r="F71" i="14" s="1"/>
  <c r="Y27" i="10"/>
  <c r="D40" i="10"/>
  <c r="F30" i="14" s="1"/>
  <c r="N20" i="14"/>
  <c r="Z27" i="10"/>
  <c r="F31" i="14"/>
  <c r="L27" i="11"/>
  <c r="G52" i="10"/>
  <c r="D51" i="10"/>
  <c r="F41" i="14" s="1"/>
  <c r="C39" i="8"/>
  <c r="K39" i="8" s="1"/>
  <c r="C87" i="8"/>
  <c r="H52" i="10"/>
  <c r="C73" i="8"/>
  <c r="C92" i="8"/>
  <c r="K92" i="8" s="1"/>
  <c r="C72" i="8"/>
  <c r="Z28" i="10"/>
  <c r="N16" i="9"/>
  <c r="C31" i="8"/>
  <c r="K31" i="8" s="1"/>
  <c r="C33" i="8"/>
  <c r="K33" i="8" s="1"/>
  <c r="C27" i="8"/>
  <c r="K27" i="8" s="1"/>
  <c r="C34" i="8"/>
  <c r="K34" i="8" s="1"/>
  <c r="H48" i="10"/>
  <c r="F74" i="14" s="1"/>
  <c r="Y23" i="10"/>
  <c r="C35" i="8"/>
  <c r="K35" i="8" s="1"/>
  <c r="Y28" i="10"/>
  <c r="C43" i="8"/>
  <c r="K43" i="8" s="1"/>
  <c r="C32" i="8"/>
  <c r="K32" i="8" s="1"/>
  <c r="C28" i="8"/>
  <c r="K28" i="8" s="1"/>
  <c r="C42" i="8"/>
  <c r="K42" i="8" s="1"/>
  <c r="AF17" i="10" a="1"/>
  <c r="AN17" i="10" s="1"/>
  <c r="Y25" i="10"/>
  <c r="H47" i="10"/>
  <c r="F73" i="14" s="1"/>
  <c r="U24" i="10"/>
  <c r="AF61" i="10" a="1"/>
  <c r="AM61" i="10" s="1"/>
  <c r="H50" i="10"/>
  <c r="Z29" i="10"/>
  <c r="X29" i="10"/>
  <c r="I52" i="10" s="1"/>
  <c r="H46" i="10"/>
  <c r="F72" i="14" s="1"/>
  <c r="AF39" i="10" a="1"/>
  <c r="AM39" i="10" s="1"/>
  <c r="H44" i="10"/>
  <c r="F70" i="14" s="1"/>
  <c r="Z23" i="10"/>
  <c r="AF28" i="10" a="1"/>
  <c r="AF28" i="10" s="1"/>
  <c r="Z25" i="10"/>
  <c r="Y29" i="10"/>
  <c r="V27" i="10"/>
  <c r="C50" i="10" s="1"/>
  <c r="D40" i="14" s="1"/>
  <c r="C46" i="10"/>
  <c r="D36" i="14" s="1"/>
  <c r="G46" i="10"/>
  <c r="D72" i="14" s="1"/>
  <c r="Q29" i="10"/>
  <c r="AB18" i="10"/>
  <c r="AB17" i="10"/>
  <c r="AB24" i="10"/>
  <c r="AB26" i="10"/>
  <c r="T46" i="11"/>
  <c r="C51" i="10"/>
  <c r="D41" i="14" s="1"/>
  <c r="X28" i="10"/>
  <c r="G51" i="10"/>
  <c r="H49" i="10"/>
  <c r="F75" i="14" s="1"/>
  <c r="P4" i="10"/>
  <c r="P6" i="10"/>
  <c r="C54" i="8"/>
  <c r="K54" i="8" s="1"/>
  <c r="C49" i="8"/>
  <c r="K49" i="8" s="1"/>
  <c r="C46" i="8"/>
  <c r="K46" i="8" s="1"/>
  <c r="C57" i="8"/>
  <c r="K57" i="8" s="1"/>
  <c r="C51" i="8"/>
  <c r="K51" i="8" s="1"/>
  <c r="C50" i="8"/>
  <c r="K50" i="8" s="1"/>
  <c r="C52" i="8"/>
  <c r="K52" i="8" s="1"/>
  <c r="C47" i="8"/>
  <c r="K47" i="8" s="1"/>
  <c r="C67" i="8"/>
  <c r="K67" i="8" s="1"/>
  <c r="C53" i="8"/>
  <c r="K53" i="8" s="1"/>
  <c r="C48" i="8"/>
  <c r="K48" i="8" s="1"/>
  <c r="C65" i="8"/>
  <c r="K65" i="8" s="1"/>
  <c r="C58" i="8"/>
  <c r="K58" i="8" s="1"/>
  <c r="C56" i="8"/>
  <c r="K56" i="8" s="1"/>
  <c r="C55" i="8"/>
  <c r="K55" i="8" s="1"/>
  <c r="X25" i="10"/>
  <c r="C48" i="10"/>
  <c r="D38" i="14" s="1"/>
  <c r="G48" i="10"/>
  <c r="D74" i="14" s="1"/>
  <c r="R27" i="14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74" i="8"/>
  <c r="C69" i="8"/>
  <c r="C75" i="8"/>
  <c r="C88" i="8"/>
  <c r="C82" i="8"/>
  <c r="C86" i="8"/>
  <c r="C85" i="8"/>
  <c r="C79" i="8"/>
  <c r="C81" i="8"/>
  <c r="C76" i="8"/>
  <c r="C77" i="8"/>
  <c r="O12" i="9"/>
  <c r="P10" i="9"/>
  <c r="O10" i="9"/>
  <c r="P12" i="9"/>
  <c r="P11" i="9"/>
  <c r="Q25" i="10" l="1"/>
  <c r="Q22" i="10"/>
  <c r="Q26" i="10"/>
  <c r="AB25" i="10"/>
  <c r="E46" i="11"/>
  <c r="AB29" i="10"/>
  <c r="AB28" i="10"/>
  <c r="AB16" i="10"/>
  <c r="Q28" i="10"/>
  <c r="Q16" i="10"/>
  <c r="G11" i="10"/>
  <c r="Q24" i="10"/>
  <c r="AB19" i="10"/>
  <c r="Q21" i="10"/>
  <c r="AB21" i="10"/>
  <c r="AB22" i="10"/>
  <c r="AB15" i="10"/>
  <c r="AB23" i="10"/>
  <c r="Q15" i="10"/>
  <c r="Q27" i="10"/>
  <c r="Q23" i="10"/>
  <c r="U7" i="10"/>
  <c r="AB20" i="10"/>
  <c r="E80" i="14"/>
  <c r="Q18" i="10"/>
  <c r="K11" i="10"/>
  <c r="Q20" i="10"/>
  <c r="Q17" i="10"/>
  <c r="U6" i="10"/>
  <c r="AA23" i="10"/>
  <c r="AA20" i="10"/>
  <c r="AA27" i="10"/>
  <c r="AA29" i="10"/>
  <c r="AA21" i="10"/>
  <c r="AA15" i="10"/>
  <c r="AA16" i="10"/>
  <c r="D27" i="11"/>
  <c r="AA17" i="10"/>
  <c r="AA22" i="10"/>
  <c r="AA19" i="10"/>
  <c r="AA25" i="10"/>
  <c r="V7" i="10"/>
  <c r="V5" i="10"/>
  <c r="BA7" i="10"/>
  <c r="AA18" i="10"/>
  <c r="AA24" i="10"/>
  <c r="AA28" i="10"/>
  <c r="E47" i="11"/>
  <c r="AA26" i="10"/>
  <c r="U5" i="10"/>
  <c r="P3" i="10"/>
  <c r="T80" i="14"/>
  <c r="F39" i="11"/>
  <c r="AK17" i="10"/>
  <c r="AJ17" i="10"/>
  <c r="X26" i="10"/>
  <c r="E49" i="10" s="1"/>
  <c r="L39" i="14" s="1"/>
  <c r="G49" i="10"/>
  <c r="D75" i="14" s="1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P7" i="10"/>
  <c r="X27" i="10"/>
  <c r="I50" i="10" s="1"/>
  <c r="AG39" i="10"/>
  <c r="F49" i="10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K48" i="10"/>
  <c r="F51" i="10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5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L38" i="14" s="1"/>
  <c r="I48" i="10"/>
  <c r="L74" i="14" s="1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8" i="14"/>
  <c r="E51" i="10"/>
  <c r="L41" i="14" s="1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51" i="10" l="1"/>
  <c r="R41" i="14"/>
  <c r="J46" i="10"/>
  <c r="R72" i="14" s="1"/>
  <c r="R36" i="14"/>
  <c r="J50" i="10"/>
  <c r="R40" i="14"/>
  <c r="J48" i="10"/>
  <c r="R74" i="14" s="1"/>
  <c r="R38" i="14"/>
  <c r="J49" i="10"/>
  <c r="R75" i="14" s="1"/>
  <c r="R39" i="14"/>
  <c r="I49" i="10"/>
  <c r="L75" i="14" s="1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L40" i="14" s="1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3" i="14" s="1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AF24" i="15" l="1"/>
  <c r="K24" i="15"/>
  <c r="Y24" i="15"/>
  <c r="R24" i="15"/>
  <c r="AM51" i="10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3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3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R25" i="15"/>
  <c r="Y25" i="15"/>
  <c r="AF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K25" i="15" l="1"/>
  <c r="U17" i="10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I11" i="9"/>
  <c r="J11" i="9"/>
  <c r="N11" i="9"/>
  <c r="L10" i="9"/>
  <c r="K11" i="9"/>
  <c r="K12" i="9"/>
  <c r="L11" i="9"/>
  <c r="J10" i="9"/>
  <c r="M12" i="9"/>
  <c r="G12" i="9"/>
  <c r="I10" i="9"/>
  <c r="I12" i="9"/>
  <c r="K10" i="9"/>
  <c r="M11" i="9"/>
  <c r="G11" i="9"/>
  <c r="N12" i="9"/>
  <c r="H11" i="9"/>
  <c r="L12" i="9"/>
  <c r="H12" i="9"/>
  <c r="G10" i="9"/>
  <c r="N10" i="9"/>
  <c r="H10" i="9"/>
  <c r="M10" i="9"/>
  <c r="J12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1" i="14" s="1"/>
  <c r="G40" i="10"/>
  <c r="X17" i="10"/>
  <c r="C40" i="10"/>
  <c r="X18" i="10"/>
  <c r="C41" i="10"/>
  <c r="G41" i="10"/>
  <c r="C43" i="10"/>
  <c r="D33" i="14" s="1"/>
  <c r="G43" i="10"/>
  <c r="D69" i="14" s="1"/>
  <c r="X20" i="10"/>
  <c r="G44" i="10"/>
  <c r="D70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1" i="14" s="1"/>
  <c r="K43" i="10"/>
  <c r="L7" i="9"/>
  <c r="L25" i="9" s="1"/>
  <c r="I41" i="10"/>
  <c r="E41" i="10"/>
  <c r="I44" i="10"/>
  <c r="L70" i="14" s="1"/>
  <c r="E44" i="10"/>
  <c r="L34" i="14" s="1"/>
  <c r="E43" i="10"/>
  <c r="L33" i="14" s="1"/>
  <c r="I43" i="10"/>
  <c r="L69" i="14" s="1"/>
  <c r="J19" i="15"/>
  <c r="X19" i="15"/>
  <c r="AE19" i="15"/>
  <c r="D67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6" i="14"/>
  <c r="X18" i="15"/>
  <c r="D41" i="11"/>
  <c r="J45" i="10" l="1"/>
  <c r="R71" i="14" s="1"/>
  <c r="R35" i="14"/>
  <c r="J44" i="10"/>
  <c r="R70" i="14" s="1"/>
  <c r="R34" i="14"/>
  <c r="J43" i="10"/>
  <c r="R69" i="14" s="1"/>
  <c r="R33" i="14"/>
  <c r="F39" i="10"/>
  <c r="J39" i="10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5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4" i="14"/>
  <c r="X16" i="15"/>
  <c r="J16" i="15"/>
  <c r="D39" i="11"/>
  <c r="D32" i="14"/>
  <c r="D32" i="11"/>
  <c r="K42" i="10"/>
  <c r="K7" i="9"/>
  <c r="K25" i="9" s="1"/>
  <c r="Q20" i="15"/>
  <c r="D68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R21" i="15"/>
  <c r="K21" i="15"/>
  <c r="AF21" i="15"/>
  <c r="Y21" i="15"/>
  <c r="M18" i="15"/>
  <c r="L18" i="15"/>
  <c r="L21" i="15"/>
  <c r="M21" i="15"/>
  <c r="Y22" i="15"/>
  <c r="R22" i="15"/>
  <c r="AF22" i="15"/>
  <c r="M22" i="15"/>
  <c r="L22" i="15"/>
  <c r="R23" i="15"/>
  <c r="K23" i="15"/>
  <c r="L30" i="14"/>
  <c r="L30" i="11"/>
  <c r="AG19" i="15"/>
  <c r="AH19" i="15"/>
  <c r="AA23" i="15"/>
  <c r="Z23" i="15"/>
  <c r="T21" i="15"/>
  <c r="S21" i="15"/>
  <c r="T22" i="15"/>
  <c r="S22" i="15"/>
  <c r="L41" i="11"/>
  <c r="L66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7" i="14"/>
  <c r="L42" i="11"/>
  <c r="S23" i="15"/>
  <c r="T23" i="15"/>
  <c r="Y23" i="15" l="1"/>
  <c r="AF23" i="15"/>
  <c r="K22" i="15"/>
  <c r="R29" i="11"/>
  <c r="R29" i="14"/>
  <c r="R30" i="14"/>
  <c r="R39" i="11"/>
  <c r="K16" i="15"/>
  <c r="AF16" i="15"/>
  <c r="R32" i="11"/>
  <c r="R30" i="11"/>
  <c r="R64" i="14"/>
  <c r="R28" i="14"/>
  <c r="Y16" i="15"/>
  <c r="R16" i="15"/>
  <c r="R28" i="11"/>
  <c r="L65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4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8" i="14"/>
  <c r="L43" i="11"/>
  <c r="L32" i="11"/>
  <c r="L32" i="14"/>
  <c r="M20" i="15"/>
  <c r="L20" i="15"/>
  <c r="J41" i="10"/>
  <c r="R67" i="14" s="1"/>
  <c r="R31" i="11"/>
  <c r="R65" i="14"/>
  <c r="R40" i="11"/>
  <c r="AF17" i="15"/>
  <c r="K17" i="15"/>
  <c r="R17" i="15"/>
  <c r="Y17" i="15"/>
  <c r="K18" i="15"/>
  <c r="AF18" i="15"/>
  <c r="R18" i="15"/>
  <c r="R66" i="14"/>
  <c r="Y18" i="15"/>
  <c r="R41" i="11"/>
  <c r="R68" i="14" l="1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<sst xmlns="http://schemas.openxmlformats.org/spreadsheetml/2006/main" count="2125" uniqueCount="1533">
  <si>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</si>
  <si>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</si>
  <si>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</si>
  <si>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</si>
  <si>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</si>
  <si>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</si>
  <si>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</si>
  <si>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</si>
  <si>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</si>
  <si>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</si>
  <si>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</si>
  <si>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</si>
  <si>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</si>
  <si>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</si>
  <si>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</si>
  <si>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</si>
  <si>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</si>
  <si>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</si>
  <si>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</si>
  <si>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</si>
  <si>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</si>
  <si>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</si>
  <si>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</si>
  <si>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</si>
  <si>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</si>
  <si>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</si>
  <si>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</si>
  <si>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</si>
  <si>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</si>
  <si>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</si>
  <si>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</si>
  <si>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</si>
  <si>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</si>
  <si>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</si>
  <si>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</si>
  <si>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</si>
  <si>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</si>
  <si>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</si>
  <si>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</si>
  <si>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</si>
  <si>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</si>
  <si>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</si>
  <si>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</si>
  <si>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</si>
  <si>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</si>
  <si>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</si>
  <si>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</si>
  <si>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</si>
  <si>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</si>
  <si>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</si>
  <si>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</si>
  <si>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</si>
  <si>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</si>
  <si>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</si>
  <si>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</si>
  <si>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</si>
  <si>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</si>
  <si>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</si>
  <si>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</si>
  <si>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</si>
  <si>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</si>
  <si>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</si>
  <si>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</si>
  <si>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</si>
  <si>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</si>
  <si>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</si>
  <si>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</si>
  <si>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</si>
  <si>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</si>
  <si>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</si>
  <si>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</si>
  <si>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</si>
  <si>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</si>
  <si>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</si>
  <si>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</si>
  <si>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</si>
  <si>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</si>
  <si>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</si>
  <si>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</si>
  <si>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</si>
  <si>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</si>
  <si>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</si>
  <si>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</si>
  <si>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</si>
  <si>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</si>
  <si>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</si>
  <si>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</si>
  <si>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</si>
  <si>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</si>
  <si>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</si>
  <si>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</si>
  <si>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</si>
  <si>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</si>
  <si>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</si>
  <si>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</si>
  <si>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</si>
  <si>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</si>
  <si>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</si>
  <si>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</si>
  <si>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</si>
  <si>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</si>
  <si>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</si>
  <si>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</si>
  <si>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</si>
  <si>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</si>
  <si>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</si>
  <si>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</si>
  <si>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</si>
  <si>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</si>
  <si>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</si>
  <si>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</si>
  <si>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</si>
  <si>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</si>
  <si>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</si>
  <si>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</si>
  <si>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</si>
  <si>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</si>
  <si>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</si>
  <si>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</si>
  <si>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</si>
  <si>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</si>
  <si>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</si>
  <si>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</si>
  <si>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</si>
  <si>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</si>
  <si>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</si>
  <si>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</si>
  <si>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</si>
  <si>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</si>
  <si>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</si>
  <si>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</si>
  <si>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</si>
  <si>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</si>
  <si>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</si>
  <si>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</si>
  <si>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</si>
  <si>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</si>
  <si>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</si>
  <si>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</si>
  <si>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</si>
  <si>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</si>
  <si>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</si>
  <si>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</si>
  <si>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</si>
  <si>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</si>
  <si>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</si>
  <si>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</si>
  <si>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</si>
  <si>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</si>
  <si>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</si>
  <si>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</si>
  <si>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</si>
  <si>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</si>
  <si>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</si>
  <si>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</si>
  <si>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</si>
  <si>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</si>
  <si>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</si>
  <si>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</si>
  <si>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</si>
  <si>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</si>
  <si>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</si>
  <si>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</si>
  <si>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</si>
  <si>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</si>
  <si>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</si>
  <si>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</si>
  <si>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</si>
  <si>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</si>
  <si>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</si>
  <si>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</si>
  <si>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</si>
  <si>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</si>
  <si>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</si>
  <si>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</si>
  <si>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</si>
  <si>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</si>
  <si>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</si>
  <si>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</si>
  <si>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</si>
  <si>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</si>
  <si>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</si>
  <si>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</si>
  <si>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</si>
  <si>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</si>
  <si>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</si>
  <si>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</si>
  <si>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</si>
  <si>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</si>
  <si>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</si>
  <si>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</si>
  <si>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</si>
  <si>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</si>
  <si>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</si>
  <si>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</si>
  <si>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</si>
  <si>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</si>
  <si>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</si>
  <si>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</si>
  <si>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</si>
  <si>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</si>
  <si>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</si>
  <si>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</si>
  <si>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</si>
  <si>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</si>
  <si>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</si>
  <si>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</si>
  <si>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</si>
  <si>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</si>
  <si>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</si>
  <si>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</si>
  <si>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</si>
  <si>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</si>
  <si>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</si>
  <si>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</si>
  <si>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</si>
  <si>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</si>
  <si>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</si>
  <si>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</si>
  <si>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</si>
  <si>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</si>
  <si>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</si>
  <si>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</si>
  <si>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</si>
  <si>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</si>
  <si>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</si>
  <si>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</si>
  <si>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</si>
  <si>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</si>
  <si>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</si>
  <si>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</si>
  <si>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</si>
  <si>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</si>
  <si>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</si>
  <si>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</si>
  <si>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</si>
  <si>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</si>
  <si>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</si>
  <si>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</si>
  <si>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</si>
  <si>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</si>
  <si>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</si>
  <si>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</si>
  <si>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</si>
  <si>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</si>
  <si>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</si>
  <si>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</si>
  <si>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</si>
  <si>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</si>
  <si>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</si>
  <si>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</si>
  <si>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</si>
  <si>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</si>
  <si>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</si>
  <si>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</si>
  <si>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</si>
  <si>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</si>
  <si>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</si>
  <si>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</si>
  <si>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</si>
  <si>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</si>
  <si>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</si>
  <si>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</si>
  <si>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</si>
  <si>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</si>
  <si>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</si>
  <si>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</si>
  <si>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</si>
  <si>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</si>
  <si>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</si>
  <si>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</si>
  <si>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</si>
  <si>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</si>
  <si>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</si>
  <si>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</si>
  <si>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</si>
  <si>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</si>
  <si>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</si>
  <si>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</si>
  <si>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</si>
  <si>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</si>
  <si>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</si>
  <si>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</si>
  <si>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</si>
  <si>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</si>
  <si>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</si>
  <si>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</si>
  <si>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</si>
  <si>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</si>
  <si>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</si>
  <si>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</si>
  <si>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</si>
  <si>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</si>
  <si>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</si>
  <si>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</si>
  <si>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</si>
  <si>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</si>
  <si>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</si>
  <si>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</si>
  <si>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</si>
  <si>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</si>
  <si>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</si>
  <si>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</si>
  <si>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</si>
  <si>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</si>
  <si>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</si>
  <si>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</si>
  <si>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</si>
  <si>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</si>
  <si>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</si>
  <si>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</si>
  <si>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</si>
  <si>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</si>
  <si>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</si>
  <si>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</si>
  <si>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</si>
  <si>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</si>
  <si>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</si>
  <si>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</si>
  <si>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</si>
  <si>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</si>
  <si>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</si>
  <si>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</si>
  <si>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</si>
  <si>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</si>
  <si>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</si>
  <si>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</si>
  <si>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</si>
  <si>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</si>
  <si>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</si>
  <si>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</si>
  <si>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</si>
  <si>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</si>
  <si>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</si>
  <si>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</si>
  <si>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</si>
  <si>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</si>
  <si>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</si>
  <si>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</si>
  <si>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</si>
  <si>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</si>
  <si>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</si>
  <si>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</si>
  <si>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</si>
  <si>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</si>
  <si>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</si>
  <si>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</si>
  <si>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</si>
  <si>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</si>
  <si>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</si>
  <si>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</si>
  <si>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</si>
  <si>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</si>
  <si>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</si>
  <si>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</si>
  <si>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</si>
  <si>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</si>
  <si>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</si>
  <si>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</si>
  <si>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</si>
  <si>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</si>
  <si>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</si>
  <si>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</si>
  <si>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</si>
  <si>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</si>
  <si>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</si>
  <si>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</si>
  <si>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</si>
  <si>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</si>
  <si>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</si>
  <si>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</si>
  <si>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</si>
  <si>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</si>
  <si>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</si>
  <si>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</si>
  <si>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</si>
  <si>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</si>
  <si>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</si>
  <si>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</si>
  <si>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</si>
  <si>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</si>
  <si>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</si>
  <si>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</si>
  <si>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</si>
  <si>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</si>
  <si>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</si>
  <si>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</si>
  <si>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</si>
  <si>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</si>
  <si>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</si>
  <si>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</si>
  <si>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</si>
  <si>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</si>
  <si>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</si>
  <si>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</si>
  <si>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</si>
  <si>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</si>
  <si>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</si>
  <si>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</si>
  <si>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</si>
  <si>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</si>
  <si>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</si>
  <si>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</si>
  <si>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</si>
  <si>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</si>
  <si>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</si>
  <si>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</si>
  <si>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</si>
  <si>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</si>
  <si>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</si>
  <si>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</si>
  <si>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</si>
  <si>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</si>
  <si>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</si>
  <si>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</si>
  <si>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</si>
  <si>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</si>
  <si>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</si>
  <si>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</si>
  <si>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</si>
  <si>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</si>
  <si>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</si>
  <si>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</si>
  <si>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</si>
  <si>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</si>
  <si>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</si>
  <si>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</si>
  <si>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</si>
  <si>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</si>
  <si>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</si>
  <si>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</si>
  <si>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</si>
  <si>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</si>
  <si>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</si>
  <si>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</si>
  <si>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</si>
  <si>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</si>
  <si>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</si>
  <si>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</si>
  <si>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</si>
  <si>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</si>
  <si>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</si>
  <si>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</si>
  <si>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</si>
  <si>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</si>
  <si>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</si>
  <si>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</si>
  <si>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</si>
  <si>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</si>
  <si>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</si>
  <si>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</si>
  <si>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</si>
  <si>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</si>
  <si>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</si>
  <si>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</si>
  <si>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</si>
  <si>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</si>
  <si>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</si>
  <si>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</si>
  <si>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</si>
  <si>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</si>
  <si>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</si>
  <si>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</si>
  <si>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</si>
  <si>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</si>
  <si>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</si>
  <si>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</si>
  <si>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</si>
  <si>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</si>
  <si>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</si>
  <si>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</si>
  <si>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</si>
  <si>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</si>
  <si>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</si>
  <si>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</si>
  <si>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</si>
  <si>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</si>
  <si>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</si>
  <si>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</si>
  <si>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</si>
  <si>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</si>
  <si>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</si>
  <si>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</si>
  <si>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</si>
  <si>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</si>
  <si>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</si>
  <si>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</si>
  <si>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</si>
  <si>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</si>
  <si>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</si>
  <si>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</si>
  <si>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</si>
  <si>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</si>
  <si>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</si>
  <si>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</si>
  <si>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</si>
  <si>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</si>
  <si>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</si>
  <si>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</si>
  <si>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</si>
  <si>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</si>
  <si>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</si>
  <si>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</si>
  <si>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</si>
  <si>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</si>
  <si>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</si>
  <si>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</si>
  <si>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</si>
  <si>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</si>
  <si>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</si>
  <si>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</si>
  <si>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</si>
  <si>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</si>
  <si>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</si>
  <si>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</si>
  <si>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</si>
  <si>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</si>
  <si>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</si>
  <si>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</si>
  <si>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</si>
  <si>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</si>
  <si>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</si>
  <si>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</si>
  <si>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</si>
  <si>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</si>
  <si>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</si>
  <si>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</si>
  <si>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</si>
  <si>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</si>
  <si>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</si>
  <si>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</si>
  <si>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</si>
  <si>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</si>
  <si>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</si>
  <si>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</si>
  <si>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</si>
  <si>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</si>
  <si>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</si>
  <si>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</si>
  <si>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</si>
  <si>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</si>
  <si>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</si>
  <si>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</si>
  <si>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</si>
  <si>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</si>
  <si>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</si>
  <si>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</si>
  <si>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</si>
  <si>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</si>
  <si>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</si>
  <si>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</si>
  <si>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</si>
  <si>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</si>
  <si>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</si>
  <si>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</si>
  <si>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</si>
  <si>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</si>
  <si>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</si>
  <si>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</si>
  <si>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</si>
  <si>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</si>
  <si>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</si>
  <si>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</si>
  <si>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</si>
  <si>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</si>
  <si>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</si>
  <si>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</si>
  <si>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</si>
  <si>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</si>
  <si>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</si>
  <si>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</si>
  <si>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</si>
  <si>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</si>
  <si>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</si>
  <si>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</si>
  <si>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</si>
  <si>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</si>
  <si>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</si>
  <si>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</si>
  <si>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</si>
  <si>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</si>
  <si>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</si>
  <si>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</si>
  <si>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</si>
  <si>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</si>
  <si>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</si>
  <si>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</si>
  <si>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</si>
  <si>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</si>
  <si>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</si>
  <si>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</si>
  <si>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</si>
  <si>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</si>
  <si>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</si>
  <si>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</si>
  <si>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</si>
  <si>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</si>
  <si>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</si>
  <si>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</si>
  <si>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</si>
  <si>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</si>
  <si>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</si>
  <si>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</si>
  <si>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</si>
  <si>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</si>
  <si>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</si>
  <si>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</si>
  <si>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</si>
  <si>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</si>
  <si>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</si>
  <si>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</si>
  <si>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</si>
  <si>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</si>
  <si>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</si>
  <si>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</si>
  <si>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</si>
  <si>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</si>
  <si>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</si>
  <si>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</si>
  <si>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</si>
  <si>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</si>
  <si>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</si>
  <si>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</si>
  <si>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</si>
  <si>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</si>
  <si>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</si>
  <si>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</si>
  <si>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</si>
  <si>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</si>
  <si>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</si>
  <si>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</si>
  <si>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</si>
  <si>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</si>
  <si>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</si>
  <si>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</si>
  <si>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</si>
  <si>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</si>
  <si>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</si>
  <si>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</si>
  <si>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</si>
  <si>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</si>
  <si>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</si>
  <si>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</si>
  <si>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</si>
  <si>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</si>
  <si>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</si>
  <si>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</si>
  <si>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</si>
  <si>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</si>
  <si>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</si>
  <si>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</si>
  <si>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</si>
  <si>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</si>
  <si>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</si>
  <si>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</si>
  <si>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</si>
  <si>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</si>
  <si>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</si>
  <si>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</si>
  <si>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</si>
  <si>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</si>
  <si>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</si>
  <si>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</si>
  <si>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</si>
  <si>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</si>
  <si>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</si>
  <si>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</si>
  <si>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</si>
  <si>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</si>
  <si>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</si>
  <si>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</si>
  <si>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</si>
  <si>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</si>
  <si>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</si>
  <si>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</si>
  <si>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</si>
  <si>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</si>
  <si>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</si>
  <si>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</si>
  <si>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</si>
  <si>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</si>
  <si>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</si>
  <si>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</si>
  <si>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</si>
  <si>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</si>
  <si>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</si>
  <si>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</si>
  <si>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</si>
  <si>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</si>
  <si>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</si>
  <si>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</si>
  <si>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</si>
  <si>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</si>
  <si>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</si>
  <si>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</si>
  <si>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</si>
  <si>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</si>
  <si>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</si>
  <si>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</si>
  <si>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</si>
  <si>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</si>
  <si>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</si>
  <si>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</si>
  <si>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</si>
  <si>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</si>
  <si>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</si>
  <si>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</si>
  <si>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</si>
  <si>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</si>
  <si>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</si>
  <si>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</si>
  <si>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</si>
  <si>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</si>
  <si>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</si>
  <si>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</si>
  <si>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</si>
  <si>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</si>
  <si>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</si>
  <si>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</si>
  <si>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</si>
  <si>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</si>
  <si>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</si>
  <si>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</si>
  <si>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</si>
  <si>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</si>
  <si>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</si>
  <si>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</si>
  <si>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</si>
  <si>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</si>
  <si>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</si>
  <si>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</si>
  <si>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</si>
  <si>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</si>
  <si>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</si>
  <si>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</si>
  <si>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</si>
  <si>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</si>
  <si>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</si>
  <si>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</si>
  <si>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</si>
  <si>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</si>
  <si>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</si>
  <si>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</si>
  <si>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</si>
  <si>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</si>
  <si>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</si>
  <si>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</si>
  <si>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</si>
  <si>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</si>
  <si>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</si>
  <si>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</si>
  <si>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</si>
  <si>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</si>
  <si>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</si>
  <si>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</si>
  <si>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</si>
  <si>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</si>
  <si>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</si>
  <si>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</si>
  <si>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</si>
  <si>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</si>
  <si>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</si>
  <si>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</si>
  <si>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</si>
  <si>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</si>
  <si>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</si>
  <si>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</si>
  <si>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</si>
  <si>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</si>
  <si>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</si>
  <si>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</si>
  <si>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</si>
  <si>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</si>
  <si>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</si>
  <si>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</si>
  <si>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</si>
  <si>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</si>
  <si>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</si>
  <si>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</si>
  <si>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</si>
  <si>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</si>
  <si>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</si>
  <si>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</si>
  <si>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</si>
  <si>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</si>
  <si>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</si>
  <si>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</si>
  <si>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</si>
  <si>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</si>
  <si>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</si>
  <si>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</si>
  <si>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</si>
  <si>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</si>
  <si>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</si>
  <si>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</si>
  <si>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</si>
  <si>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</si>
  <si>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</si>
  <si>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</si>
  <si>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</si>
  <si>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</si>
  <si>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</si>
  <si>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</si>
  <si>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</si>
  <si>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</si>
  <si>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</si>
  <si>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</si>
  <si>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</si>
  <si>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</si>
  <si>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</si>
  <si>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</si>
  <si>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</si>
  <si>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</si>
  <si>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</si>
  <si>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</si>
  <si>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</si>
  <si>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</si>
  <si>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</si>
  <si>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</si>
  <si>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</si>
  <si>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</si>
  <si>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</si>
  <si>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</si>
  <si>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</si>
  <si>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</si>
  <si>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</si>
  <si>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</si>
  <si>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</si>
  <si>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</si>
  <si>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</si>
  <si>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</si>
  <si>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</si>
  <si>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</si>
  <si>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</si>
  <si>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</si>
  <si>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</si>
  <si>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</si>
  <si>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</si>
  <si>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</si>
  <si>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</si>
  <si>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</si>
  <si>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</si>
  <si>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</si>
  <si>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</si>
  <si>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</si>
  <si>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</si>
  <si>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</si>
  <si>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</si>
  <si>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</si>
  <si>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</si>
  <si>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</si>
  <si>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</si>
  <si>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</si>
  <si>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</si>
  <si>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</si>
  <si>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</si>
  <si>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</si>
  <si>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</si>
  <si>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</si>
  <si>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</si>
  <si>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</si>
  <si>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</si>
  <si>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</si>
  <si>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</si>
  <si>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</si>
  <si>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</si>
  <si>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</si>
  <si>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</si>
  <si>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</si>
  <si>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</si>
  <si>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</si>
  <si>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</si>
  <si>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</si>
  <si>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</si>
  <si>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</si>
  <si>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</si>
  <si>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</si>
  <si>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</si>
  <si>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</si>
  <si>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</si>
  <si>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</si>
  <si>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</si>
  <si>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</si>
  <si>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</si>
  <si>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</si>
  <si>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</si>
  <si>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</si>
  <si>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</si>
  <si>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</si>
  <si>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</si>
  <si>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</si>
  <si>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</si>
  <si>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</si>
  <si>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</si>
  <si>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</si>
  <si>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</si>
  <si>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</si>
  <si>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</si>
  <si>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</si>
  <si>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</si>
  <si>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</si>
  <si>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</si>
  <si>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</si>
  <si>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</si>
  <si>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</si>
  <si>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</si>
  <si>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</si>
  <si>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</si>
  <si>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</si>
  <si>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</si>
  <si>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</si>
  <si>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</si>
  <si>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</si>
  <si>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</si>
  <si>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</si>
  <si>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</si>
  <si>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</si>
  <si>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</si>
  <si>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</si>
  <si>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</si>
  <si>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</si>
  <si>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</si>
  <si>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</si>
  <si>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</si>
  <si>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</si>
  <si>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</si>
  <si>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</si>
  <si>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</si>
  <si>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</si>
  <si>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</si>
  <si>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</si>
  <si>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</si>
  <si>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</si>
  <si>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</si>
  <si>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</si>
  <si>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</si>
  <si>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</si>
  <si>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</si>
  <si>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</si>
  <si>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</si>
  <si>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</si>
  <si>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</si>
  <si>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</si>
  <si>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</si>
  <si>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</si>
  <si>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</si>
  <si>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</si>
  <si>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</si>
  <si>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</si>
  <si>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</si>
  <si>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</si>
  <si>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</si>
  <si>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</si>
  <si>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</si>
  <si>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</si>
  <si>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</si>
  <si>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</si>
  <si>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</si>
  <si>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</si>
  <si>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</si>
  <si>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</si>
  <si>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</si>
  <si>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</si>
  <si>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</si>
  <si>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</si>
  <si>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</si>
  <si>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</si>
  <si>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</si>
  <si>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</si>
  <si>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</si>
  <si>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</si>
  <si>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</si>
  <si>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</si>
  <si>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</si>
  <si>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</si>
  <si>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</si>
  <si>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</si>
  <si>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</si>
  <si>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</si>
  <si>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</si>
  <si>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</si>
  <si>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</si>
  <si>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</si>
  <si>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</si>
  <si>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</si>
  <si>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</si>
  <si>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</si>
  <si>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</si>
  <si>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</si>
  <si>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</si>
  <si>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</si>
  <si>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</si>
  <si>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</si>
  <si>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</si>
  <si>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</si>
  <si>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</si>
  <si>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</si>
  <si>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</si>
  <si>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</si>
  <si>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</si>
  <si>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</si>
  <si>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</si>
  <si>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</si>
  <si>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</si>
  <si>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</si>
  <si>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</si>
  <si>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</si>
  <si>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</si>
  <si>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</si>
  <si>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</si>
  <si>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</si>
  <si>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</si>
  <si>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</si>
  <si>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</si>
  <si>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</si>
  <si>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</si>
  <si>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</si>
  <si>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</si>
  <si>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</si>
  <si>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</si>
  <si>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</si>
  <si>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</si>
  <si>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</si>
  <si>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</si>
  <si>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</si>
  <si>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</si>
  <si>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</si>
  <si>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</si>
  <si>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</si>
  <si>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</si>
  <si>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</si>
  <si>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</si>
  <si>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</si>
  <si>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</si>
  <si>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</si>
  <si>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</si>
  <si>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</si>
  <si>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</si>
  <si>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</si>
  <si>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</si>
  <si>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</si>
  <si>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</si>
  <si>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</si>
  <si>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</si>
  <si>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</si>
  <si>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</si>
  <si>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</si>
  <si>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</si>
  <si>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</si>
  <si>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</si>
  <si>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</si>
  <si>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</si>
  <si>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</si>
  <si>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</si>
  <si>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</si>
  <si>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</si>
  <si>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</si>
  <si>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</si>
  <si>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</si>
  <si>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</si>
  <si>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</si>
  <si>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</si>
  <si>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</si>
  <si>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</si>
  <si>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</si>
  <si>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</si>
  <si>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</si>
  <si>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</si>
  <si>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</si>
  <si>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</si>
  <si>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</si>
  <si>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</si>
  <si>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</si>
  <si>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</si>
  <si>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</si>
  <si>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</si>
  <si>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</si>
  <si>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</si>
  <si>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</si>
  <si>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</si>
  <si>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</si>
  <si>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</si>
  <si>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</si>
  <si>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</si>
  <si>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</si>
  <si>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</si>
  <si>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</si>
  <si>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</si>
  <si>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</si>
  <si>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</si>
  <si>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</si>
  <si>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</si>
  <si>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</si>
  <si>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</si>
  <si>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</si>
  <si>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</si>
  <si>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</si>
  <si>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</si>
  <si>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</si>
  <si>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</si>
  <si>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</si>
  <si>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</si>
  <si>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</si>
  <si>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</si>
  <si>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</si>
  <si>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</si>
  <si>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</si>
  <si>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</si>
  <si>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</si>
  <si>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</si>
  <si>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</si>
  <si>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</si>
  <si>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</si>
  <si>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</si>
  <si>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</si>
  <si>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</si>
  <si>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</si>
  <si>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</si>
  <si>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</si>
  <si>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</si>
  <si>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</si>
  <si>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</si>
  <si>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</si>
  <si>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</si>
  <si>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</si>
  <si>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</si>
  <si>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</si>
  <si>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</si>
  <si>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</si>
  <si>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</si>
  <si>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</si>
  <si>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</si>
  <si>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</si>
  <si>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</si>
  <si>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</si>
  <si>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</si>
  <si>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</si>
  <si>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</si>
  <si>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</si>
  <si>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</si>
  <si>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</si>
  <si>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</si>
  <si>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</si>
  <si>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</si>
  <si>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</si>
  <si>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</si>
  <si>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</si>
  <si>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</si>
  <si>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</si>
  <si>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</si>
  <si>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</si>
  <si>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</si>
  <si>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</si>
  <si>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</si>
  <si>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</si>
  <si>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</si>
  <si>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</si>
  <si>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</si>
  <si>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</si>
  <si>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</si>
  <si>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</si>
  <si>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</si>
  <si>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</si>
  <si>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</si>
  <si>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</si>
  <si>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</si>
  <si>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</si>
  <si>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</si>
  <si>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</si>
  <si>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</si>
  <si>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</si>
  <si>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</si>
  <si>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</si>
  <si>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</si>
  <si>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</si>
  <si>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</si>
  <si>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</si>
  <si>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</si>
  <si>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</si>
  <si>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</si>
  <si>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</si>
  <si>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</si>
  <si>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</si>
  <si>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</si>
  <si>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</si>
  <si>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</si>
  <si>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</si>
  <si>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</si>
  <si>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</si>
  <si>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</si>
  <si>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</si>
  <si>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</si>
  <si>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</si>
  <si>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</si>
  <si>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</si>
  <si>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</si>
  <si>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</si>
  <si>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</si>
  <si>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</si>
  <si>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</si>
  <si>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</si>
  <si>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</si>
  <si>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</si>
  <si>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</si>
  <si>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</si>
  <si>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</si>
  <si>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</si>
  <si>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</si>
  <si>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</si>
  <si>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</si>
  <si>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</si>
  <si>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</si>
  <si>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</si>
  <si>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</si>
  <si>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</si>
  <si>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</si>
  <si>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</si>
  <si>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</si>
  <si>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</si>
  <si>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</si>
  <si>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</si>
  <si>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</si>
  <si>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</si>
  <si>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</si>
  <si>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</si>
  <si>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</si>
  <si>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</si>
  <si>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</si>
  <si>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</si>
  <si>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</si>
  <si>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</si>
  <si>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</si>
  <si>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</si>
  <si>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</si>
  <si>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</si>
  <si>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</si>
  <si>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</si>
  <si>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</si>
  <si>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</si>
  <si>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</si>
  <si>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</si>
  <si>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</si>
  <si>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</si>
  <si>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</si>
  <si>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</si>
  <si>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</si>
  <si>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</si>
  <si>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</si>
  <si>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</si>
  <si>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</si>
  <si>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</si>
  <si>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</si>
  <si>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</si>
  <si>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</si>
  <si>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</si>
  <si>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</si>
  <si>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</si>
  <si>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</si>
  <si>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</si>
  <si>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</si>
  <si>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</si>
  <si>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</si>
  <si>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</si>
  <si>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</si>
  <si>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</si>
  <si>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</si>
  <si>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</si>
  <si>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</si>
  <si>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</si>
  <si>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</si>
  <si>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</si>
  <si>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</si>
  <si>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</si>
  <si>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</si>
  <si>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</si>
  <si>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</si>
  <si>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</si>
  <si>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</si>
  <si>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</si>
  <si>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</si>
  <si>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</si>
  <si>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</si>
  <si>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</si>
  <si>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</si>
  <si>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</si>
  <si>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</si>
  <si>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</si>
  <si>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</si>
  <si>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</si>
  <si>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</si>
  <si>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</si>
  <si>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</si>
  <si>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</si>
  <si>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</si>
  <si>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</si>
  <si>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</si>
  <si>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</si>
  <si>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</si>
  <si>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</si>
  <si>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</si>
  <si>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</si>
  <si>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</si>
  <si>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</si>
  <si>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</si>
  <si>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</si>
  <si>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</si>
  <si>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</si>
  <si>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</si>
  <si>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</si>
  <si>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</si>
  <si>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</si>
  <si>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</si>
  <si>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</si>
  <si>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</si>
  <si>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</si>
  <si>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</si>
  <si>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</si>
  <si>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</si>
  <si>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</si>
  <si>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</si>
  <si>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</si>
  <si>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</si>
  <si>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</si>
  <si>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</si>
  <si>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</si>
  <si>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</si>
  <si>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</si>
  <si>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</si>
  <si>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</si>
  <si>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</si>
  <si>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</si>
  <si>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</si>
  <si>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</si>
  <si>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</si>
  <si>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</si>
  <si>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</si>
  <si>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</si>
  <si>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</si>
  <si>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</si>
  <si>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</si>
  <si>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</si>
  <si>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</si>
  <si>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</si>
  <si>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</si>
  <si>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</si>
  <si>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</si>
  <si>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</si>
  <si>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</si>
  <si>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</si>
  <si>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</si>
  <si>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</si>
  <si>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</si>
  <si>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</si>
  <si>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</si>
  <si>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</si>
  <si>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</si>
  <si>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</si>
  <si>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</si>
  <si>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</si>
  <si>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</si>
  <si>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</si>
  <si>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</si>
  <si>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</si>
  <si>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</si>
  <si>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</si>
  <si>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</si>
  <si>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</si>
  <si>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</si>
  <si>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</si>
  <si>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</si>
  <si>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</si>
  <si>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</si>
  <si>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</si>
  <si>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</si>
  <si>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</si>
  <si>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</si>
  <si>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</si>
  <si>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</si>
  <si>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</si>
  <si>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</si>
  <si>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</si>
  <si>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</si>
  <si>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</si>
  <si>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</si>
  <si>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</si>
  <si>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</si>
  <si>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</si>
  <si>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</si>
  <si>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</si>
  <si>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</si>
  <si>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</si>
  <si>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</si>
  <si>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</si>
  <si>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</si>
  <si>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</si>
  <si>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</si>
  <si>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</si>
  <si>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</si>
  <si>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</si>
  <si>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</si>
  <si>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</si>
  <si>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</si>
  <si>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</si>
  <si>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</si>
  <si>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</si>
  <si>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</si>
  <si>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</si>
  <si>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</si>
  <si>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</si>
  <si>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</si>
  <si>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</si>
  <si>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</si>
  <si>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</si>
  <si>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</si>
  <si>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</si>
  <si>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</si>
  <si>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</si>
  <si>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</si>
  <si>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</si>
  <si>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</si>
  <si>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</si>
  <si>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</si>
  <si>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</si>
  <si>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</si>
  <si>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</si>
  <si>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</si>
  <si>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</si>
  <si>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</si>
  <si>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</si>
  <si>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</si>
  <si>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</si>
  <si>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</si>
  <si>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</si>
  <si>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</si>
  <si>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</si>
  <si>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</si>
  <si>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</si>
  <si>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</si>
  <si>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</si>
  <si>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</si>
  <si>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</si>
  <si>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</si>
  <si>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</si>
  <si>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</si>
  <si>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</si>
  <si>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</si>
  <si>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</si>
  <si>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</si>
  <si>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</si>
  <si>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</si>
  <si>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</si>
  <si>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</si>
  <si>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</si>
  <si>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</si>
  <si>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</si>
  <si>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</si>
  <si>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</si>
  <si>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</si>
  <si>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</si>
  <si>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</si>
  <si>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</si>
  <si>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</si>
  <si>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</si>
  <si>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</si>
  <si>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</si>
  <si>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</si>
  <si>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</si>
  <si>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</si>
  <si>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</si>
  <si>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</si>
  <si>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</si>
  <si>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</si>
  <si>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</si>
  <si>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</si>
  <si>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</si>
  <si>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</si>
  <si>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</si>
  <si>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</si>
  <si>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</si>
  <si>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</si>
  <si>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</si>
  <si>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</si>
  <si>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</si>
  <si>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</si>
  <si>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</si>
  <si>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</si>
  <si>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</si>
  <si>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</si>
  <si>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</si>
  <si>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</si>
  <si>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</si>
  <si>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</si>
  <si>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</si>
  <si>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</si>
  <si>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</si>
  <si>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</si>
  <si>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</si>
  <si>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</si>
  <si>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</si>
  <si>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</si>
  <si>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</si>
  <si>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</si>
  <si>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</si>
  <si>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</si>
  <si>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</si>
  <si>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</si>
  <si>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</si>
  <si>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</si>
  <si>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</si>
  <si>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</si>
  <si>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</si>
  <si>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</si>
  <si>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</si>
  <si>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</si>
  <si>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</si>
  <si>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</si>
  <si>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</si>
  <si>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</si>
  <si>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</si>
  <si>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</si>
  <si>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SCM-00055927</t>
  </si>
  <si>
    <t>NI-MCPVE-17</t>
  </si>
  <si>
    <t>SCM-00056901</t>
  </si>
  <si>
    <t>NI-MCPP-12</t>
  </si>
  <si>
    <t>SSI Tecnologies</t>
  </si>
  <si>
    <t>PS-AN1</t>
  </si>
  <si>
    <t>NI-MCPP-13</t>
  </si>
  <si>
    <t>SPMK</t>
  </si>
  <si>
    <t>N/D</t>
  </si>
  <si>
    <t>SCM-00055216</t>
  </si>
  <si>
    <t>SPMK700</t>
  </si>
  <si>
    <t>SCM-00055926</t>
  </si>
  <si>
    <t>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</si>
</sst>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166" fontId="37" fillId="0" borderId="1" xfId="0" applyNumberFormat="1" applyFont="1" applyBorder="1" applyAlignment="1">
      <alignment vertical="center"/>
    </xf>
    <xf numFmtId="166" fontId="0" fillId="0" borderId="20" xfId="0" applyNumberFormat="1" applyBorder="1" applyAlignment="1">
      <alignment vertical="center"/>
    </xf>
    <xf numFmtId="4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30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29"/>
      <tableStyleElement type="headerRow" dxfId="128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Patron'!$G$44:$G$67</c:f>
              <c:numCache>
                <c:formatCode>0.000</c:formatCode>
                <c:ptCount val="24"/>
                <c:pt idx="0">
                  <c:v>6.3E-2</c:v>
                </c:pt>
                <c:pt idx="1">
                  <c:v>6.3E-2</c:v>
                </c:pt>
                <c:pt idx="2">
                  <c:v>0.06</c:v>
                </c:pt>
                <c:pt idx="3">
                  <c:v>5.8999999999999997E-2</c:v>
                </c:pt>
                <c:pt idx="4">
                  <c:v>5.8999999999999997E-2</c:v>
                </c:pt>
                <c:pt idx="5">
                  <c:v>5.8999999999999997E-2</c:v>
                </c:pt>
                <c:pt idx="6">
                  <c:v>6.0999999999999999E-2</c:v>
                </c:pt>
                <c:pt idx="7">
                  <c:v>0.11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0.13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6.3E-2</c:v>
                </c:pt>
                <c:pt idx="17">
                  <c:v>6.2E-2</c:v>
                </c:pt>
                <c:pt idx="18">
                  <c:v>5.8000000000000003E-2</c:v>
                </c:pt>
                <c:pt idx="19">
                  <c:v>8.7999999999999995E-2</c:v>
                </c:pt>
                <c:pt idx="20">
                  <c:v>0.06</c:v>
                </c:pt>
                <c:pt idx="21">
                  <c:v>5.8999999999999997E-2</c:v>
                </c:pt>
                <c:pt idx="22">
                  <c:v>6.3E-2</c:v>
                </c:pt>
                <c:pt idx="23">
                  <c:v>6.0999999999999999E-2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6160"/>
        <c:axId val="-668118000"/>
      </c:scatterChart>
      <c:valAx>
        <c:axId val="-66812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8000"/>
        <c:crosses val="autoZero"/>
        <c:crossBetween val="midCat"/>
      </c:valAx>
      <c:valAx>
        <c:axId val="-66811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Patron'!$G$68:$G$93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9088"/>
        <c:axId val="-668122352"/>
      </c:scatterChart>
      <c:valAx>
        <c:axId val="-66811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2352"/>
        <c:crosses val="autoZero"/>
        <c:crossBetween val="midCat"/>
      </c:valAx>
      <c:valAx>
        <c:axId val="-6681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1808"/>
        <c:axId val="-668121264"/>
      </c:scatterChart>
      <c:valAx>
        <c:axId val="-66812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1264"/>
        <c:crosses val="autoZero"/>
        <c:crossBetween val="midCat"/>
      </c:valAx>
      <c:valAx>
        <c:axId val="-6681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1.4E-2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5616"/>
        <c:axId val="-668112560"/>
      </c:scatterChart>
      <c:valAx>
        <c:axId val="-6681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2560"/>
        <c:crosses val="autoZero"/>
        <c:crossBetween val="midCat"/>
      </c:valAx>
      <c:valAx>
        <c:axId val="-6681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 formatCode="General">
                  <c:v>2E-3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1.5</c:v>
                </c:pt>
                <c:pt idx="13">
                  <c:v>1</c:v>
                </c:pt>
                <c:pt idx="14">
                  <c:v>0.5</c:v>
                </c:pt>
                <c:pt idx="15" formatCode="General">
                  <c:v>2E-3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 formatCode="0.000">
                  <c:v>0</c:v>
                </c:pt>
                <c:pt idx="6">
                  <c:v>1E-3</c:v>
                </c:pt>
                <c:pt idx="7" formatCode="0.000">
                  <c:v>0</c:v>
                </c:pt>
                <c:pt idx="8">
                  <c:v>-4.0000000000000001E-3</c:v>
                </c:pt>
                <c:pt idx="9">
                  <c:v>-4.0000000000000001E-3</c:v>
                </c:pt>
                <c:pt idx="10">
                  <c:v>-4.0000000000000001E-3</c:v>
                </c:pt>
                <c:pt idx="11">
                  <c:v>-5.0000000000000001E-3</c:v>
                </c:pt>
                <c:pt idx="12">
                  <c:v>-3.0000000000000001E-3</c:v>
                </c:pt>
                <c:pt idx="13">
                  <c:v>-4.0000000000000001E-3</c:v>
                </c:pt>
                <c:pt idx="14">
                  <c:v>-3.0000000000000001E-3</c:v>
                </c:pt>
                <c:pt idx="15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20720"/>
        <c:axId val="-668125072"/>
      </c:scatterChart>
      <c:valAx>
        <c:axId val="-66812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5072"/>
        <c:crosses val="autoZero"/>
        <c:crossBetween val="midCat"/>
      </c:valAx>
      <c:valAx>
        <c:axId val="-668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Patron'!$E$44:$E$67</c:f>
              <c:numCache>
                <c:formatCode>0.0</c:formatCode>
                <c:ptCount val="24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1450</c:v>
                </c:pt>
                <c:pt idx="12">
                  <c:v>1450</c:v>
                </c:pt>
                <c:pt idx="13">
                  <c:v>1000</c:v>
                </c:pt>
                <c:pt idx="14">
                  <c:v>800</c:v>
                </c:pt>
                <c:pt idx="15">
                  <c:v>600</c:v>
                </c:pt>
                <c:pt idx="16">
                  <c:v>400</c:v>
                </c:pt>
                <c:pt idx="17">
                  <c:v>200</c:v>
                </c:pt>
                <c:pt idx="18">
                  <c:v>100</c:v>
                </c:pt>
                <c:pt idx="19">
                  <c:v>50</c:v>
                </c:pt>
                <c:pt idx="20">
                  <c:v>0</c:v>
                </c:pt>
                <c:pt idx="21">
                  <c:v>-6</c:v>
                </c:pt>
                <c:pt idx="22">
                  <c:v>-10</c:v>
                </c:pt>
                <c:pt idx="23">
                  <c:v>-11.8</c:v>
                </c:pt>
              </c:numCache>
            </c:numRef>
          </c:xVal>
          <c:yVal>
            <c:numRef>
              <c:f>'BD Patron'!$F$44:$F$67</c:f>
              <c:numCache>
                <c:formatCode>0.000</c:formatCode>
                <c:ptCount val="24"/>
                <c:pt idx="0">
                  <c:v>3.1E-2</c:v>
                </c:pt>
                <c:pt idx="1">
                  <c:v>0.03</c:v>
                </c:pt>
                <c:pt idx="2">
                  <c:v>0.05</c:v>
                </c:pt>
                <c:pt idx="3">
                  <c:v>4.0000000000000001E-3</c:v>
                </c:pt>
                <c:pt idx="4">
                  <c:v>1E-3</c:v>
                </c:pt>
                <c:pt idx="5">
                  <c:v>-0.01</c:v>
                </c:pt>
                <c:pt idx="6">
                  <c:v>-1.0999999999999999E-2</c:v>
                </c:pt>
                <c:pt idx="7">
                  <c:v>-2.5999999999999999E-2</c:v>
                </c:pt>
                <c:pt idx="8">
                  <c:v>-0.06</c:v>
                </c:pt>
                <c:pt idx="9">
                  <c:v>-0.05</c:v>
                </c:pt>
                <c:pt idx="10">
                  <c:v>-0.02</c:v>
                </c:pt>
                <c:pt idx="11">
                  <c:v>-0.02</c:v>
                </c:pt>
                <c:pt idx="12">
                  <c:v>-0.06</c:v>
                </c:pt>
                <c:pt idx="13">
                  <c:v>-0.04</c:v>
                </c:pt>
                <c:pt idx="14">
                  <c:v>0.01</c:v>
                </c:pt>
                <c:pt idx="15">
                  <c:v>-0.01</c:v>
                </c:pt>
                <c:pt idx="16">
                  <c:v>6.8000000000000005E-2</c:v>
                </c:pt>
                <c:pt idx="17">
                  <c:v>4.9000000000000002E-2</c:v>
                </c:pt>
                <c:pt idx="18">
                  <c:v>8.2000000000000003E-2</c:v>
                </c:pt>
                <c:pt idx="19">
                  <c:v>5.7000000000000002E-2</c:v>
                </c:pt>
                <c:pt idx="20">
                  <c:v>1E-3</c:v>
                </c:pt>
                <c:pt idx="21">
                  <c:v>-1.4999999999999999E-2</c:v>
                </c:pt>
                <c:pt idx="22">
                  <c:v>-2.1999999999999999E-2</c:v>
                </c:pt>
                <c:pt idx="23">
                  <c:v>9.4E-2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Patron'!$H$44:$H$67</c:f>
              <c:numCache>
                <c:formatCode>General</c:formatCode>
                <c:ptCount val="24"/>
              </c:numCache>
            </c:numRef>
          </c:xVal>
          <c:yVal>
            <c:numRef>
              <c:f>'BD Patron'!$I$44:$I$67</c:f>
              <c:numCache>
                <c:formatCode>General</c:formatCode>
                <c:ptCount val="2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3648"/>
        <c:axId val="-668118544"/>
      </c:scatterChart>
      <c:valAx>
        <c:axId val="-6681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8544"/>
        <c:crosses val="autoZero"/>
        <c:crossBetween val="midCat"/>
      </c:valAx>
      <c:valAx>
        <c:axId val="-6681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Patron'!$E$68:$E$93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Patron'!$F$68:$F$93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Patron'!$H$68:$H$93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Patron'!$I$68:$I$93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117456"/>
        <c:axId val="-668124528"/>
      </c:scatterChart>
      <c:valAx>
        <c:axId val="-66811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24528"/>
        <c:crosses val="autoZero"/>
        <c:crossBetween val="midCat"/>
      </c:valAx>
      <c:valAx>
        <c:axId val="-668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66811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66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67</xdr:row>
      <xdr:rowOff>142240</xdr:rowOff>
    </xdr:from>
    <xdr:to>
      <xdr:col>17</xdr:col>
      <xdr:colOff>328846</xdr:colOff>
      <xdr:row>92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102</xdr:row>
      <xdr:rowOff>0</xdr:rowOff>
    </xdr:from>
    <xdr:to>
      <xdr:col>17</xdr:col>
      <xdr:colOff>338492</xdr:colOff>
      <xdr:row>102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66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67</xdr:row>
      <xdr:rowOff>142240</xdr:rowOff>
    </xdr:from>
    <xdr:to>
      <xdr:col>22</xdr:col>
      <xdr:colOff>1513840</xdr:colOff>
      <xdr:row>92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27" dataDxfId="126">
  <tableColumns count="2">
    <tableColumn id="1" xr3:uid="{00000000-0010-0000-0000-000001000000}" name="Hoja de cálculo" dataDxfId="125"/>
    <tableColumn id="2" xr3:uid="{00000000-0010-0000-0000-000002000000}" name="Detalles" dataDxfId="12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23" dataDxfId="122">
  <tableColumns count="2">
    <tableColumn id="1" xr3:uid="{00000000-0010-0000-0100-000001000000}" name="Certificado Presión" dataDxfId="121"/>
    <tableColumn id="2" xr3:uid="{00000000-0010-0000-0100-000002000000}" name="Detalles" dataDxfId="12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19" dataDxfId="118">
  <tableColumns count="2">
    <tableColumn id="1" xr3:uid="{00000000-0010-0000-0200-000001000000}" name="Condiciones ambientales" dataDxfId="117"/>
    <tableColumn id="2" xr3:uid="{00000000-0010-0000-0200-000002000000}" name="Detalles" dataDxfId="11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15" dataDxfId="114">
  <tableColumns count="2">
    <tableColumn id="1" xr3:uid="{00000000-0010-0000-0300-000001000000}" name="Cliente" dataDxfId="113"/>
    <tableColumn id="2" xr3:uid="{00000000-0010-0000-0300-000002000000}" name="Detalles" dataDxfId="11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1" dataDxfId="109" headerRowBorderDxfId="110" tableBorderDxfId="108" totalsRowBorderDxfId="107">
  <tableColumns count="10">
    <tableColumn id="1" xr3:uid="{00000000-0010-0000-0400-000001000000}" name="#" dataDxfId="106"/>
    <tableColumn id="2" xr3:uid="{00000000-0010-0000-0400-000002000000}" name="Promedio Patrón" dataDxfId="105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4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3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2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1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0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99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98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97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6" dataDxfId="94" totalsRowDxfId="92" headerRowBorderDxfId="95" tableBorderDxfId="93" totalsRowBorderDxfId="91">
  <tableColumns count="15">
    <tableColumn id="1" xr3:uid="{00000000-0010-0000-0500-000001000000}" name="Fuente de incertidumbre" totalsRowLabel="Contribuciones incert. combinada" dataDxfId="90" totalsRowDxfId="89"/>
    <tableColumn id="2" xr3:uid="{00000000-0010-0000-0500-000002000000}" name="Símbolo" dataDxfId="88" totalsRowDxfId="87"/>
    <tableColumn id="14" xr3:uid="{00000000-0010-0000-0500-00000E000000}" name="Distrib." dataDxfId="86" totalsRowDxfId="85"/>
    <tableColumn id="15" xr3:uid="{00000000-0010-0000-0500-00000F000000}" name="Divisor" dataDxfId="84" totalsRowDxfId="83"/>
    <tableColumn id="16" xr3:uid="{00000000-0010-0000-0500-000010000000}" name="Coef. ci" dataDxfId="82" totalsRowDxfId="81"/>
    <tableColumn id="4" xr3:uid="{00000000-0010-0000-0500-000004000000}" name="p1 (%)" totalsRowFunction="sum" dataDxfId="80" totalsRowDxfId="79">
      <calculatedColumnFormula array="1">IFERROR(ABS(G9)/SUM(ABS('kU(E)'!$G$9:$G$18)),0)</calculatedColumnFormula>
    </tableColumn>
    <tableColumn id="5" xr3:uid="{00000000-0010-0000-0500-000005000000}" name="p2 (%)" totalsRowFunction="sum" dataDxfId="78" totalsRowDxfId="77">
      <calculatedColumnFormula array="1">IFERROR(ABS(H9)/SUM(ABS('kU(E)'!$H$9:$H$18)),0)</calculatedColumnFormula>
    </tableColumn>
    <tableColumn id="6" xr3:uid="{00000000-0010-0000-0500-000006000000}" name="p3 (%)" totalsRowFunction="sum" dataDxfId="76" totalsRowDxfId="75">
      <calculatedColumnFormula array="1">IFERROR(ABS(I9)/SUM(ABS('kU(E)'!$I$9:$I$18)),0)</calculatedColumnFormula>
    </tableColumn>
    <tableColumn id="7" xr3:uid="{00000000-0010-0000-0500-000007000000}" name="p4 (%)" totalsRowFunction="sum" dataDxfId="74" totalsRowDxfId="73">
      <calculatedColumnFormula array="1">IFERROR(ABS(J9)/SUM(ABS('kU(E)'!$J$9:$J$18)),0)</calculatedColumnFormula>
    </tableColumn>
    <tableColumn id="8" xr3:uid="{00000000-0010-0000-0500-000008000000}" name="p5 (%)" totalsRowFunction="sum" dataDxfId="72" totalsRowDxfId="71">
      <calculatedColumnFormula array="1">IFERROR(ABS(K9)/SUM(ABS('kU(E)'!$K$9:$K$18)),0)</calculatedColumnFormula>
    </tableColumn>
    <tableColumn id="9" xr3:uid="{00000000-0010-0000-0500-000009000000}" name="p6 (%)" totalsRowFunction="sum" dataDxfId="70" totalsRowDxfId="69">
      <calculatedColumnFormula array="1">IFERROR(ABS(L9)/SUM(ABS('kU(E)'!$L$9:$L$18)),0)</calculatedColumnFormula>
    </tableColumn>
    <tableColumn id="10" xr3:uid="{00000000-0010-0000-0500-00000A000000}" name="p7 (%)" totalsRowFunction="sum" dataDxfId="68" totalsRowDxfId="67">
      <calculatedColumnFormula array="1">IFERROR(ABS(M9)/SUM(ABS('kU(E)'!$M$9:$M$18)),0)</calculatedColumnFormula>
    </tableColumn>
    <tableColumn id="11" xr3:uid="{00000000-0010-0000-0500-00000B000000}" name="p8 (%)" totalsRowFunction="sum" dataDxfId="66" totalsRowDxfId="65">
      <calculatedColumnFormula array="1">IFERROR(ABS(N9)/SUM(ABS('kU(E)'!$N$9:$N$18)),0)</calculatedColumnFormula>
    </tableColumn>
    <tableColumn id="12" xr3:uid="{00000000-0010-0000-0500-00000C000000}" name="p9 (%)" totalsRowFunction="sum" dataDxfId="64" totalsRowDxfId="63">
      <calculatedColumnFormula array="1">IFERROR(ABS(O9)/SUM(ABS('kU(E)'!$O$9:$O$18)),0)</calculatedColumnFormula>
    </tableColumn>
    <tableColumn id="13" xr3:uid="{00000000-0010-0000-0500-00000D000000}" name="p10 (%)" totalsRowFunction="sum" dataDxfId="62" totalsRowDxfId="61">
      <calculatedColumnFormula>IFERROR(ABS(P9)/SUM(ABS('kU(E)'!$P15)),0)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93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zoomScale="90" zoomScaleNormal="90" workbookViewId="0">
      <selection activeCell="F16" sqref="F1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678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1"/>
      <c r="O2" s="261"/>
      <c r="P2" s="261" t="s">
        <v>736</v>
      </c>
      <c r="Q2" s="261" t="s">
        <v>737</v>
      </c>
      <c r="R2" s="261" t="s">
        <v>738</v>
      </c>
    </row>
    <row r="3" spans="2:18" x14ac:dyDescent="0.3">
      <c r="B3" s="1" t="s">
        <v>4</v>
      </c>
      <c r="C3" s="125" t="s">
        <v>539</v>
      </c>
      <c r="E3" s="1" t="s">
        <v>5</v>
      </c>
      <c r="F3" s="156" t="s">
        <v>1500</v>
      </c>
      <c r="H3" s="3" t="s">
        <v>6</v>
      </c>
      <c r="I3" s="4" t="s">
        <v>40</v>
      </c>
      <c r="K3" s="1" t="s">
        <v>8</v>
      </c>
      <c r="L3" s="125" t="s">
        <v>992</v>
      </c>
      <c r="N3" s="262" t="s">
        <v>584</v>
      </c>
      <c r="O3" s="263" t="s">
        <v>739</v>
      </c>
      <c r="P3" s="256">
        <v>20</v>
      </c>
      <c r="Q3" s="256">
        <v>42.5</v>
      </c>
      <c r="R3" s="258">
        <v>1001</v>
      </c>
    </row>
    <row r="4" spans="2:18" x14ac:dyDescent="0.3">
      <c r="B4" s="1" t="s">
        <v>10</v>
      </c>
      <c r="C4" s="125"/>
      <c r="E4" s="1" t="s">
        <v>11</v>
      </c>
      <c r="F4" s="156" t="s">
        <v>45</v>
      </c>
      <c r="H4" s="3" t="s">
        <v>12</v>
      </c>
      <c r="I4" s="91" t="s">
        <v>377</v>
      </c>
      <c r="K4" s="1" t="s">
        <v>13</v>
      </c>
      <c r="L4" s="128" t="str">
        <f>IFERROR(VLOOKUP(L3,tblClientes[[Nombre]:[Direccion]],2,FALSE),"")</f>
        <v/>
      </c>
      <c r="N4" s="264"/>
      <c r="O4" s="265" t="s">
        <v>740</v>
      </c>
      <c r="P4">
        <v>20.3</v>
      </c>
      <c r="Q4">
        <v>43.1</v>
      </c>
      <c r="R4" s="259">
        <v>1001</v>
      </c>
    </row>
    <row r="5" spans="2:18" x14ac:dyDescent="0.3">
      <c r="B5" s="1" t="s">
        <v>14</v>
      </c>
      <c r="C5" s="5"/>
      <c r="E5" s="1" t="s">
        <v>15</v>
      </c>
      <c r="F5" s="156" t="s">
        <v>819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29" t="s">
        <v>726</v>
      </c>
      <c r="N5" s="264" t="s">
        <v>583</v>
      </c>
      <c r="O5" s="265" t="s">
        <v>739</v>
      </c>
      <c r="P5">
        <v>20.2</v>
      </c>
      <c r="Q5">
        <v>43.1</v>
      </c>
      <c r="R5" s="259">
        <v>1001</v>
      </c>
    </row>
    <row r="6" spans="2:18" x14ac:dyDescent="0.3">
      <c r="B6" s="1" t="s">
        <v>18</v>
      </c>
      <c r="C6" s="125"/>
      <c r="E6" s="1" t="s">
        <v>19</v>
      </c>
      <c r="F6" s="156" t="s">
        <v>820</v>
      </c>
      <c r="H6" s="3" t="s">
        <v>20</v>
      </c>
      <c r="I6" s="89">
        <f>P10</f>
        <v>20.100000000000001</v>
      </c>
      <c r="K6" s="1" t="s">
        <v>6</v>
      </c>
      <c r="L6" s="129" t="s">
        <v>827</v>
      </c>
      <c r="N6" s="264"/>
      <c r="O6" s="265" t="s">
        <v>740</v>
      </c>
      <c r="P6">
        <v>20.5</v>
      </c>
      <c r="Q6">
        <v>43.8</v>
      </c>
      <c r="R6" s="259">
        <v>1001</v>
      </c>
    </row>
    <row r="7" spans="2:18" x14ac:dyDescent="0.3">
      <c r="B7" s="1" t="s">
        <v>22</v>
      </c>
      <c r="C7" s="125"/>
      <c r="E7" s="1" t="s">
        <v>23</v>
      </c>
      <c r="F7" s="156" t="s">
        <v>547</v>
      </c>
      <c r="H7" s="3" t="s">
        <v>24</v>
      </c>
      <c r="I7" s="89">
        <f>P11</f>
        <v>20.399999999999999</v>
      </c>
      <c r="K7" s="1"/>
      <c r="L7" s="1"/>
      <c r="N7" s="264" t="s">
        <v>585</v>
      </c>
      <c r="O7" s="265" t="s">
        <v>739</v>
      </c>
      <c r="R7" s="259"/>
    </row>
    <row r="8" spans="2:18" x14ac:dyDescent="0.3">
      <c r="B8" s="1" t="s">
        <v>25</v>
      </c>
      <c r="C8" s="125"/>
      <c r="E8" s="1" t="s">
        <v>540</v>
      </c>
      <c r="F8" s="156" t="s">
        <v>541</v>
      </c>
      <c r="H8" s="3" t="s">
        <v>27</v>
      </c>
      <c r="I8" s="90">
        <f>IFERROR(AVERAGE(I6:I7),"")</f>
        <v>20.25</v>
      </c>
      <c r="K8" s="1"/>
      <c r="L8" s="1"/>
      <c r="N8" s="266"/>
      <c r="O8" s="267" t="s">
        <v>740</v>
      </c>
      <c r="P8" s="257"/>
      <c r="Q8" s="257"/>
      <c r="R8" s="260"/>
    </row>
    <row r="9" spans="2:18" ht="16.2" x14ac:dyDescent="0.3">
      <c r="B9" s="1" t="s">
        <v>28</v>
      </c>
      <c r="C9" s="125"/>
      <c r="E9" s="1" t="s">
        <v>592</v>
      </c>
      <c r="F9" s="156" t="s">
        <v>821</v>
      </c>
      <c r="H9" s="3" t="s">
        <v>527</v>
      </c>
      <c r="I9" s="90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5" t="s">
        <v>31</v>
      </c>
      <c r="E10" s="1" t="s">
        <v>26</v>
      </c>
      <c r="F10" s="156" t="s">
        <v>822</v>
      </c>
      <c r="H10" s="3" t="s">
        <v>33</v>
      </c>
      <c r="I10" s="274">
        <f>VLOOKUP(I4,'BD Patron'!C6:L10,4,FALSE)</f>
        <v>0.1</v>
      </c>
      <c r="K10" s="1"/>
      <c r="L10" s="1"/>
      <c r="N10" s="335" t="s">
        <v>739</v>
      </c>
      <c r="O10" s="336"/>
      <c r="P10" s="270">
        <f>IFERROR(AVERAGE(P3,P5,P7),"")</f>
        <v>20.100000000000001</v>
      </c>
      <c r="Q10" s="270">
        <f>IFERROR(AVERAGE(Q3,Q5,Q7),"")</f>
        <v>42.8</v>
      </c>
      <c r="R10" s="271">
        <f>IFERROR(AVERAGE(R3,R5,R7),"")</f>
        <v>1001</v>
      </c>
    </row>
    <row r="11" spans="2:18" x14ac:dyDescent="0.3">
      <c r="E11" s="1" t="s">
        <v>29</v>
      </c>
      <c r="F11" s="156" t="s">
        <v>85</v>
      </c>
      <c r="H11" s="3" t="s">
        <v>34</v>
      </c>
      <c r="I11" s="89">
        <f>Q10</f>
        <v>42.8</v>
      </c>
      <c r="K11" s="1"/>
      <c r="L11" s="1"/>
      <c r="N11" s="337" t="s">
        <v>740</v>
      </c>
      <c r="O11" s="338"/>
      <c r="P11" s="272">
        <f>IFERROR(AVERAGE(P4,P6,P8),"")</f>
        <v>20.399999999999999</v>
      </c>
      <c r="Q11" s="272">
        <f t="shared" ref="Q11:R11" si="0">IFERROR(AVERAGE(Q4,Q6,Q8),"")</f>
        <v>43.45</v>
      </c>
      <c r="R11" s="273">
        <f t="shared" si="0"/>
        <v>1001</v>
      </c>
    </row>
    <row r="12" spans="2:18" x14ac:dyDescent="0.3">
      <c r="E12" s="1" t="s">
        <v>32</v>
      </c>
      <c r="F12" s="156" t="s">
        <v>823</v>
      </c>
      <c r="H12" s="3" t="s">
        <v>35</v>
      </c>
      <c r="I12" s="89">
        <f>Q11</f>
        <v>43.45</v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6" t="s">
        <v>824</v>
      </c>
      <c r="H13" s="3" t="s">
        <v>36</v>
      </c>
      <c r="I13" s="90">
        <f>IFERROR(AVERAGE(I11:I12),"")</f>
        <v>43.125</v>
      </c>
      <c r="K13" s="1"/>
      <c r="L13" s="1"/>
    </row>
    <row r="14" spans="2:18" x14ac:dyDescent="0.3">
      <c r="E14" s="1" t="s">
        <v>551</v>
      </c>
      <c r="F14" s="156" t="s">
        <v>825</v>
      </c>
      <c r="H14" s="3" t="s">
        <v>528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6" t="s">
        <v>1532</v>
      </c>
      <c r="H15" s="3" t="s">
        <v>38</v>
      </c>
      <c r="I15" s="274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6" t="s">
        <v>543</v>
      </c>
      <c r="H16" s="3" t="s">
        <v>530</v>
      </c>
      <c r="I16" s="89">
        <f>R10</f>
        <v>1001</v>
      </c>
      <c r="K16" s="1"/>
      <c r="L16" s="1"/>
    </row>
    <row r="17" spans="2:9" x14ac:dyDescent="0.3">
      <c r="B17" s="92"/>
      <c r="C17" t="s">
        <v>468</v>
      </c>
      <c r="E17" s="1" t="s">
        <v>47</v>
      </c>
      <c r="F17" s="156"/>
      <c r="H17" s="3" t="s">
        <v>531</v>
      </c>
      <c r="I17" s="89">
        <f>R11</f>
        <v>1001</v>
      </c>
    </row>
    <row r="18" spans="2:9" x14ac:dyDescent="0.3">
      <c r="E18" s="1" t="s">
        <v>716</v>
      </c>
      <c r="F18" s="156" t="s">
        <v>826</v>
      </c>
      <c r="H18" s="3" t="s">
        <v>532</v>
      </c>
      <c r="I18" s="90">
        <f>IFERROR(AVERAGE(I16:I17),"")</f>
        <v>1001</v>
      </c>
    </row>
    <row r="19" spans="2:9" x14ac:dyDescent="0.3">
      <c r="B19" s="93"/>
      <c r="C19" t="s">
        <v>469</v>
      </c>
      <c r="H19" s="3" t="s">
        <v>529</v>
      </c>
      <c r="I19" s="90">
        <v>2.4700000000000002</v>
      </c>
    </row>
    <row r="20" spans="2:9" x14ac:dyDescent="0.3">
      <c r="H20" s="3" t="s">
        <v>728</v>
      </c>
      <c r="I20" s="90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7" t="s">
        <v>541</v>
      </c>
    </row>
    <row r="104" spans="23:23" x14ac:dyDescent="0.3">
      <c r="W104" s="67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39" t="s">
        <v>741</v>
      </c>
      <c r="Z123" s="340"/>
      <c r="AA123" s="340"/>
      <c r="AB123" s="341"/>
    </row>
    <row r="124" spans="23:28" x14ac:dyDescent="0.3">
      <c r="W124" s="201" t="s">
        <v>544</v>
      </c>
      <c r="Y124" s="342" t="s">
        <v>742</v>
      </c>
      <c r="Z124" s="343"/>
      <c r="AA124" s="343"/>
      <c r="AB124" s="344"/>
    </row>
    <row r="125" spans="23:28" x14ac:dyDescent="0.3">
      <c r="W125" s="201" t="s">
        <v>543</v>
      </c>
      <c r="Y125" s="329" t="s">
        <v>779</v>
      </c>
      <c r="Z125" s="330"/>
      <c r="AA125" s="330"/>
      <c r="AB125" s="331"/>
    </row>
    <row r="126" spans="23:28" x14ac:dyDescent="0.3">
      <c r="W126" s="201" t="s">
        <v>545</v>
      </c>
      <c r="Y126" s="329" t="s">
        <v>744</v>
      </c>
      <c r="Z126" s="330"/>
      <c r="AA126" s="330"/>
      <c r="AB126" s="331"/>
    </row>
    <row r="127" spans="23:28" x14ac:dyDescent="0.3">
      <c r="W127" s="201" t="s">
        <v>606</v>
      </c>
      <c r="Y127" s="329" t="s">
        <v>745</v>
      </c>
      <c r="Z127" s="330"/>
      <c r="AA127" s="330"/>
      <c r="AB127" s="331"/>
    </row>
    <row r="128" spans="23:28" x14ac:dyDescent="0.3">
      <c r="W128" s="201" t="s">
        <v>546</v>
      </c>
      <c r="Y128" s="329" t="s">
        <v>746</v>
      </c>
      <c r="Z128" s="330"/>
      <c r="AA128" s="330"/>
      <c r="AB128" s="331"/>
    </row>
    <row r="129" spans="23:28" x14ac:dyDescent="0.3">
      <c r="W129" s="201" t="s">
        <v>766</v>
      </c>
      <c r="Y129" s="329" t="s">
        <v>747</v>
      </c>
      <c r="Z129" s="330"/>
      <c r="AA129" s="330"/>
      <c r="AB129" s="331"/>
    </row>
    <row r="130" spans="23:28" x14ac:dyDescent="0.3">
      <c r="W130" s="201" t="s">
        <v>770</v>
      </c>
      <c r="Y130" s="329" t="s">
        <v>748</v>
      </c>
      <c r="Z130" s="330"/>
      <c r="AA130" s="330"/>
      <c r="AB130" s="331"/>
    </row>
    <row r="131" spans="23:28" x14ac:dyDescent="0.3">
      <c r="W131" s="201" t="s">
        <v>620</v>
      </c>
      <c r="Y131" s="329" t="s">
        <v>749</v>
      </c>
      <c r="Z131" s="330"/>
      <c r="AA131" s="330"/>
      <c r="AB131" s="331"/>
    </row>
    <row r="132" spans="23:28" x14ac:dyDescent="0.3">
      <c r="W132" s="201" t="s">
        <v>621</v>
      </c>
      <c r="Y132" s="329" t="s">
        <v>750</v>
      </c>
      <c r="Z132" s="330"/>
      <c r="AA132" s="330"/>
      <c r="AB132" s="331"/>
    </row>
    <row r="133" spans="23:28" x14ac:dyDescent="0.3">
      <c r="W133" s="201" t="s">
        <v>622</v>
      </c>
      <c r="Y133" s="329" t="s">
        <v>751</v>
      </c>
      <c r="Z133" s="330"/>
      <c r="AA133" s="330"/>
      <c r="AB133" s="331"/>
    </row>
    <row r="134" spans="23:28" x14ac:dyDescent="0.3">
      <c r="W134" s="201" t="s">
        <v>771</v>
      </c>
      <c r="Y134" s="329" t="s">
        <v>774</v>
      </c>
      <c r="Z134" s="330"/>
      <c r="AA134" s="330"/>
      <c r="AB134" s="331"/>
    </row>
    <row r="135" spans="23:28" x14ac:dyDescent="0.3">
      <c r="W135" s="201" t="s">
        <v>772</v>
      </c>
      <c r="Y135" s="329" t="s">
        <v>775</v>
      </c>
      <c r="Z135" s="330"/>
      <c r="AA135" s="330"/>
      <c r="AB135" s="331"/>
    </row>
    <row r="136" spans="23:28" x14ac:dyDescent="0.3">
      <c r="W136" s="201" t="s">
        <v>773</v>
      </c>
      <c r="Y136" s="329" t="s">
        <v>754</v>
      </c>
      <c r="Z136" s="330"/>
      <c r="AA136" s="330"/>
      <c r="AB136" s="331"/>
    </row>
    <row r="137" spans="23:28" x14ac:dyDescent="0.3">
      <c r="W137" s="201" t="s">
        <v>619</v>
      </c>
      <c r="Y137" s="329" t="s">
        <v>755</v>
      </c>
      <c r="Z137" s="330"/>
      <c r="AA137" s="330"/>
      <c r="AB137" s="331"/>
    </row>
    <row r="138" spans="23:28" x14ac:dyDescent="0.3">
      <c r="W138" s="201" t="s">
        <v>780</v>
      </c>
      <c r="Y138" s="329" t="s">
        <v>781</v>
      </c>
      <c r="Z138" s="330"/>
      <c r="AA138" s="330"/>
      <c r="AB138" s="331"/>
    </row>
    <row r="139" spans="23:28" x14ac:dyDescent="0.3">
      <c r="Y139" s="329" t="s">
        <v>757</v>
      </c>
      <c r="Z139" s="330"/>
      <c r="AA139" s="330"/>
      <c r="AB139" s="331"/>
    </row>
    <row r="140" spans="23:28" x14ac:dyDescent="0.3">
      <c r="Y140" s="329" t="s">
        <v>758</v>
      </c>
      <c r="Z140" s="330"/>
      <c r="AA140" s="330"/>
      <c r="AB140" s="331"/>
    </row>
    <row r="141" spans="23:28" x14ac:dyDescent="0.3">
      <c r="Y141" s="329" t="s">
        <v>759</v>
      </c>
      <c r="Z141" s="330"/>
      <c r="AA141" s="330"/>
      <c r="AB141" s="331"/>
    </row>
    <row r="142" spans="23:28" x14ac:dyDescent="0.3">
      <c r="Y142" s="329" t="s">
        <v>776</v>
      </c>
      <c r="Z142" s="330"/>
      <c r="AA142" s="330"/>
      <c r="AB142" s="331"/>
    </row>
    <row r="143" spans="23:28" x14ac:dyDescent="0.3">
      <c r="Y143" s="329" t="s">
        <v>761</v>
      </c>
      <c r="Z143" s="330"/>
      <c r="AA143" s="330"/>
      <c r="AB143" s="331"/>
    </row>
    <row r="144" spans="23:28" x14ac:dyDescent="0.3">
      <c r="Y144" s="329" t="s">
        <v>762</v>
      </c>
      <c r="Z144" s="330"/>
      <c r="AA144" s="330"/>
      <c r="AB144" s="331"/>
    </row>
    <row r="145" spans="25:28" x14ac:dyDescent="0.3">
      <c r="Y145" s="329" t="s">
        <v>763</v>
      </c>
      <c r="Z145" s="330"/>
      <c r="AA145" s="330"/>
      <c r="AB145" s="331"/>
    </row>
    <row r="146" spans="25:28" x14ac:dyDescent="0.3">
      <c r="Y146" s="329" t="s">
        <v>764</v>
      </c>
      <c r="Z146" s="330"/>
      <c r="AA146" s="330"/>
      <c r="AB146" s="331"/>
    </row>
    <row r="147" spans="25:28" x14ac:dyDescent="0.3">
      <c r="Y147" s="329" t="s">
        <v>777</v>
      </c>
      <c r="Z147" s="330"/>
      <c r="AA147" s="330"/>
      <c r="AB147" s="331"/>
    </row>
    <row r="148" spans="25:28" x14ac:dyDescent="0.3">
      <c r="Y148" s="329" t="s">
        <v>778</v>
      </c>
      <c r="Z148" s="330"/>
      <c r="AA148" s="330"/>
      <c r="AB148" s="331"/>
    </row>
    <row r="149" spans="25:28" ht="15" thickBot="1" x14ac:dyDescent="0.35">
      <c r="Y149" s="332" t="s">
        <v>782</v>
      </c>
      <c r="Z149" s="333"/>
      <c r="AA149" s="333"/>
      <c r="AB149" s="334"/>
    </row>
  </sheetData>
  <dataConsolidate/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P12" sqref="P12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634</v>
      </c>
      <c r="L2" s="25"/>
      <c r="M2" s="3"/>
      <c r="O2" s="17" t="s">
        <v>643</v>
      </c>
      <c r="P2" s="17"/>
      <c r="T2" s="25" t="s">
        <v>615</v>
      </c>
      <c r="U2" s="25"/>
      <c r="V2" s="25"/>
      <c r="W2" s="25"/>
      <c r="X2" s="25"/>
      <c r="Y2" s="3"/>
      <c r="AE2" s="17" t="s">
        <v>658</v>
      </c>
      <c r="AF2" s="17"/>
      <c r="AG2" s="17"/>
      <c r="AH2" s="17"/>
      <c r="AI2" s="17" t="str">
        <f>CONCATENATE("[Todo en ", unidad,"]")</f>
        <v>[Todo en psi]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3" t="s">
        <v>540</v>
      </c>
      <c r="C3" s="216"/>
      <c r="D3" s="154"/>
      <c r="E3" s="205" t="str">
        <f>General!F8</f>
        <v>Analógico</v>
      </c>
      <c r="G3" s="177" t="s">
        <v>624</v>
      </c>
      <c r="H3" s="177"/>
      <c r="I3" s="118" t="s">
        <v>560</v>
      </c>
      <c r="K3" s="177" t="s">
        <v>388</v>
      </c>
      <c r="L3" s="177"/>
      <c r="M3" s="118" t="s">
        <v>727</v>
      </c>
      <c r="O3" s="123" t="s">
        <v>645</v>
      </c>
      <c r="P3" s="69">
        <f>((AS10*(CertPres))+CertHR*((AS11*CertTempC)+AS12))/(273.15 + CertTempC)</f>
        <v>1.1843059645535108</v>
      </c>
      <c r="T3" s="181" t="s">
        <v>577</v>
      </c>
      <c r="U3" s="190" t="s">
        <v>607</v>
      </c>
      <c r="V3" s="191"/>
      <c r="W3" s="190" t="s">
        <v>613</v>
      </c>
      <c r="X3" s="191"/>
      <c r="Y3" s="3"/>
      <c r="AR3" s="27"/>
      <c r="AS3" s="27"/>
      <c r="AT3" s="27"/>
      <c r="AU3" s="27"/>
      <c r="AV3" s="27"/>
      <c r="AY3" s="219" t="s">
        <v>670</v>
      </c>
      <c r="AZ3" s="219"/>
      <c r="BA3" s="219"/>
      <c r="BB3" s="219"/>
      <c r="BC3" s="219"/>
      <c r="BG3" s="27"/>
    </row>
    <row r="4" spans="2:62" ht="14.4" customHeight="1" x14ac:dyDescent="0.3">
      <c r="B4" s="177" t="s">
        <v>385</v>
      </c>
      <c r="C4" s="153"/>
      <c r="D4" s="154"/>
      <c r="E4" s="206" t="str">
        <f>DivEscala</f>
        <v>0.5</v>
      </c>
      <c r="G4" s="177" t="s">
        <v>626</v>
      </c>
      <c r="H4" s="177"/>
      <c r="I4" s="64">
        <f>IFERROR(VLOOKUP(I3,tblBD_Patrones[[#All],[Código Patrón]:[Resolución '[psi']]],13,FALSE),"")</f>
        <v>0.1</v>
      </c>
      <c r="K4" s="177" t="s">
        <v>635</v>
      </c>
      <c r="L4" s="177"/>
      <c r="M4" s="118">
        <f>General!I20+0.00006</f>
        <v>6.0000000000000002E-5</v>
      </c>
      <c r="O4" s="123" t="s">
        <v>640</v>
      </c>
      <c r="P4" s="95">
        <f>ABS(CertTempIni-CertTempFin)/SQRT(12)</f>
        <v>8.6602540378443046E-2</v>
      </c>
      <c r="S4" s="31" t="s">
        <v>370</v>
      </c>
      <c r="T4" s="88" t="s">
        <v>389</v>
      </c>
      <c r="U4" s="86" t="s">
        <v>608</v>
      </c>
      <c r="V4" s="86" t="s">
        <v>609</v>
      </c>
      <c r="W4" s="86" t="s">
        <v>612</v>
      </c>
      <c r="X4" s="86" t="s">
        <v>611</v>
      </c>
      <c r="Y4" s="178" t="s">
        <v>614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19"/>
      <c r="AZ4" s="219"/>
      <c r="BA4" s="219"/>
      <c r="BB4" s="219"/>
      <c r="BC4" s="219"/>
      <c r="BG4" s="27"/>
    </row>
    <row r="5" spans="2:62" ht="14.4" customHeight="1" x14ac:dyDescent="0.3">
      <c r="B5" s="153" t="s">
        <v>550</v>
      </c>
      <c r="C5" s="216"/>
      <c r="D5" s="154"/>
      <c r="E5" s="207" t="str">
        <f>RangoMed_min</f>
        <v>0</v>
      </c>
      <c r="G5" s="177" t="s">
        <v>625</v>
      </c>
      <c r="H5" s="177"/>
      <c r="I5" s="118"/>
      <c r="K5" s="177" t="s">
        <v>636</v>
      </c>
      <c r="L5" s="177"/>
      <c r="M5" s="118" t="s">
        <v>637</v>
      </c>
      <c r="O5" s="123" t="s">
        <v>641</v>
      </c>
      <c r="P5" s="95">
        <f>ABS(General!I11-General!I12)/SQRT(12)</f>
        <v>0.18763883748663002</v>
      </c>
      <c r="S5" s="22">
        <v>1</v>
      </c>
      <c r="T5" s="189" t="str">
        <f>'BD Patron'!C15</f>
        <v>NI-MCPP-12</v>
      </c>
      <c r="U5" s="188">
        <f>IFERROR(LOOKUP(T5,tblBD_Patrones[Código Patrón],tblBD_Patrones[min.])*coef_unidad,"")</f>
        <v>0</v>
      </c>
      <c r="V5" s="188">
        <f>IFERROR(LOOKUP(T5,tblBD_Patrones[Código Patrón],tblBD_Patrones[max.])*coef_unidad,"")</f>
        <v>5</v>
      </c>
      <c r="W5" s="188" t="str">
        <f>IFERROR(LOOKUP(T5,tblBD_Patrones[Código Patrón],tblBD_Patrones[t min. compensada]),"")</f>
        <v>N/D</v>
      </c>
      <c r="X5" s="188" t="str">
        <f>IFERROR(LOOKUP(T5,tblBD_Patrones[Código Patrón],tblBD_Patrones[t max. compensada]),"")</f>
        <v>N/D</v>
      </c>
      <c r="Y5" s="43">
        <f>IFERROR(LOOKUP(T5,tblBD_Patrones[Código Patrón],tblBD_Patrones[Coeficiente temp. % de medición '[FS/°C']]),"")</f>
        <v>5.0000000000000001E-3</v>
      </c>
      <c r="AE5" s="68" t="s">
        <v>435</v>
      </c>
      <c r="AF5" s="69">
        <f t="array" aca="1" ref="AF5:AO5" ca="1">TRANSPOSE($T$15:$T$29)</f>
        <v>6.9375</v>
      </c>
      <c r="AG5" s="69">
        <f ca="1"/>
        <v>9.9600000000000009</v>
      </c>
      <c r="AH5" s="69">
        <f ca="1"/>
        <v>17.947500000000002</v>
      </c>
      <c r="AI5" s="69">
        <f ca="1"/>
        <v>24.952500000000001</v>
      </c>
      <c r="AJ5" s="69">
        <f ca="1"/>
        <v>34.927499999999995</v>
      </c>
      <c r="AK5" s="69">
        <f ca="1"/>
        <v>52.965000000000003</v>
      </c>
      <c r="AL5" s="64">
        <f ca="1"/>
        <v>69.952500000000001</v>
      </c>
      <c r="AM5" s="64">
        <f ca="1"/>
        <v>200.09</v>
      </c>
      <c r="AN5" s="64" t="str">
        <f ca="1"/>
        <v/>
      </c>
      <c r="AO5" s="64" t="str">
        <f ca="1"/>
        <v/>
      </c>
      <c r="AR5" s="27"/>
      <c r="AS5" s="27"/>
      <c r="AT5" s="27"/>
      <c r="AU5" s="27"/>
      <c r="AV5" s="27"/>
      <c r="AY5" s="219"/>
      <c r="AZ5" s="219"/>
      <c r="BA5" s="219"/>
      <c r="BB5" s="219"/>
      <c r="BC5" s="219"/>
      <c r="BG5" s="27"/>
    </row>
    <row r="6" spans="2:62" ht="14.4" customHeight="1" x14ac:dyDescent="0.3">
      <c r="B6" s="177" t="s">
        <v>551</v>
      </c>
      <c r="C6" s="153"/>
      <c r="D6" s="154"/>
      <c r="E6" s="188" t="str">
        <f>RangoMed_max</f>
        <v>16</v>
      </c>
      <c r="G6" s="177" t="s">
        <v>627</v>
      </c>
      <c r="H6" s="177"/>
      <c r="I6" s="64" t="str">
        <f>IFERROR(VLOOKUP(I5,tblBD_Patrones[[#All],[Código Patrón]:[Resolución '[psi']]],13,FALSE),"")</f>
        <v/>
      </c>
      <c r="K6" s="177" t="s">
        <v>639</v>
      </c>
      <c r="L6" s="177"/>
      <c r="M6" s="118">
        <v>1E-3</v>
      </c>
      <c r="O6" s="123" t="s">
        <v>642</v>
      </c>
      <c r="P6" s="95">
        <f>ABS(General!I16-General!I17)/SQRT(12)</f>
        <v>0</v>
      </c>
      <c r="S6" s="22">
        <v>2</v>
      </c>
      <c r="T6" s="189" t="str">
        <f>'BD Patron'!C16</f>
        <v>NI-MCPP-13</v>
      </c>
      <c r="U6" s="188">
        <f>IFERROR(LOOKUP(T6,tblBD_Patrones[Código Patrón],tblBD_Patrones[min.])*coef_unidad,"")</f>
        <v>-11</v>
      </c>
      <c r="V6" s="188">
        <f>IFERROR(LOOKUP(T6,tblBD_Patrones[Código Patrón],tblBD_Patrones[max.])*coef_unidad,"")</f>
        <v>1450</v>
      </c>
      <c r="W6" s="188" t="str">
        <f>IFERROR(LOOKUP(T6,tblBD_Patrones[Código Patrón],tblBD_Patrones[t min. compensada]),"")</f>
        <v>N/D</v>
      </c>
      <c r="X6" s="188" t="str">
        <f>IFERROR(LOOKUP(T6,tblBD_Patrones[Código Patrón],tblBD_Patrones[t max. compensada]),"")</f>
        <v>N/D</v>
      </c>
      <c r="Y6" s="43">
        <f>IFERROR(LOOKUP(T6,tblBD_Patrones[Código Patrón],tblBD_Patrones[Coeficiente temp. % de medición '[FS/°C']]),"")</f>
        <v>5.0000000000000001E-3</v>
      </c>
      <c r="AE6" s="68" t="s">
        <v>436</v>
      </c>
      <c r="AF6" s="65">
        <f ca="1">IFERROR(INDEX($T$37:$T$51,MATCH(AF$5,$T$37:OFFSET($T$37,NumPuntosCalib-1,0),1)),"")</f>
        <v>0</v>
      </c>
      <c r="AG6" s="65">
        <f ca="1">IFERROR(INDEX($T$37:$T$51,MATCH(AG$5,$T$37:OFFSET($T$37,NumPuntosCalib-1,0),1)),"")</f>
        <v>0</v>
      </c>
      <c r="AH6" s="65">
        <f ca="1">IFERROR(INDEX($T$37:$T$51,MATCH(AH$5,$T$37:OFFSET($T$37,NumPuntosCalib-1,0),1)),"")</f>
        <v>0</v>
      </c>
      <c r="AI6" s="65">
        <f ca="1">IFERROR(INDEX($T$37:$T$51,MATCH(AI$5,$T$37:OFFSET($T$37,NumPuntosCalib-1,0),1)),"")</f>
        <v>0</v>
      </c>
      <c r="AJ6" s="65">
        <f ca="1">IFERROR(INDEX($T$37:$T$51,MATCH(AJ$5,$T$37:OFFSET($T$37,NumPuntosCalib-1,0),1)),"")</f>
        <v>0</v>
      </c>
      <c r="AK6" s="65">
        <f ca="1">IFERROR(INDEX($T$37:$T$51,MATCH(AK$5,$T$37:OFFSET($T$37,NumPuntosCalib-1,0),1)),"")</f>
        <v>50</v>
      </c>
      <c r="AL6" s="65">
        <f ca="1">IFERROR(INDEX($T$37:$T$51,MATCH(AL$5,$T$37:OFFSET($T$37,NumPuntosCalib-1,0),1)),"")</f>
        <v>50</v>
      </c>
      <c r="AM6" s="65">
        <f ca="1">IFERROR(INDEX($T$37:$T$51,MATCH(AM$5,$T$37:OFFSET($T$37,NumPuntosCalib-1,0),1)),"")</f>
        <v>200</v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19"/>
      <c r="AZ6" s="219"/>
      <c r="BA6" s="219"/>
      <c r="BB6" s="219"/>
      <c r="BC6" s="219"/>
      <c r="BG6" s="27"/>
      <c r="BJ6" t="s">
        <v>768</v>
      </c>
    </row>
    <row r="7" spans="2:62" ht="14.4" customHeight="1" x14ac:dyDescent="0.3">
      <c r="B7" s="153" t="s">
        <v>665</v>
      </c>
      <c r="C7" s="216"/>
      <c r="D7" s="154"/>
      <c r="E7" s="217">
        <f>ResolInst/E6</f>
        <v>3.125E-2</v>
      </c>
      <c r="H7" s="155"/>
      <c r="O7" s="123" t="s">
        <v>644</v>
      </c>
      <c r="P7" s="69">
        <f>SQRT((POWER(P4/CertTempC,2)+POWER(P5/CertHR,2)+POWER(P6/CertPres,2))*POWER(P3,2))</f>
        <v>7.2253818591786522E-3</v>
      </c>
      <c r="S7" s="22">
        <v>3</v>
      </c>
      <c r="T7" s="189" t="str">
        <f>'BD Patron'!C17</f>
        <v>NI-MCPP-04</v>
      </c>
      <c r="U7" s="188" t="str">
        <f>IFERROR(LOOKUP(T7,tblBD_Patrones[Código Patrón],tblBD_Patrones[min.])*coef_unidad,"")</f>
        <v/>
      </c>
      <c r="V7" s="188" t="str">
        <f>IFERROR(LOOKUP(T7,tblBD_Patrones[Código Patrón],tblBD_Patrones[max.])*coef_unidad,"")</f>
        <v/>
      </c>
      <c r="W7" s="188" t="str">
        <f>IFERROR(LOOKUP(T7,tblBD_Patrones[Código Patrón],tblBD_Patrones[t min. compensada]),"")</f>
        <v/>
      </c>
      <c r="X7" s="188" t="str">
        <f>IFERROR(LOOKUP(T7,tblBD_Patrones[Código Patrón],tblBD_Patrones[t max. compensada]),"")</f>
        <v/>
      </c>
      <c r="Y7" s="43" t="str">
        <f>IFERROR(LOOKUP(T7,tblBD_Patrones[Código Patrón],tblBD_Patrones[Coeficiente temp. % de medición '[FS/°C']]),"")</f>
        <v/>
      </c>
      <c r="AE7" s="68" t="s">
        <v>438</v>
      </c>
      <c r="AF7" s="65">
        <f ca="1">IFERROR(INDEX($U$37:$U$51,MATCH(AF$5,$T$37:OFFSET($T$37,NumPuntosCalib-1,0),1)),"")</f>
        <v>3.0000000000000001E-3</v>
      </c>
      <c r="AG7" s="65">
        <f ca="1">IFERROR(INDEX($U$37:$U$51,MATCH(AG$5,$T$37:OFFSET($T$37,NumPuntosCalib-1,0),1)),"")</f>
        <v>3.0000000000000001E-3</v>
      </c>
      <c r="AH7" s="65">
        <f ca="1">IFERROR(INDEX($U$37:$U$51,MATCH(AH$5,$T$37:OFFSET($T$37,NumPuntosCalib-1,0),1)),"")</f>
        <v>3.0000000000000001E-3</v>
      </c>
      <c r="AI7" s="65">
        <f ca="1">IFERROR(INDEX($U$37:$U$51,MATCH(AI$5,$T$37:OFFSET($T$37,NumPuntosCalib-1,0),1)),"")</f>
        <v>3.0000000000000001E-3</v>
      </c>
      <c r="AJ7" s="65">
        <f ca="1">IFERROR(INDEX($U$37:$U$51,MATCH(AJ$5,$T$37:OFFSET($T$37,NumPuntosCalib-1,0),1)),"")</f>
        <v>3.0000000000000001E-3</v>
      </c>
      <c r="AK7" s="65">
        <f ca="1">IFERROR(INDEX($U$37:$U$51,MATCH(AK$5,$T$37:OFFSET($T$37,NumPuntosCalib-1,0),1)),"")</f>
        <v>-1.9E-2</v>
      </c>
      <c r="AL7" s="65">
        <f ca="1">IFERROR(INDEX($U$37:$U$51,MATCH(AL$5,$T$37:OFFSET($T$37,NumPuntosCalib-1,0),1)),"")</f>
        <v>-1.9E-2</v>
      </c>
      <c r="AM7" s="65">
        <f ca="1">IFERROR(INDEX($U$37:$U$51,MATCH(AM$5,$T$37:OFFSET($T$37,NumPuntosCalib-1,0),1)),"")</f>
        <v>-7.0000000000000001E-3</v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19"/>
      <c r="AZ7" s="219"/>
      <c r="BA7" s="219">
        <f>(0.34848*CertPres-0.009024*POWER(CertHR,0.061*CertTempC))/(273.15+CertTempC)</f>
        <v>1.1857023684559695</v>
      </c>
      <c r="BB7" s="219"/>
      <c r="BC7" s="219"/>
      <c r="BG7" s="27"/>
      <c r="BJ7" t="s">
        <v>1114</v>
      </c>
    </row>
    <row r="8" spans="2:62" ht="15" x14ac:dyDescent="0.3">
      <c r="B8" s="153" t="s">
        <v>386</v>
      </c>
      <c r="C8" s="154"/>
      <c r="D8" s="94">
        <f>INDEX(M37:Q50,MATCH(E8,M37:M50,0),2)</f>
        <v>1</v>
      </c>
      <c r="E8" s="157" t="str">
        <f>General!F16</f>
        <v>psi</v>
      </c>
      <c r="G8" s="208"/>
      <c r="H8" s="208"/>
      <c r="I8" s="208"/>
      <c r="T8" s="3" t="s">
        <v>610</v>
      </c>
      <c r="U8" s="3"/>
      <c r="AE8" s="68" t="s">
        <v>437</v>
      </c>
      <c r="AF8" s="65">
        <f ca="1">IFERROR(INDEX($T$37:$T$51,MATCH(AF$5,$T$37:OFFSET($T$37,NumPuntosCalib-1,0),1)+1),"")</f>
        <v>50</v>
      </c>
      <c r="AG8" s="65">
        <f ca="1">IFERROR(INDEX($T$37:$T$51,MATCH(AG$5,$T$37:OFFSET($T$37,NumPuntosCalib-1,0),1)+1),"")</f>
        <v>50</v>
      </c>
      <c r="AH8" s="65">
        <f ca="1">IFERROR(INDEX($T$37:$T$51,MATCH(AH$5,$T$37:OFFSET($T$37,NumPuntosCalib-1,0),1)+1),"")</f>
        <v>50</v>
      </c>
      <c r="AI8" s="65">
        <f ca="1">IFERROR(INDEX($T$37:$T$51,MATCH(AI$5,$T$37:OFFSET($T$37,NumPuntosCalib-1,0),1)+1),"")</f>
        <v>50</v>
      </c>
      <c r="AJ8" s="65">
        <f ca="1">IFERROR(INDEX($T$37:$T$51,MATCH(AJ$5,$T$37:OFFSET($T$37,NumPuntosCalib-1,0),1)+1),"")</f>
        <v>50</v>
      </c>
      <c r="AK8" s="65">
        <f ca="1">IFERROR(INDEX($T$37:$T$51,MATCH(AK$5,$T$37:OFFSET($T$37,NumPuntosCalib-1,0),1)+1),"")</f>
        <v>100</v>
      </c>
      <c r="AL8" s="65">
        <f ca="1">IFERROR(INDEX($T$37:$T$51,MATCH(AL$5,$T$37:OFFSET($T$37,NumPuntosCalib-1,0),1)+1),"")</f>
        <v>100</v>
      </c>
      <c r="AM8" s="65">
        <f ca="1">IFERROR(INDEX($T$37:$T$51,MATCH(AM$5,$T$37:OFFSET($T$37,NumPuntosCalib-1,0),1)+1),"")</f>
        <v>400</v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1" t="s">
        <v>515</v>
      </c>
      <c r="E9" s="122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8" t="s">
        <v>439</v>
      </c>
      <c r="AF9" s="65">
        <f ca="1">IFERROR(INDEX($U$37:$U$51,MATCH(AF$5,$T$37:OFFSET($T$37,NumPuntosCalib-1,0),1)+1),"")</f>
        <v>-1.9E-2</v>
      </c>
      <c r="AG9" s="65">
        <f ca="1">IFERROR(INDEX($U$37:$U$51,MATCH(AG$5,$T$37:OFFSET($T$37,NumPuntosCalib-1,0),1)+1),"")</f>
        <v>-1.9E-2</v>
      </c>
      <c r="AH9" s="65">
        <f ca="1">IFERROR(INDEX($U$37:$U$51,MATCH(AH$5,$T$37:OFFSET($T$37,NumPuntosCalib-1,0),1)+1),"")</f>
        <v>-1.9E-2</v>
      </c>
      <c r="AI9" s="65">
        <f ca="1">IFERROR(INDEX($U$37:$U$51,MATCH(AI$5,$T$37:OFFSET($T$37,NumPuntosCalib-1,0),1)+1),"")</f>
        <v>-1.9E-2</v>
      </c>
      <c r="AJ9" s="65">
        <f ca="1">IFERROR(INDEX($U$37:$U$51,MATCH(AJ$5,$T$37:OFFSET($T$37,NumPuntosCalib-1,0),1)+1),"")</f>
        <v>-1.9E-2</v>
      </c>
      <c r="AK9" s="65">
        <f ca="1">IFERROR(INDEX($U$37:$U$51,MATCH(AK$5,$T$37:OFFSET($T$37,NumPuntosCalib-1,0),1)+1),"")</f>
        <v>-1.4999999999999999E-2</v>
      </c>
      <c r="AL9" s="65">
        <f ca="1">IFERROR(INDEX($U$37:$U$51,MATCH(AL$5,$T$37:OFFSET($T$37,NumPuntosCalib-1,0),1)+1),"")</f>
        <v>-1.4999999999999999E-2</v>
      </c>
      <c r="AM9" s="65">
        <f ca="1">IFERROR(INDEX($U$37:$U$51,MATCH(AM$5,$T$37:OFFSET($T$37,NumPuntosCalib-1,0),1)+1),"")</f>
        <v>-4.2000000000000003E-2</v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3" t="s">
        <v>1110</v>
      </c>
      <c r="C10" s="216"/>
      <c r="D10" s="154"/>
      <c r="E10" s="302" t="s">
        <v>457</v>
      </c>
      <c r="F10" s="247"/>
      <c r="G10" s="247"/>
      <c r="H10" s="247"/>
      <c r="I10" s="247"/>
      <c r="J10" s="247"/>
      <c r="K10" s="248" t="s">
        <v>668</v>
      </c>
      <c r="L10" s="249" t="s">
        <v>669</v>
      </c>
      <c r="M10" s="246"/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1" t="s">
        <v>671</v>
      </c>
      <c r="AS10" s="27">
        <v>0.34844000000000003</v>
      </c>
      <c r="AT10" s="222" t="s">
        <v>672</v>
      </c>
      <c r="AU10" s="27"/>
      <c r="AV10" s="27"/>
      <c r="BG10" s="27"/>
    </row>
    <row r="11" spans="2:62" ht="16.2" x14ac:dyDescent="0.3">
      <c r="C11" s="17" t="str">
        <f>CONCATENATE("Todo en [",unidad,"]")</f>
        <v>Todo en [psi]</v>
      </c>
      <c r="D11" s="246"/>
      <c r="E11" s="250" t="s">
        <v>666</v>
      </c>
      <c r="F11" s="250"/>
      <c r="G11" s="251">
        <f>IF(E3="Digital",2,IF(AND(E3="Analógico",E7&lt;=0.2),3,2))</f>
        <v>3</v>
      </c>
      <c r="H11" s="247"/>
      <c r="I11" s="250" t="s">
        <v>667</v>
      </c>
      <c r="J11" s="250"/>
      <c r="K11" s="251">
        <f>IF(E3="Digital",0,IF(AND(E3="Analógico",E7&lt;=0.6),8,IF(AND(E3="Analógico",E7&gt;0.6,E7&lt;4),5,3)))</f>
        <v>8</v>
      </c>
      <c r="L11" s="252">
        <f>IF(E3="Analógico",0,IF(AND(E3="Digital",E7&lt;=0.1),15,IF(AND(E3="Digital",E7&gt;0.1,E7&lt;0.25),10,IF(AND(E3="Digital",E7&gt;=0.25,E7&lt;2),5,3))))</f>
        <v>0</v>
      </c>
      <c r="M11" s="246"/>
      <c r="AE11" s="68" t="s">
        <v>440</v>
      </c>
      <c r="AF11" s="120">
        <f t="shared" ref="AF11:AO11" ca="1" si="0">IFERROR(AF7+(AF5-AF6)*(AF9-AF7)/(AF8-AF6),"")</f>
        <v>-5.2499999999999596E-5</v>
      </c>
      <c r="AG11" s="120">
        <f t="shared" ca="1" si="0"/>
        <v>-1.3823999999999998E-3</v>
      </c>
      <c r="AH11" s="120">
        <f t="shared" ca="1" si="0"/>
        <v>-4.8969E-3</v>
      </c>
      <c r="AI11" s="120">
        <f t="shared" ca="1" si="0"/>
        <v>-7.9790999999999994E-3</v>
      </c>
      <c r="AJ11" s="120">
        <f t="shared" ca="1" si="0"/>
        <v>-1.2368099999999996E-2</v>
      </c>
      <c r="AK11" s="120">
        <f t="shared" ca="1" si="0"/>
        <v>-1.87628E-2</v>
      </c>
      <c r="AL11" s="120">
        <f t="shared" ca="1" si="0"/>
        <v>-1.7403800000000001E-2</v>
      </c>
      <c r="AM11" s="120">
        <f t="shared" ca="1" si="0"/>
        <v>-7.0157500000000012E-3</v>
      </c>
      <c r="AN11" s="120" t="str">
        <f t="shared" ca="1" si="0"/>
        <v/>
      </c>
      <c r="AO11" s="120" t="str">
        <f t="shared" ca="1" si="0"/>
        <v/>
      </c>
      <c r="AR11" s="221" t="s">
        <v>673</v>
      </c>
      <c r="AS11" s="27">
        <v>-2.5200000000000001E-3</v>
      </c>
      <c r="AT11" s="222" t="s">
        <v>674</v>
      </c>
      <c r="AU11" s="27"/>
      <c r="AV11" s="27"/>
    </row>
    <row r="12" spans="2:62" ht="16.2" x14ac:dyDescent="0.3">
      <c r="C12" s="346" t="s">
        <v>584</v>
      </c>
      <c r="D12" s="346"/>
      <c r="E12" s="346"/>
      <c r="F12" s="346"/>
      <c r="G12" s="346" t="s">
        <v>583</v>
      </c>
      <c r="H12" s="346"/>
      <c r="I12" s="346"/>
      <c r="J12" s="346"/>
      <c r="K12" s="346" t="s">
        <v>585</v>
      </c>
      <c r="L12" s="346"/>
      <c r="M12" s="346"/>
      <c r="N12" s="346"/>
      <c r="AE12" s="30"/>
      <c r="AF12" s="3"/>
      <c r="AG12" s="3"/>
      <c r="AH12" s="3"/>
      <c r="AI12" s="3"/>
      <c r="AJ12" s="3"/>
      <c r="AK12" s="3"/>
      <c r="AR12" s="221" t="s">
        <v>675</v>
      </c>
      <c r="AS12" s="27">
        <v>2.0582E-2</v>
      </c>
      <c r="AT12" s="222" t="s">
        <v>676</v>
      </c>
      <c r="AU12" s="27"/>
      <c r="AV12" s="27"/>
    </row>
    <row r="13" spans="2:62" x14ac:dyDescent="0.3">
      <c r="B13" s="182" t="s">
        <v>32</v>
      </c>
      <c r="C13" s="345" t="s">
        <v>586</v>
      </c>
      <c r="D13" s="345"/>
      <c r="E13" s="345" t="s">
        <v>587</v>
      </c>
      <c r="F13" s="345"/>
      <c r="G13" s="345" t="s">
        <v>588</v>
      </c>
      <c r="H13" s="345"/>
      <c r="I13" s="345" t="s">
        <v>589</v>
      </c>
      <c r="J13" s="345"/>
      <c r="K13" s="345" t="s">
        <v>590</v>
      </c>
      <c r="L13" s="345"/>
      <c r="M13" s="345" t="s">
        <v>591</v>
      </c>
      <c r="N13" s="345"/>
      <c r="S13" s="17" t="str">
        <f>CONCATENATE("Todo en [",unidad,"]")</f>
        <v>Todo en [psi]</v>
      </c>
      <c r="T13" s="17"/>
      <c r="U13" s="48" t="s">
        <v>535</v>
      </c>
      <c r="Y13" s="48" t="s">
        <v>605</v>
      </c>
      <c r="Z13" s="180" t="s">
        <v>605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19" t="s">
        <v>389</v>
      </c>
      <c r="D14" s="119" t="s">
        <v>366</v>
      </c>
      <c r="E14" s="119" t="s">
        <v>389</v>
      </c>
      <c r="F14" s="119" t="s">
        <v>366</v>
      </c>
      <c r="G14" s="119" t="s">
        <v>389</v>
      </c>
      <c r="H14" s="119" t="s">
        <v>366</v>
      </c>
      <c r="I14" s="119" t="s">
        <v>389</v>
      </c>
      <c r="J14" s="119" t="s">
        <v>366</v>
      </c>
      <c r="K14" s="119" t="s">
        <v>389</v>
      </c>
      <c r="L14" s="119" t="s">
        <v>366</v>
      </c>
      <c r="M14" s="119" t="s">
        <v>389</v>
      </c>
      <c r="N14" s="192" t="s">
        <v>366</v>
      </c>
      <c r="O14" s="193" t="s">
        <v>616</v>
      </c>
      <c r="P14" s="119" t="s">
        <v>617</v>
      </c>
      <c r="Q14" s="119" t="s">
        <v>656</v>
      </c>
      <c r="S14" s="78" t="s">
        <v>370</v>
      </c>
      <c r="T14" s="79" t="s">
        <v>390</v>
      </c>
      <c r="U14" s="80" t="s">
        <v>537</v>
      </c>
      <c r="V14" s="148" t="s">
        <v>391</v>
      </c>
      <c r="W14" s="148" t="s">
        <v>392</v>
      </c>
      <c r="X14" s="148" t="s">
        <v>507</v>
      </c>
      <c r="Y14" s="80" t="s">
        <v>536</v>
      </c>
      <c r="Z14" s="148" t="s">
        <v>428</v>
      </c>
      <c r="AA14" s="148" t="s">
        <v>534</v>
      </c>
      <c r="AB14" s="148" t="s">
        <v>533</v>
      </c>
      <c r="AE14" s="17" t="s">
        <v>660</v>
      </c>
      <c r="AF14" s="17"/>
      <c r="AG14" s="17"/>
      <c r="AH14" s="17"/>
      <c r="AI14" s="17" t="str">
        <f>CONCATENATE("[Todo en ", unidad,"]")</f>
        <v>[Todo en psi]</v>
      </c>
      <c r="AJ14" s="17"/>
    </row>
    <row r="15" spans="2:62" x14ac:dyDescent="0.3">
      <c r="B15" s="22">
        <v>1</v>
      </c>
      <c r="C15" s="220">
        <v>6.95</v>
      </c>
      <c r="D15" s="220">
        <v>7</v>
      </c>
      <c r="E15" s="220">
        <v>6.84</v>
      </c>
      <c r="F15" s="220">
        <v>7</v>
      </c>
      <c r="G15" s="220">
        <v>6.98</v>
      </c>
      <c r="H15" s="220">
        <v>7</v>
      </c>
      <c r="I15" s="220">
        <v>6.98</v>
      </c>
      <c r="J15" s="220">
        <v>7</v>
      </c>
      <c r="K15" s="197"/>
      <c r="L15" s="197"/>
      <c r="M15" s="197"/>
      <c r="N15" s="197"/>
      <c r="O15" s="198">
        <f>IF($E$3="Analógico",(MAX(ABS(C15-E15),ABS(G15-I15),ABS(K15-M15))),(MAX(ABS(D15-F15),ABS(H15-J15),ABS(L15-N15))))</f>
        <v>0.11000000000000032</v>
      </c>
      <c r="P15" s="199">
        <f>IF($E$3="Analógico",STDEVA(C15,E15,G15,I15,K15,M15),STDEVA(D15,F15,H15,J15,L15,N15))</f>
        <v>6.6520673478250622E-2</v>
      </c>
      <c r="Q15" s="211">
        <f>($E$7)*$E$6</f>
        <v>0.5</v>
      </c>
      <c r="S15" s="66">
        <v>1</v>
      </c>
      <c r="T15" s="45">
        <f ca="1">IFERROR(AVERAGEIFS(C15:N15,OFFSET($C$15:$N$15,-1,0),"=Patrón",C15:N15,"&lt;&gt;0"),"")</f>
        <v>6.9375</v>
      </c>
      <c r="U15" s="46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>-5.2499999999999596E-5</v>
      </c>
      <c r="V15" s="253">
        <f ca="1">IFERROR(tblResultCalib[[#This Row],[Promedio Patrón]]+tblResultCalib[[#This Row],[Corrección patrón]],"")</f>
        <v>6.9374475000000002</v>
      </c>
      <c r="W15" s="150">
        <f t="shared" ref="W15:W29" ca="1" si="1">IFERROR(AVERAGEIFS(C15:N15,OFFSET($C$15:$N$15,-1,0),"=Equipo",C15:N15,"&lt;&gt;0"),"")</f>
        <v>7</v>
      </c>
      <c r="X15" s="146">
        <f ca="1">IFERROR(tblResultCalib[[#This Row],[Patrón corregido]]-tblResultCalib[[#This Row],[Promedio equipo]],"")</f>
        <v>-6.2552499999999789E-2</v>
      </c>
      <c r="Y15" s="146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>5.9554999999999997E-2</v>
      </c>
      <c r="Z15" s="146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>1.2102374999999999E-2</v>
      </c>
      <c r="AA1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0">
        <v>9.9600000000000009</v>
      </c>
      <c r="D16" s="220">
        <v>10</v>
      </c>
      <c r="E16" s="220">
        <v>9.92</v>
      </c>
      <c r="F16" s="220">
        <v>10</v>
      </c>
      <c r="G16" s="220">
        <v>9.98</v>
      </c>
      <c r="H16" s="220">
        <v>10</v>
      </c>
      <c r="I16" s="220">
        <v>9.98</v>
      </c>
      <c r="J16" s="220">
        <v>10</v>
      </c>
      <c r="K16" s="197"/>
      <c r="L16" s="197"/>
      <c r="M16" s="197"/>
      <c r="N16" s="197"/>
      <c r="O16" s="198">
        <f t="shared" ref="O16:O29" si="2">IF($E$3="Analógico",(MAX(ABS(C16-E16),ABS(G16-I16),ABS(K16-M16))),(MAX(ABS(D16-F16),ABS(H16-J16),ABS(L16-N16))))</f>
        <v>4.0000000000000924E-2</v>
      </c>
      <c r="P16" s="199">
        <f t="shared" ref="P16:P29" si="3">IF($E$3="Analógico",STDEVA(C16,E16,G16,I16,K16,M16),STDEVA(D16,F16,H16,J16,L16,N16))</f>
        <v>2.8284271247462134E-2</v>
      </c>
      <c r="Q16" s="211">
        <f t="shared" ref="Q16:Q29" si="4">($E$7)*$E$6</f>
        <v>0.5</v>
      </c>
      <c r="S16" s="66">
        <v>2</v>
      </c>
      <c r="T16" s="45">
        <f t="shared" ref="T16:T29" ca="1" si="5">IFERROR(AVERAGEIFS(C16:N16,OFFSET($C$15:$N$15,-1,0),"=Patrón",C16:N16,"&lt;&gt;0"),"")</f>
        <v>9.9600000000000009</v>
      </c>
      <c r="U16" s="46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>-1.3823999999999998E-3</v>
      </c>
      <c r="V16" s="254">
        <f ca="1">IFERROR(tblResultCalib[[#This Row],[Promedio Patrón]]+tblResultCalib[[#This Row],[Corrección patrón]],"")</f>
        <v>9.9586176000000002</v>
      </c>
      <c r="W16" s="151">
        <f t="shared" ca="1" si="1"/>
        <v>10</v>
      </c>
      <c r="X16" s="145">
        <f ca="1">IFERROR(tblResultCalib[[#This Row],[Patrón corregido]]-tblResultCalib[[#This Row],[Promedio equipo]],"")</f>
        <v>-4.1382399999999819E-2</v>
      </c>
      <c r="Y16" s="146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>5.9796799999999997E-2</v>
      </c>
      <c r="Z16" s="146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>1.2277679999999999E-2</v>
      </c>
      <c r="AA1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0">
        <v>17.96</v>
      </c>
      <c r="D17" s="220">
        <v>18</v>
      </c>
      <c r="E17" s="220">
        <v>17.93</v>
      </c>
      <c r="F17" s="220">
        <v>18</v>
      </c>
      <c r="G17" s="220">
        <v>17.95</v>
      </c>
      <c r="H17" s="220">
        <v>18</v>
      </c>
      <c r="I17" s="220">
        <v>17.95</v>
      </c>
      <c r="J17" s="220">
        <v>18</v>
      </c>
      <c r="K17" s="197"/>
      <c r="L17" s="197"/>
      <c r="M17" s="197"/>
      <c r="N17" s="197"/>
      <c r="O17" s="198">
        <f t="shared" si="2"/>
        <v>3.0000000000001137E-2</v>
      </c>
      <c r="P17" s="199">
        <f t="shared" si="3"/>
        <v>1.2583057392118237E-2</v>
      </c>
      <c r="Q17" s="211">
        <f t="shared" si="4"/>
        <v>0.5</v>
      </c>
      <c r="S17" s="66">
        <v>3</v>
      </c>
      <c r="T17" s="45">
        <f t="shared" ca="1" si="5"/>
        <v>17.947500000000002</v>
      </c>
      <c r="U17" s="46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>-4.8969E-3</v>
      </c>
      <c r="V17" s="254">
        <f ca="1">IFERROR(tblResultCalib[[#This Row],[Promedio Patrón]]+tblResultCalib[[#This Row],[Corrección patrón]],"")</f>
        <v>17.942603100000003</v>
      </c>
      <c r="W17" s="151">
        <f t="shared" ca="1" si="1"/>
        <v>18</v>
      </c>
      <c r="X17" s="145">
        <f ca="1">IFERROR(tblResultCalib[[#This Row],[Patrón corregido]]-tblResultCalib[[#This Row],[Promedio equipo]],"")</f>
        <v>-5.7396899999996975E-2</v>
      </c>
      <c r="Y17" s="146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>6.0435799999999998E-2</v>
      </c>
      <c r="Z17" s="146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>1.2740954999999998E-2</v>
      </c>
      <c r="AA1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435</v>
      </c>
      <c r="AF17" s="69">
        <f t="array" aca="1" ref="AF17:AO17" ca="1">TRANSPOSE($T$15:$T$29)</f>
        <v>6.9375</v>
      </c>
      <c r="AG17" s="69">
        <f ca="1"/>
        <v>9.9600000000000009</v>
      </c>
      <c r="AH17" s="69">
        <f ca="1"/>
        <v>17.947500000000002</v>
      </c>
      <c r="AI17" s="69">
        <f ca="1"/>
        <v>24.952500000000001</v>
      </c>
      <c r="AJ17" s="69">
        <f ca="1"/>
        <v>34.927499999999995</v>
      </c>
      <c r="AK17" s="69">
        <f ca="1"/>
        <v>52.965000000000003</v>
      </c>
      <c r="AL17" s="64">
        <f ca="1"/>
        <v>69.952500000000001</v>
      </c>
      <c r="AM17" s="64">
        <f ca="1"/>
        <v>200.09</v>
      </c>
      <c r="AN17" s="64" t="str">
        <f ca="1"/>
        <v/>
      </c>
      <c r="AO17" s="64" t="str">
        <f ca="1"/>
        <v/>
      </c>
    </row>
    <row r="18" spans="2:41" x14ac:dyDescent="0.3">
      <c r="B18" s="22">
        <v>4</v>
      </c>
      <c r="C18" s="220">
        <v>24.98</v>
      </c>
      <c r="D18" s="220">
        <v>25</v>
      </c>
      <c r="E18" s="220">
        <v>24.89</v>
      </c>
      <c r="F18" s="220">
        <v>25</v>
      </c>
      <c r="G18" s="220">
        <v>24.97</v>
      </c>
      <c r="H18" s="220">
        <v>25</v>
      </c>
      <c r="I18" s="220">
        <v>24.97</v>
      </c>
      <c r="J18" s="220">
        <v>25</v>
      </c>
      <c r="K18" s="197"/>
      <c r="L18" s="197"/>
      <c r="M18" s="197"/>
      <c r="N18" s="197"/>
      <c r="O18" s="198">
        <f t="shared" si="2"/>
        <v>8.9999999999999858E-2</v>
      </c>
      <c r="P18" s="199">
        <f t="shared" si="3"/>
        <v>4.1932485418029908E-2</v>
      </c>
      <c r="Q18" s="211">
        <f t="shared" si="4"/>
        <v>0.5</v>
      </c>
      <c r="S18" s="66">
        <v>4</v>
      </c>
      <c r="T18" s="45">
        <f t="shared" ca="1" si="5"/>
        <v>24.952500000000001</v>
      </c>
      <c r="U18" s="46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>-7.9790999999999994E-3</v>
      </c>
      <c r="V18" s="254">
        <f ca="1">IFERROR(tblResultCalib[[#This Row],[Promedio Patrón]]+tblResultCalib[[#This Row],[Corrección patrón]],"")</f>
        <v>24.944520900000001</v>
      </c>
      <c r="W18" s="151">
        <f t="shared" ca="1" si="1"/>
        <v>25</v>
      </c>
      <c r="X18" s="145">
        <f ca="1">IFERROR(tblResultCalib[[#This Row],[Patrón corregido]]-tblResultCalib[[#This Row],[Promedio equipo]],"")</f>
        <v>-5.5479099999999448E-2</v>
      </c>
      <c r="Y18" s="146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>6.09962E-2</v>
      </c>
      <c r="Z18" s="146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>1.3147244999999998E-2</v>
      </c>
      <c r="AA1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436</v>
      </c>
      <c r="AF18" s="65">
        <f ca="1">IFERROR(INDEX($T$37:$T$51,MATCH(AF$17,$T$37:OFFSET($T$37,NumPuntosCalib-1,0),1)),"")</f>
        <v>0</v>
      </c>
      <c r="AG18" s="65">
        <f ca="1">IFERROR(INDEX($T$37:$T$51,MATCH(AG$17,$T$37:OFFSET($T$37,NumPuntosCalib-1,0),1)),"")</f>
        <v>0</v>
      </c>
      <c r="AH18" s="65">
        <f ca="1">IFERROR(INDEX($T$37:$T$51,MATCH(AH$17,$T$37:OFFSET($T$37,NumPuntosCalib-1,0),1)),"")</f>
        <v>0</v>
      </c>
      <c r="AI18" s="65">
        <f ca="1">IFERROR(INDEX($T$37:$T$51,MATCH(AI$17,$T$37:OFFSET($T$37,NumPuntosCalib-1,0),1)),"")</f>
        <v>0</v>
      </c>
      <c r="AJ18" s="65">
        <f ca="1">IFERROR(INDEX($T$37:$T$51,MATCH(AJ$17,$T$37:OFFSET($T$37,NumPuntosCalib-1,0),1)),"")</f>
        <v>0</v>
      </c>
      <c r="AK18" s="65">
        <f ca="1">IFERROR(INDEX($T$37:$T$51,MATCH(AK$17,$T$37:OFFSET($T$37,NumPuntosCalib-1,0),1)),"")</f>
        <v>50</v>
      </c>
      <c r="AL18" s="65">
        <f ca="1">IFERROR(INDEX($T$37:$T$51,MATCH(AL$17,$T$37:OFFSET($T$37,NumPuntosCalib-1,0),1)),"")</f>
        <v>50</v>
      </c>
      <c r="AM18" s="65">
        <f ca="1">IFERROR(INDEX($T$37:$T$51,MATCH(AM$17,$T$37:OFFSET($T$37,NumPuntosCalib-1,0),1)),"")</f>
        <v>200</v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0">
        <v>34.979999999999997</v>
      </c>
      <c r="D19" s="220">
        <v>35</v>
      </c>
      <c r="E19" s="220">
        <v>34.79</v>
      </c>
      <c r="F19" s="220">
        <v>35</v>
      </c>
      <c r="G19" s="220">
        <v>34.97</v>
      </c>
      <c r="H19" s="220">
        <v>35</v>
      </c>
      <c r="I19" s="220">
        <v>34.97</v>
      </c>
      <c r="J19" s="220">
        <v>35</v>
      </c>
      <c r="K19" s="197"/>
      <c r="L19" s="197"/>
      <c r="M19" s="197"/>
      <c r="N19" s="197"/>
      <c r="O19" s="198">
        <f t="shared" si="2"/>
        <v>0.18999999999999773</v>
      </c>
      <c r="P19" s="199">
        <f t="shared" si="3"/>
        <v>9.1787798753428573E-2</v>
      </c>
      <c r="Q19" s="211">
        <f t="shared" si="4"/>
        <v>0.5</v>
      </c>
      <c r="S19" s="66">
        <v>5</v>
      </c>
      <c r="T19" s="45">
        <f t="shared" ca="1" si="5"/>
        <v>34.927499999999995</v>
      </c>
      <c r="U19" s="46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>-1.2368099999999996E-2</v>
      </c>
      <c r="V19" s="254">
        <f ca="1">IFERROR(tblResultCalib[[#This Row],[Promedio Patrón]]+tblResultCalib[[#This Row],[Corrección patrón]],"")</f>
        <v>34.915131899999992</v>
      </c>
      <c r="W19" s="151">
        <f t="shared" ca="1" si="1"/>
        <v>35</v>
      </c>
      <c r="X19" s="145">
        <f ca="1">IFERROR(tblResultCalib[[#This Row],[Patrón corregido]]-tblResultCalib[[#This Row],[Promedio equipo]],"")</f>
        <v>-8.486810000000844E-2</v>
      </c>
      <c r="Y19" s="146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>6.1794200000000001E-2</v>
      </c>
      <c r="Z19" s="146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>1.3725794999999999E-2</v>
      </c>
      <c r="AA1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438</v>
      </c>
      <c r="AF19" s="65">
        <f ca="1">IFERROR(INDEX($V$37:$V$51,MATCH(AF$17,$T$37:OFFSET($T$37,NumPuntosCalib-1,0),1)),"")</f>
        <v>5.8999999999999997E-2</v>
      </c>
      <c r="AG19" s="65">
        <f ca="1">IFERROR(INDEX($V$37:$V$51,MATCH(AG$17,$T$37:OFFSET($T$37,NumPuntosCalib-1,0),1)),"")</f>
        <v>5.8999999999999997E-2</v>
      </c>
      <c r="AH19" s="65">
        <f ca="1">IFERROR(INDEX($V$37:$V$51,MATCH(AH$17,$T$37:OFFSET($T$37,NumPuntosCalib-1,0),1)),"")</f>
        <v>5.8999999999999997E-2</v>
      </c>
      <c r="AI19" s="65">
        <f ca="1">IFERROR(INDEX($V$37:$V$51,MATCH(AI$17,$T$37:OFFSET($T$37,NumPuntosCalib-1,0),1)),"")</f>
        <v>5.8999999999999997E-2</v>
      </c>
      <c r="AJ19" s="65">
        <f ca="1">IFERROR(INDEX($V$37:$V$51,MATCH(AJ$17,$T$37:OFFSET($T$37,NumPuntosCalib-1,0),1)),"")</f>
        <v>5.8999999999999997E-2</v>
      </c>
      <c r="AK19" s="65">
        <f ca="1">IFERROR(INDEX($V$37:$V$51,MATCH(AK$17,$T$37:OFFSET($T$37,NumPuntosCalib-1,0),1)),"")</f>
        <v>6.3E-2</v>
      </c>
      <c r="AL19" s="65">
        <f ca="1">IFERROR(INDEX($V$37:$V$51,MATCH(AL$17,$T$37:OFFSET($T$37,NumPuntosCalib-1,0),1)),"")</f>
        <v>6.3E-2</v>
      </c>
      <c r="AM19" s="65">
        <f ca="1">IFERROR(INDEX($V$37:$V$51,MATCH(AM$17,$T$37:OFFSET($T$37,NumPuntosCalib-1,0),1)),"")</f>
        <v>0.06</v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0">
        <v>52.98</v>
      </c>
      <c r="D20" s="220">
        <v>53</v>
      </c>
      <c r="E20" s="220">
        <v>52.9</v>
      </c>
      <c r="F20" s="220">
        <v>53</v>
      </c>
      <c r="G20" s="220">
        <v>52.99</v>
      </c>
      <c r="H20" s="220">
        <v>53</v>
      </c>
      <c r="I20" s="220">
        <v>52.99</v>
      </c>
      <c r="J20" s="220">
        <v>53</v>
      </c>
      <c r="K20" s="197"/>
      <c r="L20" s="197"/>
      <c r="M20" s="197"/>
      <c r="N20" s="197"/>
      <c r="O20" s="198">
        <f t="shared" si="2"/>
        <v>7.9999999999998295E-2</v>
      </c>
      <c r="P20" s="199">
        <f t="shared" si="3"/>
        <v>4.3588989435407843E-2</v>
      </c>
      <c r="Q20" s="211">
        <f t="shared" si="4"/>
        <v>0.5</v>
      </c>
      <c r="S20" s="66">
        <v>6</v>
      </c>
      <c r="T20" s="45">
        <f t="shared" ca="1" si="5"/>
        <v>52.965000000000003</v>
      </c>
      <c r="U20" s="46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>-1.87628E-2</v>
      </c>
      <c r="V20" s="254">
        <f ca="1">IFERROR(tblResultCalib[[#This Row],[Promedio Patrón]]+tblResultCalib[[#This Row],[Corrección patrón]],"")</f>
        <v>52.946237200000006</v>
      </c>
      <c r="W20" s="151">
        <f t="shared" ca="1" si="1"/>
        <v>53</v>
      </c>
      <c r="X20" s="145">
        <f ca="1">IFERROR(tblResultCalib[[#This Row],[Patrón corregido]]-tblResultCalib[[#This Row],[Promedio equipo]],"")</f>
        <v>-5.3762799999994115E-2</v>
      </c>
      <c r="Y20" s="146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>6.2762799999999994E-2</v>
      </c>
      <c r="Z20" s="146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>1.3935839999999998E-2</v>
      </c>
      <c r="AA20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437</v>
      </c>
      <c r="AF20" s="65">
        <f ca="1">IFERROR(INDEX($T$37:$T$51,MATCH(AF$17,$T$37:OFFSET($T$37,NumPuntosCalib-1,0),1)+1),"")</f>
        <v>50</v>
      </c>
      <c r="AG20" s="65">
        <f ca="1">IFERROR(INDEX($T$37:$T$51,MATCH(AG$17,$T$37:OFFSET($T$37,NumPuntosCalib-1,0),1)+1),"")</f>
        <v>50</v>
      </c>
      <c r="AH20" s="65">
        <f ca="1">IFERROR(INDEX($T$37:$T$51,MATCH(AH$17,$T$37:OFFSET($T$37,NumPuntosCalib-1,0),1)+1),"")</f>
        <v>50</v>
      </c>
      <c r="AI20" s="65">
        <f ca="1">IFERROR(INDEX($T$37:$T$51,MATCH(AI$17,$T$37:OFFSET($T$37,NumPuntosCalib-1,0),1)+1),"")</f>
        <v>50</v>
      </c>
      <c r="AJ20" s="65">
        <f ca="1">IFERROR(INDEX($T$37:$T$51,MATCH(AJ$17,$T$37:OFFSET($T$37,NumPuntosCalib-1,0),1)+1),"")</f>
        <v>50</v>
      </c>
      <c r="AK20" s="65">
        <f ca="1">IFERROR(INDEX($T$37:$T$51,MATCH(AK$17,$T$37:OFFSET($T$37,NumPuntosCalib-1,0),1)+1),"")</f>
        <v>100</v>
      </c>
      <c r="AL20" s="65">
        <f ca="1">IFERROR(INDEX($T$37:$T$51,MATCH(AL$17,$T$37:OFFSET($T$37,NumPuntosCalib-1,0),1)+1),"")</f>
        <v>100</v>
      </c>
      <c r="AM20" s="65">
        <f ca="1">IFERROR(INDEX($T$37:$T$51,MATCH(AM$17,$T$37:OFFSET($T$37,NumPuntosCalib-1,0),1)+1),"")</f>
        <v>400</v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0">
        <v>69.94</v>
      </c>
      <c r="D21" s="220">
        <v>70</v>
      </c>
      <c r="E21" s="220">
        <v>69.91</v>
      </c>
      <c r="F21" s="220">
        <v>70</v>
      </c>
      <c r="G21" s="220">
        <v>69.98</v>
      </c>
      <c r="H21" s="220">
        <v>70</v>
      </c>
      <c r="I21" s="220">
        <v>69.98</v>
      </c>
      <c r="J21" s="220">
        <v>70</v>
      </c>
      <c r="K21" s="197"/>
      <c r="L21" s="197"/>
      <c r="M21" s="197"/>
      <c r="N21" s="197"/>
      <c r="O21" s="198">
        <f t="shared" si="2"/>
        <v>3.0000000000001137E-2</v>
      </c>
      <c r="P21" s="199">
        <f t="shared" si="3"/>
        <v>3.4034296427774065E-2</v>
      </c>
      <c r="Q21" s="211">
        <f t="shared" si="4"/>
        <v>0.5</v>
      </c>
      <c r="S21" s="66">
        <v>7</v>
      </c>
      <c r="T21" s="45">
        <f t="shared" ca="1" si="5"/>
        <v>69.952500000000001</v>
      </c>
      <c r="U21" s="46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>-1.7403800000000001E-2</v>
      </c>
      <c r="V21" s="254">
        <f ca="1">IFERROR(tblResultCalib[[#This Row],[Promedio Patrón]]+tblResultCalib[[#This Row],[Corrección patrón]],"")</f>
        <v>69.935096200000004</v>
      </c>
      <c r="W21" s="151">
        <f t="shared" ca="1" si="1"/>
        <v>70</v>
      </c>
      <c r="X21" s="145">
        <f ca="1">IFERROR(tblResultCalib[[#This Row],[Patrón corregido]]-tblResultCalib[[#This Row],[Promedio equipo]],"")</f>
        <v>-6.4903799999996181E-2</v>
      </c>
      <c r="Y21" s="146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>6.1403800000000001E-2</v>
      </c>
      <c r="Z21" s="146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>1.013064E-2</v>
      </c>
      <c r="AA21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439</v>
      </c>
      <c r="AF21" s="65">
        <f ca="1">IFERROR(INDEX($V$37:$V$51,MATCH(AF$6,$T$37:OFFSET($T$37,NumPuntosCalib-1,0),1)+1),"")</f>
        <v>6.3E-2</v>
      </c>
      <c r="AG21" s="65">
        <f ca="1">IFERROR(INDEX($V$37:$V$51,MATCH(AG$6,$T$37:OFFSET($T$37,NumPuntosCalib-1,0),1)+1),"")</f>
        <v>6.3E-2</v>
      </c>
      <c r="AH21" s="65">
        <f ca="1">IFERROR(INDEX($V$37:$V$51,MATCH(AH$6,$T$37:OFFSET($T$37,NumPuntosCalib-1,0),1)+1),"")</f>
        <v>6.3E-2</v>
      </c>
      <c r="AI21" s="65">
        <f ca="1">IFERROR(INDEX($V$37:$V$51,MATCH(AI$6,$T$37:OFFSET($T$37,NumPuntosCalib-1,0),1)+1),"")</f>
        <v>6.3E-2</v>
      </c>
      <c r="AJ21" s="65">
        <f ca="1">IFERROR(INDEX($V$37:$V$51,MATCH(AJ$6,$T$37:OFFSET($T$37,NumPuntosCalib-1,0),1)+1),"")</f>
        <v>6.3E-2</v>
      </c>
      <c r="AK21" s="65">
        <f ca="1">IFERROR(INDEX($V$37:$V$51,MATCH(AK$6,$T$37:OFFSET($T$37,NumPuntosCalib-1,0),1)+1),"")</f>
        <v>5.8999999999999997E-2</v>
      </c>
      <c r="AL21" s="65">
        <f ca="1">IFERROR(INDEX($V$37:$V$51,MATCH(AL$6,$T$37:OFFSET($T$37,NumPuntosCalib-1,0),1)+1),"")</f>
        <v>5.8999999999999997E-2</v>
      </c>
      <c r="AM21" s="65">
        <f ca="1">IFERROR(INDEX($V$37:$V$51,MATCH(AM$6,$T$37:OFFSET($T$37,NumPuntosCalib-1,0),1)+1),"")</f>
        <v>6.7000000000000004E-2</v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0">
        <v>200.08</v>
      </c>
      <c r="D22" s="220">
        <v>200</v>
      </c>
      <c r="E22" s="220">
        <v>200.06</v>
      </c>
      <c r="F22" s="220">
        <v>200</v>
      </c>
      <c r="G22" s="220">
        <v>200.1</v>
      </c>
      <c r="H22" s="220">
        <v>200</v>
      </c>
      <c r="I22" s="197">
        <v>200.12</v>
      </c>
      <c r="J22" s="197">
        <v>200</v>
      </c>
      <c r="K22" s="197"/>
      <c r="L22" s="197"/>
      <c r="M22" s="197"/>
      <c r="N22" s="197"/>
      <c r="O22" s="198">
        <f t="shared" si="2"/>
        <v>2.0000000000010232E-2</v>
      </c>
      <c r="P22" s="199">
        <f t="shared" si="3"/>
        <v>2.5819888974714642E-2</v>
      </c>
      <c r="Q22" s="211">
        <f t="shared" si="4"/>
        <v>0.5</v>
      </c>
      <c r="S22" s="66">
        <v>8</v>
      </c>
      <c r="T22" s="45">
        <f t="shared" ca="1" si="5"/>
        <v>200.09</v>
      </c>
      <c r="U22" s="46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>-7.0157500000000012E-3</v>
      </c>
      <c r="V22" s="151">
        <f ca="1">IFERROR(tblResultCalib[[#This Row],[Promedio Patrón]]+tblResultCalib[[#This Row],[Corrección patrón]],"")</f>
        <v>200.08298425000001</v>
      </c>
      <c r="W22" s="151">
        <f t="shared" ca="1" si="1"/>
        <v>200</v>
      </c>
      <c r="X22" s="145">
        <f ca="1">IFERROR(tblResultCalib[[#This Row],[Patrón corregido]]-tblResultCalib[[#This Row],[Promedio equipo]],"")</f>
        <v>8.2984250000009752E-2</v>
      </c>
      <c r="Y22" s="145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>6.0003149999999998E-2</v>
      </c>
      <c r="Z22" s="146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>1.7699235000000001E-2</v>
      </c>
      <c r="AA22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440</v>
      </c>
      <c r="AF22" s="120">
        <f t="shared" ref="AF22:AO22" ca="1" si="6">IFERROR(AF19+(AF17-AF18)*(AF21-AF19)/(AF20-AF18),"")</f>
        <v>5.9554999999999997E-2</v>
      </c>
      <c r="AG22" s="120">
        <f t="shared" ca="1" si="6"/>
        <v>5.9796799999999997E-2</v>
      </c>
      <c r="AH22" s="120">
        <f t="shared" ca="1" si="6"/>
        <v>6.0435799999999998E-2</v>
      </c>
      <c r="AI22" s="120">
        <f t="shared" ca="1" si="6"/>
        <v>6.09962E-2</v>
      </c>
      <c r="AJ22" s="120">
        <f t="shared" ca="1" si="6"/>
        <v>6.1794200000000001E-2</v>
      </c>
      <c r="AK22" s="120">
        <f t="shared" ca="1" si="6"/>
        <v>6.2762799999999994E-2</v>
      </c>
      <c r="AL22" s="120">
        <f t="shared" ca="1" si="6"/>
        <v>6.1403800000000001E-2</v>
      </c>
      <c r="AM22" s="120">
        <f t="shared" ca="1" si="6"/>
        <v>6.0003149999999998E-2</v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2">
        <v>9</v>
      </c>
      <c r="C23" s="220"/>
      <c r="D23" s="220"/>
      <c r="E23" s="220"/>
      <c r="F23" s="220"/>
      <c r="G23" s="220"/>
      <c r="H23" s="220"/>
      <c r="I23" s="197"/>
      <c r="J23" s="197"/>
      <c r="K23" s="197"/>
      <c r="L23" s="197"/>
      <c r="M23" s="197"/>
      <c r="N23" s="197"/>
      <c r="O23" s="198">
        <f t="shared" si="2"/>
        <v>0</v>
      </c>
      <c r="P23" s="199" t="e">
        <f t="shared" si="3"/>
        <v>#DIV/0!</v>
      </c>
      <c r="Q23" s="211">
        <f t="shared" si="4"/>
        <v>0.5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1" t="str">
        <f ca="1">IFERROR(tblResultCalib[[#This Row],[Promedio Patrón]]+tblResultCalib[[#This Row],[Corrección patrón]],"")</f>
        <v/>
      </c>
      <c r="W23" s="151" t="str">
        <f t="shared" ca="1" si="1"/>
        <v/>
      </c>
      <c r="X23" s="145" t="str">
        <f ca="1">IFERROR(tblResultCalib[[#This Row],[Patrón corregido]]-tblResultCalib[[#This Row],[Promedio equipo]],"")</f>
        <v/>
      </c>
      <c r="Y23" s="145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6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0"/>
      <c r="D24" s="220"/>
      <c r="E24" s="220"/>
      <c r="F24" s="220"/>
      <c r="G24" s="220"/>
      <c r="H24" s="220"/>
      <c r="I24" s="197"/>
      <c r="J24" s="197"/>
      <c r="K24" s="197"/>
      <c r="L24" s="197"/>
      <c r="M24" s="197"/>
      <c r="N24" s="197"/>
      <c r="O24" s="198">
        <f t="shared" si="2"/>
        <v>0</v>
      </c>
      <c r="P24" s="199" t="e">
        <f t="shared" si="3"/>
        <v>#DIV/0!</v>
      </c>
      <c r="Q24" s="211">
        <f t="shared" si="4"/>
        <v>0.5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2" t="str">
        <f ca="1">IFERROR(tblResultCalib[[#This Row],[Promedio Patrón]]+tblResultCalib[[#This Row],[Corrección patrón]],"")</f>
        <v/>
      </c>
      <c r="W24" s="152" t="str">
        <f t="shared" ca="1" si="1"/>
        <v/>
      </c>
      <c r="X24" s="147" t="str">
        <f ca="1">IFERROR(tblResultCalib[[#This Row],[Patrón corregido]]-tblResultCalib[[#This Row],[Promedio equipo]],"")</f>
        <v/>
      </c>
      <c r="Y24" s="147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5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0"/>
      <c r="D25" s="240"/>
      <c r="E25" s="240"/>
      <c r="F25" s="240"/>
      <c r="G25" s="240"/>
      <c r="H25" s="220"/>
      <c r="I25" s="197"/>
      <c r="J25" s="197"/>
      <c r="K25" s="197"/>
      <c r="L25" s="197"/>
      <c r="M25" s="197"/>
      <c r="N25" s="197"/>
      <c r="O25" s="198">
        <f t="shared" si="2"/>
        <v>0</v>
      </c>
      <c r="P25" s="199" t="e">
        <f t="shared" si="3"/>
        <v>#DIV/0!</v>
      </c>
      <c r="Q25" s="211">
        <f t="shared" si="4"/>
        <v>0.5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661</v>
      </c>
      <c r="AF25" s="17"/>
      <c r="AG25" s="17"/>
      <c r="AH25" s="17"/>
      <c r="AI25" s="17" t="str">
        <f>CONCATENATE("[Todo en ", unidad,"]")</f>
        <v>[Todo en psi]</v>
      </c>
      <c r="AJ25" s="17"/>
    </row>
    <row r="26" spans="2:41" x14ac:dyDescent="0.3">
      <c r="B26" s="22">
        <v>12</v>
      </c>
      <c r="C26" s="240"/>
      <c r="D26" s="240"/>
      <c r="E26" s="240"/>
      <c r="F26" s="240"/>
      <c r="G26" s="240"/>
      <c r="H26" s="220"/>
      <c r="I26" s="197"/>
      <c r="J26" s="197"/>
      <c r="K26" s="197"/>
      <c r="L26" s="197"/>
      <c r="M26" s="197"/>
      <c r="N26" s="197"/>
      <c r="O26" s="198">
        <f t="shared" si="2"/>
        <v>0</v>
      </c>
      <c r="P26" s="199" t="e">
        <f t="shared" si="3"/>
        <v>#DIV/0!</v>
      </c>
      <c r="Q26" s="211">
        <f t="shared" si="4"/>
        <v>0.5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0"/>
      <c r="D27" s="240"/>
      <c r="E27" s="240"/>
      <c r="F27" s="240"/>
      <c r="G27" s="240"/>
      <c r="H27" s="220"/>
      <c r="I27" s="197"/>
      <c r="J27" s="197"/>
      <c r="K27" s="197"/>
      <c r="L27" s="197"/>
      <c r="M27" s="197"/>
      <c r="N27" s="197"/>
      <c r="O27" s="198">
        <f t="shared" si="2"/>
        <v>0</v>
      </c>
      <c r="P27" s="199" t="e">
        <f t="shared" si="3"/>
        <v>#DIV/0!</v>
      </c>
      <c r="Q27" s="211">
        <f t="shared" si="4"/>
        <v>0.5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0"/>
      <c r="D28" s="240"/>
      <c r="E28" s="240"/>
      <c r="F28" s="240"/>
      <c r="G28" s="240"/>
      <c r="H28" s="220"/>
      <c r="I28" s="197"/>
      <c r="J28" s="197"/>
      <c r="K28" s="197"/>
      <c r="L28" s="197"/>
      <c r="M28" s="197"/>
      <c r="N28" s="197"/>
      <c r="O28" s="198">
        <f t="shared" si="2"/>
        <v>0</v>
      </c>
      <c r="P28" s="199" t="e">
        <f t="shared" si="3"/>
        <v>#DIV/0!</v>
      </c>
      <c r="Q28" s="211">
        <f t="shared" si="4"/>
        <v>0.5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435</v>
      </c>
      <c r="AF28" s="69">
        <f t="array" aca="1" ref="AF28:AO28" ca="1">TRANSPOSE($T$15:$T$29)</f>
        <v>6.9375</v>
      </c>
      <c r="AG28" s="69">
        <f ca="1"/>
        <v>9.9600000000000009</v>
      </c>
      <c r="AH28" s="69">
        <f ca="1"/>
        <v>17.947500000000002</v>
      </c>
      <c r="AI28" s="69">
        <f ca="1"/>
        <v>24.952500000000001</v>
      </c>
      <c r="AJ28" s="69">
        <f ca="1"/>
        <v>34.927499999999995</v>
      </c>
      <c r="AK28" s="69">
        <f ca="1"/>
        <v>52.965000000000003</v>
      </c>
      <c r="AL28" s="64">
        <f ca="1"/>
        <v>69.952500000000001</v>
      </c>
      <c r="AM28" s="64">
        <f ca="1"/>
        <v>200.09</v>
      </c>
      <c r="AN28" s="64" t="str">
        <f ca="1"/>
        <v/>
      </c>
      <c r="AO28" s="64" t="str">
        <f ca="1"/>
        <v/>
      </c>
    </row>
    <row r="29" spans="2:41" x14ac:dyDescent="0.3">
      <c r="B29" s="22">
        <v>15</v>
      </c>
      <c r="C29" s="218"/>
      <c r="D29" s="218"/>
      <c r="E29" s="218"/>
      <c r="F29" s="218"/>
      <c r="G29" s="218"/>
      <c r="H29" s="197"/>
      <c r="I29" s="197"/>
      <c r="J29" s="197"/>
      <c r="K29" s="197"/>
      <c r="L29" s="197"/>
      <c r="M29" s="197"/>
      <c r="N29" s="197"/>
      <c r="O29" s="198">
        <f t="shared" si="2"/>
        <v>0</v>
      </c>
      <c r="P29" s="199" t="e">
        <f t="shared" si="3"/>
        <v>#DIV/0!</v>
      </c>
      <c r="Q29" s="211">
        <f t="shared" si="4"/>
        <v>0.5</v>
      </c>
      <c r="S29" s="185">
        <v>15</v>
      </c>
      <c r="T29" s="45" t="str">
        <f t="shared" ca="1" si="5"/>
        <v/>
      </c>
      <c r="U29" s="187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6" t="str">
        <f ca="1">IFERROR(tblResultCalib[[#This Row],[Promedio Patrón]]+tblResultCalib[[#This Row],[Corrección patrón]],"")</f>
        <v/>
      </c>
      <c r="W29" s="186" t="str">
        <f t="shared" ca="1" si="1"/>
        <v/>
      </c>
      <c r="X29" s="187" t="str">
        <f ca="1">IFERROR(tblResultCalib[[#This Row],[Patrón corregido]]-tblResultCalib[[#This Row],[Promedio equipo]],"")</f>
        <v/>
      </c>
      <c r="Y29" s="187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436</v>
      </c>
      <c r="AF29" s="65">
        <f ca="1">IFERROR(INDEX($T$37:$T$51,MATCH(AF$28,$T$37:OFFSET($T$37,NumPuntosCalib-1,0),1)),"")</f>
        <v>0</v>
      </c>
      <c r="AG29" s="65">
        <f ca="1">IFERROR(INDEX($T$37:$T$51,MATCH(AG$28,$T$37:OFFSET($T$37,NumPuntosCalib-1,0),1)),"")</f>
        <v>0</v>
      </c>
      <c r="AH29" s="65">
        <f ca="1">IFERROR(INDEX($T$37:$T$51,MATCH(AH$28,$T$37:OFFSET($T$37,NumPuntosCalib-1,0),1)),"")</f>
        <v>0</v>
      </c>
      <c r="AI29" s="65">
        <f ca="1">IFERROR(INDEX($T$37:$T$51,MATCH(AI$28,$T$37:OFFSET($T$37,NumPuntosCalib-1,0),1)),"")</f>
        <v>0</v>
      </c>
      <c r="AJ29" s="65">
        <f ca="1">IFERROR(INDEX($T$37:$T$51,MATCH(AJ$28,$T$37:OFFSET($T$37,NumPuntosCalib-1,0),1)),"")</f>
        <v>0</v>
      </c>
      <c r="AK29" s="65">
        <f ca="1">IFERROR(INDEX($T$37:$T$51,MATCH(AK$28,$T$37:OFFSET($T$37,NumPuntosCalib-1,0),1)),"")</f>
        <v>50</v>
      </c>
      <c r="AL29" s="65">
        <f ca="1">IFERROR(INDEX($T$37:$T$51,MATCH(AL$28,$T$37:OFFSET($T$37,NumPuntosCalib-1,0),1)),"")</f>
        <v>50</v>
      </c>
      <c r="AM29" s="65">
        <f ca="1">IFERROR(INDEX($T$37:$T$51,MATCH(AM$28,$T$37:OFFSET($T$37,NumPuntosCalib-1,0),1)),"")</f>
        <v>200</v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438</v>
      </c>
      <c r="AF30" s="65">
        <f ca="1">IFERROR(INDEX($W$37:$W$51,MATCH(AF$28,$T$37:OFFSET($T$37,NumPuntosCalib-1,0),1)),"")</f>
        <v>1.1699999999999999E-2</v>
      </c>
      <c r="AG30" s="65">
        <f ca="1">IFERROR(INDEX($W$37:$W$51,MATCH(AG$28,$T$37:OFFSET($T$37,NumPuntosCalib-1,0),1)),"")</f>
        <v>1.1699999999999999E-2</v>
      </c>
      <c r="AH30" s="65">
        <f ca="1">IFERROR(INDEX($W$37:$W$51,MATCH(AH$28,$T$37:OFFSET($T$37,NumPuntosCalib-1,0),1)),"")</f>
        <v>1.1699999999999999E-2</v>
      </c>
      <c r="AI30" s="65">
        <f ca="1">IFERROR(INDEX($W$37:$W$51,MATCH(AI$28,$T$37:OFFSET($T$37,NumPuntosCalib-1,0),1)),"")</f>
        <v>1.1699999999999999E-2</v>
      </c>
      <c r="AJ30" s="65">
        <f ca="1">IFERROR(INDEX($W$37:$W$51,MATCH(AJ$28,$T$37:OFFSET($T$37,NumPuntosCalib-1,0),1)),"")</f>
        <v>1.1699999999999999E-2</v>
      </c>
      <c r="AK30" s="65">
        <f ca="1">IFERROR(INDEX($W$37:$W$51,MATCH(AK$28,$T$37:OFFSET($T$37,NumPuntosCalib-1,0),1)),"")</f>
        <v>1.4599999999999998E-2</v>
      </c>
      <c r="AL30" s="65">
        <f ca="1">IFERROR(INDEX($W$37:$W$51,MATCH(AL$28,$T$37:OFFSET($T$37,NumPuntosCalib-1,0),1)),"")</f>
        <v>1.4599999999999998E-2</v>
      </c>
      <c r="AM30" s="65">
        <f ca="1">IFERROR(INDEX($W$37:$W$51,MATCH(AM$28,$T$37:OFFSET($T$37,NumPuntosCalib-1,0),1)),"")</f>
        <v>1.77E-2</v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437</v>
      </c>
      <c r="AF31" s="65">
        <f ca="1">IFERROR(INDEX($T$37:$T$51,MATCH(AF$28,$T$37:OFFSET($T$37,NumPuntosCalib-1,0),1)+1),"")</f>
        <v>50</v>
      </c>
      <c r="AG31" s="65">
        <f ca="1">IFERROR(INDEX($T$37:$T$51,MATCH(AG$28,$T$37:OFFSET($T$37,NumPuntosCalib-1,0),1)+1),"")</f>
        <v>50</v>
      </c>
      <c r="AH31" s="65">
        <f ca="1">IFERROR(INDEX($T$37:$T$51,MATCH(AH$28,$T$37:OFFSET($T$37,NumPuntosCalib-1,0),1)+1),"")</f>
        <v>50</v>
      </c>
      <c r="AI31" s="65">
        <f ca="1">IFERROR(INDEX($T$37:$T$51,MATCH(AI$28,$T$37:OFFSET($T$37,NumPuntosCalib-1,0),1)+1),"")</f>
        <v>50</v>
      </c>
      <c r="AJ31" s="65">
        <f ca="1">IFERROR(INDEX($T$37:$T$51,MATCH(AJ$28,$T$37:OFFSET($T$37,NumPuntosCalib-1,0),1)+1),"")</f>
        <v>50</v>
      </c>
      <c r="AK31" s="65">
        <f ca="1">IFERROR(INDEX($T$37:$T$51,MATCH(AK$28,$T$37:OFFSET($T$37,NumPuntosCalib-1,0),1)+1),"")</f>
        <v>100</v>
      </c>
      <c r="AL31" s="65">
        <f ca="1">IFERROR(INDEX($T$37:$T$51,MATCH(AL$28,$T$37:OFFSET($T$37,NumPuntosCalib-1,0),1)+1),"")</f>
        <v>100</v>
      </c>
      <c r="AM31" s="65">
        <f ca="1">IFERROR(INDEX($T$37:$T$51,MATCH(AM$28,$T$37:OFFSET($T$37,NumPuntosCalib-1,0),1)+1),"")</f>
        <v>400</v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439</v>
      </c>
      <c r="AF32" s="65">
        <f ca="1">IFERROR(INDEX($W$37:$W$51,MATCH(AF$28,$T$37:OFFSET($T$37,NumPuntosCalib-1,0),1)+1),"")</f>
        <v>1.4599999999999998E-2</v>
      </c>
      <c r="AG32" s="65">
        <f ca="1">IFERROR(INDEX($W$37:$W$51,MATCH(AG$28,$T$37:OFFSET($T$37,NumPuntosCalib-1,0),1)+1),"")</f>
        <v>1.4599999999999998E-2</v>
      </c>
      <c r="AH32" s="65">
        <f ca="1">IFERROR(INDEX($W$37:$W$51,MATCH(AH$28,$T$37:OFFSET($T$37,NumPuntosCalib-1,0),1)+1),"")</f>
        <v>1.4599999999999998E-2</v>
      </c>
      <c r="AI32" s="65">
        <f ca="1">IFERROR(INDEX($W$37:$W$51,MATCH(AI$28,$T$37:OFFSET($T$37,NumPuntosCalib-1,0),1)+1),"")</f>
        <v>1.4599999999999998E-2</v>
      </c>
      <c r="AJ32" s="65">
        <f ca="1">IFERROR(INDEX($W$37:$W$51,MATCH(AJ$28,$T$37:OFFSET($T$37,NumPuntosCalib-1,0),1)+1),"")</f>
        <v>1.4599999999999998E-2</v>
      </c>
      <c r="AK32" s="65">
        <f ca="1">IFERROR(INDEX($W$37:$W$51,MATCH(AK$28,$T$37:OFFSET($T$37,NumPuntosCalib-1,0),1)+1),"")</f>
        <v>3.4000000000000002E-3</v>
      </c>
      <c r="AL32" s="65">
        <f ca="1">IFERROR(INDEX($W$37:$W$51,MATCH(AL$28,$T$37:OFFSET($T$37,NumPuntosCalib-1,0),1)+1),"")</f>
        <v>3.4000000000000002E-3</v>
      </c>
      <c r="AM32" s="65">
        <f ca="1">IFERROR(INDEX($W$37:$W$51,MATCH(AM$28,$T$37:OFFSET($T$37,NumPuntosCalib-1,0),1)+1),"")</f>
        <v>1.6E-2</v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08"/>
      <c r="M33" s="208"/>
      <c r="S33" s="17"/>
      <c r="T33" s="17" t="s">
        <v>646</v>
      </c>
      <c r="U33" s="17"/>
      <c r="V33" s="17"/>
      <c r="W33" s="17" t="str">
        <f>CONCATENATE("[Todo en ", unidad,"]")</f>
        <v>[Todo en psi]</v>
      </c>
      <c r="Y33" s="17" t="s">
        <v>647</v>
      </c>
      <c r="Z33" s="17"/>
      <c r="AA33" s="17"/>
      <c r="AB33" s="17" t="str">
        <f>CONCATENATE("[Todo en ", unidad,"]")</f>
        <v>[Todo en psi]</v>
      </c>
      <c r="AE33" s="68" t="s">
        <v>440</v>
      </c>
      <c r="AF33" s="120">
        <f t="shared" ref="AF33:AO33" ca="1" si="7">IFERROR(AF30+(AF28-AF29)*(AF32-AF30)/(AF31-AF29),"")</f>
        <v>1.2102374999999999E-2</v>
      </c>
      <c r="AG33" s="120">
        <f t="shared" ca="1" si="7"/>
        <v>1.2277679999999999E-2</v>
      </c>
      <c r="AH33" s="120">
        <f t="shared" ca="1" si="7"/>
        <v>1.2740954999999998E-2</v>
      </c>
      <c r="AI33" s="120">
        <f t="shared" ca="1" si="7"/>
        <v>1.3147244999999998E-2</v>
      </c>
      <c r="AJ33" s="120">
        <f t="shared" ca="1" si="7"/>
        <v>1.3725794999999999E-2</v>
      </c>
      <c r="AK33" s="120">
        <f t="shared" ca="1" si="7"/>
        <v>1.3935839999999998E-2</v>
      </c>
      <c r="AL33" s="120">
        <f t="shared" ca="1" si="7"/>
        <v>1.013064E-2</v>
      </c>
      <c r="AM33" s="120">
        <f t="shared" ca="1" si="7"/>
        <v>1.7699235000000001E-2</v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618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0" t="s">
        <v>628</v>
      </c>
      <c r="D36" s="70" t="s">
        <v>629</v>
      </c>
      <c r="E36" s="70" t="s">
        <v>364</v>
      </c>
      <c r="F36" s="99" t="s">
        <v>442</v>
      </c>
      <c r="G36" s="96" t="s">
        <v>628</v>
      </c>
      <c r="H36" s="70" t="s">
        <v>629</v>
      </c>
      <c r="I36" s="70" t="s">
        <v>364</v>
      </c>
      <c r="J36" s="70" t="s">
        <v>442</v>
      </c>
      <c r="K36" s="70" t="s">
        <v>538</v>
      </c>
      <c r="M36" s="70" t="s">
        <v>409</v>
      </c>
      <c r="N36" s="49" t="s">
        <v>664</v>
      </c>
      <c r="O36" s="70" t="s">
        <v>543</v>
      </c>
      <c r="P36" s="70" t="s">
        <v>544</v>
      </c>
      <c r="Q36" s="70" t="s">
        <v>606</v>
      </c>
      <c r="S36" s="31" t="s">
        <v>370</v>
      </c>
      <c r="T36" s="47" t="s">
        <v>648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648</v>
      </c>
      <c r="AA36" s="47" t="s">
        <v>508</v>
      </c>
      <c r="AB36" s="47" t="s">
        <v>509</v>
      </c>
      <c r="AC36" s="47" t="s">
        <v>428</v>
      </c>
      <c r="AE36" s="17" t="s">
        <v>662</v>
      </c>
      <c r="AF36" s="17"/>
      <c r="AG36" s="17"/>
      <c r="AH36" s="17"/>
      <c r="AI36" s="17" t="str">
        <f>CONCATENATE("[Todo en ", unidad,"]")</f>
        <v>[Todo en psi]</v>
      </c>
      <c r="AJ36" s="17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606</v>
      </c>
      <c r="H37" s="48" t="s">
        <v>606</v>
      </c>
      <c r="I37" s="48" t="s">
        <v>606</v>
      </c>
      <c r="J37" s="48" t="s">
        <v>606</v>
      </c>
      <c r="K37" s="48" t="str">
        <f>unidad</f>
        <v>psi</v>
      </c>
      <c r="M37" s="200" t="s">
        <v>543</v>
      </c>
      <c r="N37" s="196">
        <v>1</v>
      </c>
      <c r="O37" s="196">
        <v>1</v>
      </c>
      <c r="P37" s="196">
        <v>6.8947599999999998E-2</v>
      </c>
      <c r="Q37" s="29">
        <v>6.8947570000000002</v>
      </c>
      <c r="S37" s="22">
        <v>1</v>
      </c>
      <c r="T37" s="194">
        <f>INDEX(Cert_patrones[[#All],[Código Patrón]:[Deriva]],MATCH($U$35,Cert_patrones[Código Patrón],0)+S37,3)*coef_unidad</f>
        <v>-11.8</v>
      </c>
      <c r="U37" s="194">
        <f>INDEX(Cert_patrones[[#All],[Código Patrón]:[Deriva]],MATCH($U$35,Cert_patrones[Código Patrón],0)+S37,4)*coef_unidad</f>
        <v>4.8000000000000001E-2</v>
      </c>
      <c r="V37" s="194">
        <f>INDEX(Cert_patrones[[#All],[Código Patrón]:[Deriva]],MATCH($U$35,Cert_patrones[Código Patrón],0)+S37,5)*coef_unidad</f>
        <v>5.8999999999999997E-2</v>
      </c>
      <c r="W37" s="194">
        <f>INDEX(Cert_patrones[[#All],[Código Patrón]:[Deriva]],MATCH($U$35,Cert_patrones[Código Patrón],0)+S37,9)*coef_unidad</f>
        <v>4.8000000000000001E-2</v>
      </c>
      <c r="Y37" s="22">
        <v>1</v>
      </c>
      <c r="Z37" s="194" t="str">
        <f>IFERROR(INDEX(Cert_patrones[[#All],[Código Patrón]:[Deriva]],MATCH($AA$35,Cert_patrones[Código Patrón],0)+Y37,3)*coef_unidad,"")</f>
        <v/>
      </c>
      <c r="AA37" s="194" t="str">
        <f>IFERROR(INDEX(Cert_patrones[[#All],[Código Patrón]:[Deriva]],MATCH($AA$35,Cert_patrones[Código Patrón],0)+Y37,4)*coef_unidad,"")</f>
        <v/>
      </c>
      <c r="AB37" s="194" t="str">
        <f>IFERROR(INDEX(Cert_patrones[[#All],[Código Patrón]:[Deriva]],MATCH($AA$35,Cert_patrones[Código Patrón],0)+Y37,5)*coef_unidad,"")</f>
        <v/>
      </c>
      <c r="AC37" s="194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>
        <f ca="1">V15</f>
        <v>6.9374475000000002</v>
      </c>
      <c r="D38" s="95">
        <f t="shared" ref="D38:D52" ca="1" si="8">W15</f>
        <v>7</v>
      </c>
      <c r="E38" s="95">
        <f t="shared" ref="E38:E52" ca="1" si="9">X15</f>
        <v>-6.2552499999999789E-2</v>
      </c>
      <c r="F38" s="98">
        <f ca="1">IFERROR(IF(C38&lt;&gt;"",'kU(E)'!$G$19*'kU(E)'!G56,""),"")</f>
        <v>0.31444462655612504</v>
      </c>
      <c r="G38" s="255">
        <f t="shared" ref="G38:G52" ca="1" si="10">IFERROR(V15*INDEX($M$37:$Q$51,MATCH(unidad,$M$37:$M$51,0),5),"")</f>
        <v>47.832014712757505</v>
      </c>
      <c r="H38" s="95">
        <f t="shared" ref="H38:H52" ca="1" si="11">IFERROR(W15*INDEX($M$37:$Q$51,MATCH(unidad,$M$37:$M$51,0),5),"")</f>
        <v>48.263299000000004</v>
      </c>
      <c r="I38" s="95">
        <f t="shared" ref="I38:I52" ca="1" si="12">IFERROR(X15*INDEX($M$37:$Q$51,MATCH(unidad,$M$37:$M$51,0),5),"")</f>
        <v>-0.43128428724249857</v>
      </c>
      <c r="J38" s="98">
        <f t="shared" ref="J38:J52" ca="1" si="13">IFERROR(F38*INDEX($M$37:$Q$51,MATCH(unidad,$M$37:$M$51,0),5),"")</f>
        <v>2.1680192900602293</v>
      </c>
      <c r="K38" s="212" t="str">
        <f ca="1">IFERROR(IF(C38="","",#REF!),"")</f>
        <v/>
      </c>
      <c r="M38" s="200" t="s">
        <v>544</v>
      </c>
      <c r="N38" s="196">
        <v>6.8947999999999995E-2</v>
      </c>
      <c r="O38" s="196">
        <v>6.8947999999999995E-2</v>
      </c>
      <c r="P38" s="196">
        <v>1</v>
      </c>
      <c r="Q38" s="29">
        <v>100</v>
      </c>
      <c r="S38" s="22">
        <v>2</v>
      </c>
      <c r="T38" s="195">
        <f>INDEX(Cert_patrones[[#All],[Código Patrón]:[Deriva]],MATCH($U$35,Cert_patrones[Código Patrón],0)+S38,3)*coef_unidad</f>
        <v>-10</v>
      </c>
      <c r="U38" s="195">
        <f>INDEX(Cert_patrones[[#All],[Código Patrón]:[Deriva]],MATCH($U$35,Cert_patrones[Código Patrón],0)+S38,4)*coef_unidad</f>
        <v>2.9000000000000001E-2</v>
      </c>
      <c r="V38" s="195">
        <f>INDEX(Cert_patrones[[#All],[Código Patrón]:[Deriva]],MATCH($U$35,Cert_patrones[Código Patrón],0)+S38,5)*coef_unidad</f>
        <v>5.8999999999999997E-2</v>
      </c>
      <c r="W38" s="195">
        <f>INDEX(Cert_patrones[[#All],[Código Patrón]:[Deriva]],MATCH($U$35,Cert_patrones[Código Patrón],0)+S38,9)*coef_unidad</f>
        <v>2.9000000000000001E-2</v>
      </c>
      <c r="Y38" s="22">
        <v>2</v>
      </c>
      <c r="Z38" s="195" t="str">
        <f>IFERROR(INDEX(Cert_patrones[[#All],[Código Patrón]:[Deriva]],MATCH($AA$35,Cert_patrones[Código Patrón],0)+Y38,3)*coef_unidad,"")</f>
        <v/>
      </c>
      <c r="AA38" s="195" t="str">
        <f>IFERROR(INDEX(Cert_patrones[[#All],[Código Patrón]:[Deriva]],MATCH($AA$35,Cert_patrones[Código Patrón],0)+Y38,4)*coef_unidad,"")</f>
        <v/>
      </c>
      <c r="AB38" s="195" t="str">
        <f>IFERROR(INDEX(Cert_patrones[[#All],[Código Patrón]:[Deriva]],MATCH($AA$35,Cert_patrones[Código Patrón],0)+Y38,5)*coef_unidad,"")</f>
        <v/>
      </c>
      <c r="AC38" s="195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>
        <f t="shared" ref="C39:C52" ca="1" si="14">V16</f>
        <v>9.9586176000000002</v>
      </c>
      <c r="D39" s="95">
        <f t="shared" ca="1" si="8"/>
        <v>10</v>
      </c>
      <c r="E39" s="95">
        <f t="shared" ca="1" si="9"/>
        <v>-4.1382399999999819E-2</v>
      </c>
      <c r="F39" s="98">
        <f ca="1">IFERROR(IF(C39&lt;&gt;"",'kU(E)'!$H$19*'kU(E)'!G57,""),"")</f>
        <v>0.3029624617203534</v>
      </c>
      <c r="G39" s="255">
        <f t="shared" ca="1" si="10"/>
        <v>68.662248407923201</v>
      </c>
      <c r="H39" s="95">
        <f t="shared" ca="1" si="11"/>
        <v>68.947569999999999</v>
      </c>
      <c r="I39" s="95">
        <f t="shared" ca="1" si="12"/>
        <v>-0.28532159207679875</v>
      </c>
      <c r="J39" s="98">
        <f t="shared" ca="1" si="13"/>
        <v>2.0888525536836386</v>
      </c>
      <c r="K39" s="212" t="str">
        <f ca="1">IFERROR(IF(C39="","",#REF!),"")</f>
        <v/>
      </c>
      <c r="M39" s="200" t="s">
        <v>545</v>
      </c>
      <c r="N39" s="196">
        <v>6894.7573000000002</v>
      </c>
      <c r="O39" s="196">
        <v>6894.7573000000002</v>
      </c>
      <c r="P39" s="196">
        <v>1.0000000000000001E-5</v>
      </c>
      <c r="Q39" s="29">
        <v>1E-3</v>
      </c>
      <c r="S39" s="22">
        <v>3</v>
      </c>
      <c r="T39" s="195">
        <f>INDEX(Cert_patrones[[#All],[Código Patrón]:[Deriva]],MATCH($U$35,Cert_patrones[Código Patrón],0)+S39,3)*coef_unidad</f>
        <v>-6</v>
      </c>
      <c r="U39" s="195">
        <f>INDEX(Cert_patrones[[#All],[Código Patrón]:[Deriva]],MATCH($U$35,Cert_patrones[Código Patrón],0)+S39,4)*coef_unidad</f>
        <v>1.7000000000000001E-2</v>
      </c>
      <c r="V39" s="195">
        <f>INDEX(Cert_patrones[[#All],[Código Patrón]:[Deriva]],MATCH($U$35,Cert_patrones[Código Patrón],0)+S39,5)*coef_unidad</f>
        <v>6.5000000000000002E-2</v>
      </c>
      <c r="W39" s="195">
        <f>INDEX(Cert_patrones[[#All],[Código Patrón]:[Deriva]],MATCH($U$35,Cert_patrones[Código Patrón],0)+S39,9)*coef_unidad</f>
        <v>1.7000000000000001E-2</v>
      </c>
      <c r="Y39" s="22">
        <v>3</v>
      </c>
      <c r="Z39" s="195" t="str">
        <f>IFERROR(INDEX(Cert_patrones[[#All],[Código Patrón]:[Deriva]],MATCH($AA$35,Cert_patrones[Código Patrón],0)+Y39,3)*coef_unidad,"")</f>
        <v/>
      </c>
      <c r="AA39" s="195" t="str">
        <f>IFERROR(INDEX(Cert_patrones[[#All],[Código Patrón]:[Deriva]],MATCH($AA$35,Cert_patrones[Código Patrón],0)+Y39,4)*coef_unidad,"")</f>
        <v/>
      </c>
      <c r="AB39" s="195" t="str">
        <f>IFERROR(INDEX(Cert_patrones[[#All],[Código Patrón]:[Deriva]],MATCH($AA$35,Cert_patrones[Código Patrón],0)+Y39,5)*coef_unidad,"")</f>
        <v/>
      </c>
      <c r="AC39" s="195" t="str">
        <f>IFERROR(INDEX(Cert_patrones[[#All],[Código Patrón]:[Deriva]],MATCH($AA$35,Cert_patrones[Código Patrón],0)+Y39,9)*coef_unidad,"")</f>
        <v/>
      </c>
      <c r="AE39" s="68" t="s">
        <v>435</v>
      </c>
      <c r="AF39" s="69">
        <f t="array" aca="1" ref="AF39:AO39" ca="1">TRANSPOSE($T$15:$T$29)</f>
        <v>6.9375</v>
      </c>
      <c r="AG39" s="69">
        <f ca="1"/>
        <v>9.9600000000000009</v>
      </c>
      <c r="AH39" s="69">
        <f ca="1"/>
        <v>17.947500000000002</v>
      </c>
      <c r="AI39" s="69">
        <f ca="1"/>
        <v>24.952500000000001</v>
      </c>
      <c r="AJ39" s="69">
        <f ca="1"/>
        <v>34.927499999999995</v>
      </c>
      <c r="AK39" s="69">
        <f ca="1"/>
        <v>52.965000000000003</v>
      </c>
      <c r="AL39" s="64">
        <f ca="1"/>
        <v>69.952500000000001</v>
      </c>
      <c r="AM39" s="64">
        <f ca="1"/>
        <v>200.09</v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>
        <f t="shared" ca="1" si="14"/>
        <v>17.942603100000003</v>
      </c>
      <c r="D40" s="95">
        <f t="shared" ca="1" si="8"/>
        <v>18</v>
      </c>
      <c r="E40" s="95">
        <f t="shared" ca="1" si="9"/>
        <v>-5.7396899999996975E-2</v>
      </c>
      <c r="F40" s="98">
        <f ca="1">IFERROR(IF(C40&lt;&gt;"",'kU(E)'!$I$19*'kU(E)'!G58,""),"")</f>
        <v>0.30169230724994645</v>
      </c>
      <c r="G40" s="255">
        <f t="shared" ca="1" si="10"/>
        <v>123.70988832194672</v>
      </c>
      <c r="H40" s="95">
        <f t="shared" ca="1" si="11"/>
        <v>124.105626</v>
      </c>
      <c r="I40" s="95">
        <f t="shared" ca="1" si="12"/>
        <v>-0.39573767805327914</v>
      </c>
      <c r="J40" s="98">
        <f t="shared" ca="1" si="13"/>
        <v>2.0800951472577189</v>
      </c>
      <c r="K40" s="212" t="str">
        <f ca="1">IFERROR(IF(C40="","",#REF!),"")</f>
        <v/>
      </c>
      <c r="M40" s="200" t="s">
        <v>606</v>
      </c>
      <c r="N40" s="196">
        <v>6.8948</v>
      </c>
      <c r="O40" s="196">
        <v>6.8948</v>
      </c>
      <c r="P40" s="196">
        <v>0.01</v>
      </c>
      <c r="Q40" s="29">
        <v>1</v>
      </c>
      <c r="S40" s="22">
        <v>4</v>
      </c>
      <c r="T40" s="195">
        <f>INDEX(Cert_patrones[[#All],[Código Patrón]:[Deriva]],MATCH($U$35,Cert_patrones[Código Patrón],0)+S40,3)*coef_unidad</f>
        <v>0</v>
      </c>
      <c r="U40" s="195">
        <f>INDEX(Cert_patrones[[#All],[Código Patrón]:[Deriva]],MATCH($U$35,Cert_patrones[Código Patrón],0)+S40,4)*coef_unidad</f>
        <v>3.0000000000000001E-3</v>
      </c>
      <c r="V40" s="195">
        <f>INDEX(Cert_patrones[[#All],[Código Patrón]:[Deriva]],MATCH($U$35,Cert_patrones[Código Patrón],0)+S40,5)*coef_unidad</f>
        <v>5.8999999999999997E-2</v>
      </c>
      <c r="W40" s="195">
        <f>INDEX(Cert_patrones[[#All],[Código Patrón]:[Deriva]],MATCH($U$35,Cert_patrones[Código Patrón],0)+S40,9)*coef_unidad</f>
        <v>1.1699999999999999E-2</v>
      </c>
      <c r="Y40" s="22">
        <v>4</v>
      </c>
      <c r="Z40" s="195" t="str">
        <f>IFERROR(INDEX(Cert_patrones[[#All],[Código Patrón]:[Deriva]],MATCH($AA$35,Cert_patrones[Código Patrón],0)+Y40,3)*coef_unidad,"")</f>
        <v/>
      </c>
      <c r="AA40" s="195" t="str">
        <f>IFERROR(INDEX(Cert_patrones[[#All],[Código Patrón]:[Deriva]],MATCH($AA$35,Cert_patrones[Código Patrón],0)+Y40,4)*coef_unidad,"")</f>
        <v/>
      </c>
      <c r="AB40" s="195" t="str">
        <f>IFERROR(INDEX(Cert_patrones[[#All],[Código Patrón]:[Deriva]],MATCH($AA$35,Cert_patrones[Código Patrón],0)+Y40,5)*coef_unidad,"")</f>
        <v/>
      </c>
      <c r="AC40" s="195" t="str">
        <f>IFERROR(INDEX(Cert_patrones[[#All],[Código Patrón]:[Deriva]],MATCH($AA$35,Cert_patrones[Código Patrón],0)+Y40,9)*coef_unidad,"")</f>
        <v/>
      </c>
      <c r="AE40" s="68" t="s">
        <v>436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>
        <f t="shared" ca="1" si="14"/>
        <v>24.944520900000001</v>
      </c>
      <c r="D41" s="95">
        <f t="shared" ca="1" si="8"/>
        <v>25</v>
      </c>
      <c r="E41" s="95">
        <f t="shared" ca="1" si="9"/>
        <v>-5.5479099999999448E-2</v>
      </c>
      <c r="F41" s="98">
        <f ca="1">IFERROR(IF(C41&lt;&gt;"",'kU(E)'!$J$19*'kU(E)'!G59,""),"")</f>
        <v>0.3084262967178707</v>
      </c>
      <c r="G41" s="255">
        <f t="shared" ca="1" si="10"/>
        <v>171.9864100869213</v>
      </c>
      <c r="H41" s="95">
        <f t="shared" ca="1" si="11"/>
        <v>172.36892500000002</v>
      </c>
      <c r="I41" s="95">
        <f t="shared" ca="1" si="12"/>
        <v>-0.38251491307869623</v>
      </c>
      <c r="J41" s="98">
        <f t="shared" ca="1" si="13"/>
        <v>2.126524368279616</v>
      </c>
      <c r="K41" s="212" t="str">
        <f ca="1">IFERROR(IF(C41="","",#REF!),"")</f>
        <v/>
      </c>
      <c r="M41" s="200" t="s">
        <v>546</v>
      </c>
      <c r="N41" s="196">
        <v>68.947999999999993</v>
      </c>
      <c r="O41" s="196">
        <v>68.947999999999993</v>
      </c>
      <c r="P41" s="196">
        <v>1E-3</v>
      </c>
      <c r="Q41" s="29">
        <v>0.01</v>
      </c>
      <c r="S41" s="22">
        <v>5</v>
      </c>
      <c r="T41" s="195">
        <f>INDEX(Cert_patrones[[#All],[Código Patrón]:[Deriva]],MATCH($U$35,Cert_patrones[Código Patrón],0)+S41,3)*coef_unidad</f>
        <v>50</v>
      </c>
      <c r="U41" s="195">
        <f>INDEX(Cert_patrones[[#All],[Código Patrón]:[Deriva]],MATCH($U$35,Cert_patrones[Código Patrón],0)+S41,4)*coef_unidad</f>
        <v>-1.9E-2</v>
      </c>
      <c r="V41" s="195">
        <f>INDEX(Cert_patrones[[#All],[Código Patrón]:[Deriva]],MATCH($U$35,Cert_patrones[Código Patrón],0)+S41,5)*coef_unidad</f>
        <v>6.3E-2</v>
      </c>
      <c r="W41" s="195">
        <f>INDEX(Cert_patrones[[#All],[Código Patrón]:[Deriva]],MATCH($U$35,Cert_patrones[Código Patrón],0)+S41,9)*coef_unidad</f>
        <v>1.4599999999999998E-2</v>
      </c>
      <c r="Y41" s="22">
        <v>5</v>
      </c>
      <c r="Z41" s="195" t="str">
        <f>IFERROR(INDEX(Cert_patrones[[#All],[Código Patrón]:[Deriva]],MATCH($AA$35,Cert_patrones[Código Patrón],0)+Y41,3)*coef_unidad,"")</f>
        <v/>
      </c>
      <c r="AA41" s="195" t="str">
        <f>IFERROR(INDEX(Cert_patrones[[#All],[Código Patrón]:[Deriva]],MATCH($AA$35,Cert_patrones[Código Patrón],0)+Y41,4)*coef_unidad,"")</f>
        <v/>
      </c>
      <c r="AB41" s="195" t="str">
        <f>IFERROR(INDEX(Cert_patrones[[#All],[Código Patrón]:[Deriva]],MATCH($AA$35,Cert_patrones[Código Patrón],0)+Y41,5)*coef_unidad,"")</f>
        <v/>
      </c>
      <c r="AC41" s="195" t="str">
        <f>IFERROR(INDEX(Cert_patrones[[#All],[Código Patrón]:[Deriva]],MATCH($AA$35,Cert_patrones[Código Patrón],0)+Y41,9)*coef_unidad,"")</f>
        <v/>
      </c>
      <c r="AE41" s="68" t="s">
        <v>438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>
        <f t="shared" ca="1" si="14"/>
        <v>34.915131899999992</v>
      </c>
      <c r="D42" s="95">
        <f t="shared" ca="1" si="8"/>
        <v>35</v>
      </c>
      <c r="E42" s="95">
        <f t="shared" ca="1" si="9"/>
        <v>-8.486810000000844E-2</v>
      </c>
      <c r="F42" s="98">
        <f ca="1">IFERROR(IF(C42&lt;&gt;"",'kU(E)'!$K$19*'kU(E)'!G60,""),"")</f>
        <v>0.33362408938287968</v>
      </c>
      <c r="G42" s="255">
        <f t="shared" ca="1" si="10"/>
        <v>240.73135007344825</v>
      </c>
      <c r="H42" s="95">
        <f t="shared" ca="1" si="11"/>
        <v>241.316495</v>
      </c>
      <c r="I42" s="95">
        <f t="shared" ca="1" si="12"/>
        <v>-0.5851449265517582</v>
      </c>
      <c r="J42" s="98">
        <f t="shared" ca="1" si="13"/>
        <v>2.3002570256412356</v>
      </c>
      <c r="K42" s="212" t="str">
        <f ca="1">IFERROR(IF(C42="","",#REF!),"")</f>
        <v/>
      </c>
      <c r="M42" s="200" t="s">
        <v>766</v>
      </c>
      <c r="N42" s="196">
        <v>6.8948000000000004E-3</v>
      </c>
      <c r="O42" s="196">
        <v>6.8948000000000004E-3</v>
      </c>
      <c r="P42" s="196">
        <v>10</v>
      </c>
      <c r="Q42" s="29">
        <v>1000</v>
      </c>
      <c r="S42" s="22">
        <v>6</v>
      </c>
      <c r="T42" s="195">
        <f>INDEX(Cert_patrones[[#All],[Código Patrón]:[Deriva]],MATCH($U$35,Cert_patrones[Código Patrón],0)+S42,3)*coef_unidad</f>
        <v>100</v>
      </c>
      <c r="U42" s="195">
        <f>INDEX(Cert_patrones[[#All],[Código Patrón]:[Deriva]],MATCH($U$35,Cert_patrones[Código Patrón],0)+S42,4)*coef_unidad</f>
        <v>-1.4999999999999999E-2</v>
      </c>
      <c r="V42" s="195">
        <f>INDEX(Cert_patrones[[#All],[Código Patrón]:[Deriva]],MATCH($U$35,Cert_patrones[Código Patrón],0)+S42,5)*coef_unidad</f>
        <v>5.8999999999999997E-2</v>
      </c>
      <c r="W42" s="195">
        <f>INDEX(Cert_patrones[[#All],[Código Patrón]:[Deriva]],MATCH($U$35,Cert_patrones[Código Patrón],0)+S42,9)*coef_unidad</f>
        <v>3.4000000000000002E-3</v>
      </c>
      <c r="Y42" s="22">
        <v>6</v>
      </c>
      <c r="Z42" s="195" t="str">
        <f>IFERROR(INDEX(Cert_patrones[[#All],[Código Patrón]:[Deriva]],MATCH($AA$35,Cert_patrones[Código Patrón],0)+Y42,3)*coef_unidad,"")</f>
        <v/>
      </c>
      <c r="AA42" s="195" t="str">
        <f>IFERROR(INDEX(Cert_patrones[[#All],[Código Patrón]:[Deriva]],MATCH($AA$35,Cert_patrones[Código Patrón],0)+Y42,4)*coef_unidad,"")</f>
        <v/>
      </c>
      <c r="AB42" s="195" t="str">
        <f>IFERROR(INDEX(Cert_patrones[[#All],[Código Patrón]:[Deriva]],MATCH($AA$35,Cert_patrones[Código Patrón],0)+Y42,5)*coef_unidad,"")</f>
        <v/>
      </c>
      <c r="AC42" s="195" t="str">
        <f>IFERROR(INDEX(Cert_patrones[[#All],[Código Patrón]:[Deriva]],MATCH($AA$35,Cert_patrones[Código Patrón],0)+Y42,9)*coef_unidad,"")</f>
        <v/>
      </c>
      <c r="AE42" s="68" t="s">
        <v>437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>
        <f t="shared" ca="1" si="14"/>
        <v>52.946237200000006</v>
      </c>
      <c r="D43" s="95">
        <f t="shared" ca="1" si="8"/>
        <v>53</v>
      </c>
      <c r="E43" s="95">
        <f t="shared" ca="1" si="9"/>
        <v>-5.3762799999994115E-2</v>
      </c>
      <c r="F43" s="98">
        <f ca="1">IFERROR(IF(C43&lt;&gt;"",'kU(E)'!$L$19*'kU(E)'!G61,""),"")</f>
        <v>0.30844957614128898</v>
      </c>
      <c r="G43" s="255">
        <f t="shared" ca="1" si="10"/>
        <v>365.05143955836047</v>
      </c>
      <c r="H43" s="95">
        <f t="shared" ca="1" si="11"/>
        <v>365.422121</v>
      </c>
      <c r="I43" s="95">
        <f t="shared" ca="1" si="12"/>
        <v>-0.37068144163955946</v>
      </c>
      <c r="J43" s="98">
        <f t="shared" ca="1" si="13"/>
        <v>2.1266848742471853</v>
      </c>
      <c r="K43" s="95" t="str">
        <f ca="1">IFERROR(IF(C43="","",#REF!),"")</f>
        <v/>
      </c>
      <c r="M43" s="200" t="s">
        <v>783</v>
      </c>
      <c r="N43" s="196">
        <v>7.0309999999999997E-2</v>
      </c>
      <c r="O43" s="196">
        <v>7.0309999999999997E-2</v>
      </c>
      <c r="P43" s="196">
        <v>0.98066500000000001</v>
      </c>
      <c r="Q43" s="29">
        <v>98.066500000000005</v>
      </c>
      <c r="S43" s="22">
        <v>7</v>
      </c>
      <c r="T43" s="195">
        <f>INDEX(Cert_patrones[[#All],[Código Patrón]:[Deriva]],MATCH($U$35,Cert_patrones[Código Patrón],0)+S43,3)*coef_unidad</f>
        <v>200</v>
      </c>
      <c r="U43" s="195">
        <f>INDEX(Cert_patrones[[#All],[Código Patrón]:[Deriva]],MATCH($U$35,Cert_patrones[Código Patrón],0)+S43,4)*coef_unidad</f>
        <v>-7.0000000000000001E-3</v>
      </c>
      <c r="V43" s="195">
        <f>INDEX(Cert_patrones[[#All],[Código Patrón]:[Deriva]],MATCH($U$35,Cert_patrones[Código Patrón],0)+S43,5)*coef_unidad</f>
        <v>0.06</v>
      </c>
      <c r="W43" s="195">
        <f>INDEX(Cert_patrones[[#All],[Código Patrón]:[Deriva]],MATCH($U$35,Cert_patrones[Código Patrón],0)+S43,9)*coef_unidad</f>
        <v>1.77E-2</v>
      </c>
      <c r="Y43" s="22">
        <v>7</v>
      </c>
      <c r="Z43" s="195" t="str">
        <f>IFERROR(INDEX(Cert_patrones[[#All],[Código Patrón]:[Deriva]],MATCH($AA$35,Cert_patrones[Código Patrón],0)+Y43,3)*coef_unidad,"")</f>
        <v/>
      </c>
      <c r="AA43" s="195" t="str">
        <f>IFERROR(INDEX(Cert_patrones[[#All],[Código Patrón]:[Deriva]],MATCH($AA$35,Cert_patrones[Código Patrón],0)+Y43,4)*coef_unidad,"")</f>
        <v/>
      </c>
      <c r="AB43" s="195" t="str">
        <f>IFERROR(INDEX(Cert_patrones[[#All],[Código Patrón]:[Deriva]],MATCH($AA$35,Cert_patrones[Código Patrón],0)+Y43,5)*coef_unidad,"")</f>
        <v/>
      </c>
      <c r="AC43" s="195" t="str">
        <f>IFERROR(INDEX(Cert_patrones[[#All],[Código Patrón]:[Deriva]],MATCH($AA$35,Cert_patrones[Código Patrón],0)+Y43,9)*coef_unidad,"")</f>
        <v/>
      </c>
      <c r="AE43" s="68" t="s">
        <v>439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>
        <f t="shared" ca="1" si="14"/>
        <v>69.935096200000004</v>
      </c>
      <c r="D44" s="95">
        <f t="shared" ca="1" si="8"/>
        <v>70</v>
      </c>
      <c r="E44" s="95">
        <f t="shared" ca="1" si="9"/>
        <v>-6.4903799999996181E-2</v>
      </c>
      <c r="F44" s="98">
        <f ca="1">IFERROR(IF(C44&lt;&gt;"",'kU(E)'!$M$19*'kU(E)'!G62,""),"")</f>
        <v>0.30371455016151777</v>
      </c>
      <c r="G44" s="255">
        <f t="shared" ca="1" si="10"/>
        <v>482.18549407062346</v>
      </c>
      <c r="H44" s="95">
        <f t="shared" ca="1" si="11"/>
        <v>482.63299000000001</v>
      </c>
      <c r="I44" s="95">
        <f t="shared" ca="1" si="12"/>
        <v>-0.44749592937657368</v>
      </c>
      <c r="J44" s="98">
        <f t="shared" ca="1" si="13"/>
        <v>2.0940380207279761</v>
      </c>
      <c r="K44" s="95" t="str">
        <f ca="1">IFERROR(IF(C44="","",#REF!),"")</f>
        <v/>
      </c>
      <c r="M44" s="200" t="s">
        <v>620</v>
      </c>
      <c r="N44" s="196">
        <v>2.036</v>
      </c>
      <c r="O44" s="196">
        <v>2.036</v>
      </c>
      <c r="P44" s="196">
        <v>3.3863900000000002E-2</v>
      </c>
      <c r="Q44" s="29">
        <v>3.38639</v>
      </c>
      <c r="S44" s="22">
        <v>8</v>
      </c>
      <c r="T44" s="195">
        <f>INDEX(Cert_patrones[[#All],[Código Patrón]:[Deriva]],MATCH($U$35,Cert_patrones[Código Patrón],0)+S44,3)*coef_unidad</f>
        <v>400</v>
      </c>
      <c r="U44" s="195">
        <f>INDEX(Cert_patrones[[#All],[Código Patrón]:[Deriva]],MATCH($U$35,Cert_patrones[Código Patrón],0)+S44,4)*coef_unidad</f>
        <v>-4.2000000000000003E-2</v>
      </c>
      <c r="V44" s="195">
        <f>INDEX(Cert_patrones[[#All],[Código Patrón]:[Deriva]],MATCH($U$35,Cert_patrones[Código Patrón],0)+S44,5)*coef_unidad</f>
        <v>6.7000000000000004E-2</v>
      </c>
      <c r="W44" s="195">
        <f>INDEX(Cert_patrones[[#All],[Código Patrón]:[Deriva]],MATCH($U$35,Cert_patrones[Código Patrón],0)+S44,9)*coef_unidad</f>
        <v>1.6E-2</v>
      </c>
      <c r="Y44" s="22">
        <v>8</v>
      </c>
      <c r="Z44" s="195" t="str">
        <f>IFERROR(INDEX(Cert_patrones[[#All],[Código Patrón]:[Deriva]],MATCH($AA$35,Cert_patrones[Código Patrón],0)+Y44,3)*coef_unidad,"")</f>
        <v/>
      </c>
      <c r="AA44" s="195" t="str">
        <f>IFERROR(INDEX(Cert_patrones[[#All],[Código Patrón]:[Deriva]],MATCH($AA$35,Cert_patrones[Código Patrón],0)+Y44,4)*coef_unidad,"")</f>
        <v/>
      </c>
      <c r="AB44" s="195" t="str">
        <f>IFERROR(INDEX(Cert_patrones[[#All],[Código Patrón]:[Deriva]],MATCH($AA$35,Cert_patrones[Código Patrón],0)+Y44,5)*coef_unidad,"")</f>
        <v/>
      </c>
      <c r="AC44" s="195" t="str">
        <f>IFERROR(INDEX(Cert_patrones[[#All],[Código Patrón]:[Deriva]],MATCH($AA$35,Cert_patrones[Código Patrón],0)+Y44,9)*coef_unidad,"")</f>
        <v/>
      </c>
      <c r="AE44" s="68" t="s">
        <v>440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>
        <f t="shared" ca="1" si="14"/>
        <v>200.08298425000001</v>
      </c>
      <c r="D45" s="95">
        <f t="shared" ca="1" si="8"/>
        <v>200</v>
      </c>
      <c r="E45" s="95">
        <f t="shared" ca="1" si="9"/>
        <v>8.2984250000009752E-2</v>
      </c>
      <c r="F45" s="98">
        <f ca="1">IFERROR(IF(C45&lt;&gt;"",'kU(E)'!$N$19*'kU(E)'!G63,""),"")</f>
        <v>0.30253243749182424</v>
      </c>
      <c r="G45" s="255">
        <f t="shared" ca="1" si="10"/>
        <v>1379.5235562385774</v>
      </c>
      <c r="H45" s="95">
        <f t="shared" ca="1" si="11"/>
        <v>1378.9514000000001</v>
      </c>
      <c r="I45" s="95">
        <f t="shared" ca="1" si="12"/>
        <v>0.57215623857731723</v>
      </c>
      <c r="J45" s="98">
        <f t="shared" ca="1" si="13"/>
        <v>2.0858876411238176</v>
      </c>
      <c r="K45" s="95" t="str">
        <f ca="1">IFERROR(IF(C45="","",#REF!),"")</f>
        <v/>
      </c>
      <c r="M45" s="200" t="s">
        <v>621</v>
      </c>
      <c r="N45" s="196">
        <v>51.7149</v>
      </c>
      <c r="O45" s="196">
        <v>51.7149</v>
      </c>
      <c r="P45" s="196">
        <v>1.333E-3</v>
      </c>
      <c r="Q45" s="29">
        <v>0.133322</v>
      </c>
      <c r="S45" s="22">
        <v>9</v>
      </c>
      <c r="T45" s="195">
        <f>INDEX(Cert_patrones[[#All],[Código Patrón]:[Deriva]],MATCH($U$35,Cert_patrones[Código Patrón],0)+S45,3)*coef_unidad</f>
        <v>600</v>
      </c>
      <c r="U45" s="195">
        <f>INDEX(Cert_patrones[[#All],[Código Patrón]:[Deriva]],MATCH($U$35,Cert_patrones[Código Patrón],0)+S45,4)*coef_unidad</f>
        <v>-0.05</v>
      </c>
      <c r="V45" s="195">
        <f>INDEX(Cert_patrones[[#All],[Código Patrón]:[Deriva]],MATCH($U$35,Cert_patrones[Código Patrón],0)+S45,5)*coef_unidad</f>
        <v>0.12</v>
      </c>
      <c r="W45" s="195">
        <f>INDEX(Cert_patrones[[#All],[Código Patrón]:[Deriva]],MATCH($U$35,Cert_patrones[Código Patrón],0)+S45,9)*coef_unidad</f>
        <v>2.2499999999999992E-2</v>
      </c>
      <c r="Y45" s="22">
        <v>9</v>
      </c>
      <c r="Z45" s="195" t="str">
        <f>IFERROR(INDEX(Cert_patrones[[#All],[Código Patrón]:[Deriva]],MATCH($AA$35,Cert_patrones[Código Patrón],0)+Y45,3)*coef_unidad,"")</f>
        <v/>
      </c>
      <c r="AA45" s="195" t="str">
        <f>IFERROR(INDEX(Cert_patrones[[#All],[Código Patrón]:[Deriva]],MATCH($AA$35,Cert_patrones[Código Patrón],0)+Y45,4)*coef_unidad,"")</f>
        <v/>
      </c>
      <c r="AB45" s="195" t="str">
        <f>IFERROR(INDEX(Cert_patrones[[#All],[Código Patrón]:[Deriva]],MATCH($AA$35,Cert_patrones[Código Patrón],0)+Y45,5)*coef_unidad,"")</f>
        <v/>
      </c>
      <c r="AC45" s="195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5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0" t="s">
        <v>622</v>
      </c>
      <c r="N46" s="196">
        <v>5.1710000000000003</v>
      </c>
      <c r="O46" s="196">
        <v>5.1710000000000003</v>
      </c>
      <c r="P46" s="29">
        <v>1.333E-2</v>
      </c>
      <c r="Q46" s="29">
        <v>1.3332200000000001</v>
      </c>
      <c r="S46" s="22">
        <v>10</v>
      </c>
      <c r="T46" s="195">
        <f>INDEX(Cert_patrones[[#All],[Código Patrón]:[Deriva]],MATCH($U$35,Cert_patrones[Código Patrón],0)+S46,3)*coef_unidad</f>
        <v>800</v>
      </c>
      <c r="U46" s="195">
        <f>INDEX(Cert_patrones[[#All],[Código Patrón]:[Deriva]],MATCH($U$35,Cert_patrones[Código Patrón],0)+S46,4)*coef_unidad</f>
        <v>-0.15</v>
      </c>
      <c r="V46" s="195">
        <f>INDEX(Cert_patrones[[#All],[Código Patrón]:[Deriva]],MATCH($U$35,Cert_patrones[Código Patrón],0)+S46,5)*coef_unidad</f>
        <v>0.11</v>
      </c>
      <c r="W46" s="195">
        <f>INDEX(Cert_patrones[[#All],[Código Patrón]:[Deriva]],MATCH($U$35,Cert_patrones[Código Patrón],0)+S46,9)*coef_unidad</f>
        <v>8.8499999999999995E-2</v>
      </c>
      <c r="Y46" s="22">
        <v>10</v>
      </c>
      <c r="Z46" s="195" t="str">
        <f>IFERROR(INDEX(Cert_patrones[[#All],[Código Patrón]:[Deriva]],MATCH($AA$35,Cert_patrones[Código Patrón],0)+Y46,3)*coef_unidad,"")</f>
        <v/>
      </c>
      <c r="AA46" s="195" t="str">
        <f>IFERROR(INDEX(Cert_patrones[[#All],[Código Patrón]:[Deriva]],MATCH($AA$35,Cert_patrones[Código Patrón],0)+Y46,4)*coef_unidad,"")</f>
        <v/>
      </c>
      <c r="AB46" s="195" t="str">
        <f>IFERROR(INDEX(Cert_patrones[[#All],[Código Patrón]:[Deriva]],MATCH($AA$35,Cert_patrones[Código Patrón],0)+Y46,5)*coef_unidad,"")</f>
        <v/>
      </c>
      <c r="AC46" s="195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5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0" t="s">
        <v>785</v>
      </c>
      <c r="N47" s="196">
        <v>703.06960000000004</v>
      </c>
      <c r="O47" s="196">
        <v>703.06960000000004</v>
      </c>
      <c r="P47" s="196">
        <v>9.7999999999999997E-5</v>
      </c>
      <c r="Q47" s="29">
        <v>9.7999999999999997E-3</v>
      </c>
      <c r="S47" s="22">
        <v>11</v>
      </c>
      <c r="T47" s="195">
        <f>INDEX(Cert_patrones[[#All],[Código Patrón]:[Deriva]],MATCH($U$35,Cert_patrones[Código Patrón],0)+S47,3)*coef_unidad</f>
        <v>1000</v>
      </c>
      <c r="U47" s="195">
        <f>INDEX(Cert_patrones[[#All],[Código Patrón]:[Deriva]],MATCH($U$35,Cert_patrones[Código Patrón],0)+S47,4)*coef_unidad</f>
        <v>-0.11</v>
      </c>
      <c r="V47" s="195">
        <f>INDEX(Cert_patrones[[#All],[Código Patrón]:[Deriva]],MATCH($U$35,Cert_patrones[Código Patrón],0)+S47,5)*coef_unidad</f>
        <v>0.12</v>
      </c>
      <c r="W47" s="195">
        <f>INDEX(Cert_patrones[[#All],[Código Patrón]:[Deriva]],MATCH($U$35,Cert_patrones[Código Patrón],0)+S47,9)*coef_unidad</f>
        <v>9.0499999999999997E-2</v>
      </c>
      <c r="Y47" s="22">
        <v>11</v>
      </c>
      <c r="Z47" s="195" t="str">
        <f>IFERROR(INDEX(Cert_patrones[[#All],[Código Patrón]:[Deriva]],MATCH($AA$35,Cert_patrones[Código Patrón],0)+Y47,3)*coef_unidad,"")</f>
        <v/>
      </c>
      <c r="AA47" s="195" t="str">
        <f>IFERROR(INDEX(Cert_patrones[[#All],[Código Patrón]:[Deriva]],MATCH($AA$35,Cert_patrones[Código Patrón],0)+Y47,4)*coef_unidad,"")</f>
        <v/>
      </c>
      <c r="AB47" s="195" t="str">
        <f>IFERROR(INDEX(Cert_patrones[[#All],[Código Patrón]:[Deriva]],MATCH($AA$35,Cert_patrones[Código Patrón],0)+Y47,5)*coef_unidad,"")</f>
        <v/>
      </c>
      <c r="AC47" s="195" t="str">
        <f>IFERROR(INDEX(Cert_patrones[[#All],[Código Patrón]:[Deriva]],MATCH($AA$35,Cert_patrones[Código Patrón],0)+Y47,9)*coef_unidad,"")</f>
        <v/>
      </c>
      <c r="AE47" s="17" t="s">
        <v>659</v>
      </c>
      <c r="AF47" s="17"/>
      <c r="AG47" s="17"/>
      <c r="AH47" s="17"/>
      <c r="AI47" s="17" t="str">
        <f>CONCATENATE("[Todo en ", unidad,"]")</f>
        <v>[Todo en psi]</v>
      </c>
      <c r="AJ47" s="17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5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0" t="s">
        <v>786</v>
      </c>
      <c r="N48" s="196">
        <v>70.306960000000004</v>
      </c>
      <c r="O48" s="196">
        <v>70.306960000000004</v>
      </c>
      <c r="P48" s="196">
        <v>9.7999999999999997E-4</v>
      </c>
      <c r="Q48" s="29">
        <v>9.8000000000000004E-2</v>
      </c>
      <c r="S48" s="22">
        <v>12</v>
      </c>
      <c r="T48" s="195">
        <f>INDEX(Cert_patrones[[#All],[Código Patrón]:[Deriva]],MATCH($U$35,Cert_patrones[Código Patrón],0)+S48,3)*coef_unidad</f>
        <v>1000</v>
      </c>
      <c r="U48" s="195">
        <f>INDEX(Cert_patrones[[#All],[Código Patrón]:[Deriva]],MATCH($U$35,Cert_patrones[Código Patrón],0)+S48,4)*coef_unidad</f>
        <v>-0.15</v>
      </c>
      <c r="V48" s="195">
        <f>INDEX(Cert_patrones[[#All],[Código Patrón]:[Deriva]],MATCH($U$35,Cert_patrones[Código Patrón],0)+S48,5)*coef_unidad</f>
        <v>0.12</v>
      </c>
      <c r="W48" s="195">
        <f>INDEX(Cert_patrones[[#All],[Código Patrón]:[Deriva]],MATCH($U$35,Cert_patrones[Código Patrón],0)+S48,9)*coef_unidad</f>
        <v>0.1069</v>
      </c>
      <c r="Y48" s="22">
        <v>12</v>
      </c>
      <c r="Z48" s="195" t="str">
        <f>IFERROR(INDEX(Cert_patrones[[#All],[Código Patrón]:[Deriva]],MATCH($AA$35,Cert_patrones[Código Patrón],0)+Y48,3)*coef_unidad,"")</f>
        <v/>
      </c>
      <c r="AA48" s="195" t="str">
        <f>IFERROR(INDEX(Cert_patrones[[#All],[Código Patrón]:[Deriva]],MATCH($AA$35,Cert_patrones[Código Patrón],0)+Y48,4)*coef_unidad,"")</f>
        <v/>
      </c>
      <c r="AB48" s="195" t="str">
        <f>IFERROR(INDEX(Cert_patrones[[#All],[Código Patrón]:[Deriva]],MATCH($AA$35,Cert_patrones[Código Patrón],0)+Y48,5)*coef_unidad,"")</f>
        <v/>
      </c>
      <c r="AC48" s="195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5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0" t="s">
        <v>787</v>
      </c>
      <c r="N49" s="196">
        <v>27.6799</v>
      </c>
      <c r="O49" s="196">
        <v>27.6799</v>
      </c>
      <c r="P49" s="196">
        <v>2.5000000000000001E-3</v>
      </c>
      <c r="Q49" s="29">
        <v>0.249089</v>
      </c>
      <c r="S49" s="22">
        <v>13</v>
      </c>
      <c r="T49" s="195">
        <f>INDEX(Cert_patrones[[#All],[Código Patrón]:[Deriva]],MATCH($U$35,Cert_patrones[Código Patrón],0)+S49,3)*coef_unidad</f>
        <v>800</v>
      </c>
      <c r="U49" s="195">
        <f>INDEX(Cert_patrones[[#All],[Código Patrón]:[Deriva]],MATCH($U$35,Cert_patrones[Código Patrón],0)+S49,4)*coef_unidad</f>
        <v>-0.1</v>
      </c>
      <c r="V49" s="195">
        <f>INDEX(Cert_patrones[[#All],[Código Patrón]:[Deriva]],MATCH($U$35,Cert_patrones[Código Patrón],0)+S49,5)*coef_unidad</f>
        <v>0.12</v>
      </c>
      <c r="W49" s="195">
        <f>INDEX(Cert_patrones[[#All],[Código Patrón]:[Deriva]],MATCH($U$35,Cert_patrones[Código Patrón],0)+S49,9)*coef_unidad</f>
        <v>7.690000000000001E-2</v>
      </c>
      <c r="Y49" s="22">
        <v>13</v>
      </c>
      <c r="Z49" s="195" t="str">
        <f>IFERROR(INDEX(Cert_patrones[[#All],[Código Patrón]:[Deriva]],MATCH($AA$35,Cert_patrones[Código Patrón],0)+Y49,3)*coef_unidad,"")</f>
        <v/>
      </c>
      <c r="AA49" s="195" t="str">
        <f>IFERROR(INDEX(Cert_patrones[[#All],[Código Patrón]:[Deriva]],MATCH($AA$35,Cert_patrones[Código Patrón],0)+Y49,4)*coef_unidad,"")</f>
        <v/>
      </c>
      <c r="AB49" s="195" t="str">
        <f>IFERROR(INDEX(Cert_patrones[[#All],[Código Patrón]:[Deriva]],MATCH($AA$35,Cert_patrones[Código Patrón],0)+Y49,5)*coef_unidad,"")</f>
        <v/>
      </c>
      <c r="AC49" s="195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5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0" t="s">
        <v>619</v>
      </c>
      <c r="N50" s="196">
        <v>6.8049999999999999E-2</v>
      </c>
      <c r="O50" s="196">
        <v>6.8049999999999999E-2</v>
      </c>
      <c r="P50" s="196">
        <v>1.0132000000000001</v>
      </c>
      <c r="Q50" s="29">
        <v>101.325</v>
      </c>
      <c r="S50" s="22">
        <v>14</v>
      </c>
      <c r="T50" s="195">
        <f>INDEX(Cert_patrones[[#All],[Código Patrón]:[Deriva]],MATCH($U$35,Cert_patrones[Código Patrón],0)+S50,3)*coef_unidad</f>
        <v>600</v>
      </c>
      <c r="U50" s="195">
        <f>INDEX(Cert_patrones[[#All],[Código Patrón]:[Deriva]],MATCH($U$35,Cert_patrones[Código Patrón],0)+S50,4)*coef_unidad</f>
        <v>-0.06</v>
      </c>
      <c r="V50" s="195">
        <f>INDEX(Cert_patrones[[#All],[Código Patrón]:[Deriva]],MATCH($U$35,Cert_patrones[Código Patrón],0)+S50,5)*coef_unidad</f>
        <v>0.12</v>
      </c>
      <c r="W50" s="195">
        <f>INDEX(Cert_patrones[[#All],[Código Patrón]:[Deriva]],MATCH($U$35,Cert_patrones[Código Patrón],0)+S50,9)*coef_unidad</f>
        <v>2.2399999999999996E-2</v>
      </c>
      <c r="Y50" s="22">
        <v>14</v>
      </c>
      <c r="Z50" s="195" t="str">
        <f>IFERROR(INDEX(Cert_patrones[[#All],[Código Patrón]:[Deriva]],MATCH($AA$35,Cert_patrones[Código Patrón],0)+Y50,3)*coef_unidad,"")</f>
        <v/>
      </c>
      <c r="AA50" s="195" t="str">
        <f>IFERROR(INDEX(Cert_patrones[[#All],[Código Patrón]:[Deriva]],MATCH($AA$35,Cert_patrones[Código Patrón],0)+Y50,4)*coef_unidad,"")</f>
        <v/>
      </c>
      <c r="AB50" s="195" t="str">
        <f>IFERROR(INDEX(Cert_patrones[[#All],[Código Patrón]:[Deriva]],MATCH($AA$35,Cert_patrones[Código Patrón],0)+Y50,5)*coef_unidad,"")</f>
        <v/>
      </c>
      <c r="AC50" s="195" t="str">
        <f>IFERROR(INDEX(Cert_patrones[[#All],[Código Patrón]:[Deriva]],MATCH($AA$35,Cert_patrones[Código Patrón],0)+Y50,9)*coef_unidad,"")</f>
        <v/>
      </c>
      <c r="AE50" s="68" t="s">
        <v>435</v>
      </c>
      <c r="AF50" s="69">
        <f t="array" aca="1" ref="AF50:AO50" ca="1">TRANSPOSE($T$15:$T$29)</f>
        <v>6.9375</v>
      </c>
      <c r="AG50" s="69">
        <f ca="1"/>
        <v>9.9600000000000009</v>
      </c>
      <c r="AH50" s="69">
        <f ca="1"/>
        <v>17.947500000000002</v>
      </c>
      <c r="AI50" s="69">
        <f ca="1"/>
        <v>24.952500000000001</v>
      </c>
      <c r="AJ50" s="69">
        <f ca="1"/>
        <v>34.927499999999995</v>
      </c>
      <c r="AK50" s="69">
        <f ca="1"/>
        <v>52.965000000000003</v>
      </c>
      <c r="AL50" s="64">
        <f ca="1"/>
        <v>69.952500000000001</v>
      </c>
      <c r="AM50" s="64">
        <f ca="1"/>
        <v>200.09</v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5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9" t="s">
        <v>784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5">
        <f>INDEX(Cert_patrones[[#All],[Código Patrón]:[Deriva]],MATCH($U$35,Cert_patrones[Código Patrón],0)+S51,3)*coef_unidad</f>
        <v>400</v>
      </c>
      <c r="U51" s="195">
        <f>INDEX(Cert_patrones[[#All],[Código Patrón]:[Deriva]],MATCH($U$35,Cert_patrones[Código Patrón],0)+S51,4)*coef_unidad</f>
        <v>2.1999999999999999E-2</v>
      </c>
      <c r="V51" s="195">
        <f>INDEX(Cert_patrones[[#All],[Código Patrón]:[Deriva]],MATCH($U$35,Cert_patrones[Código Patrón],0)+S51,5)*coef_unidad</f>
        <v>0.06</v>
      </c>
      <c r="W51" s="195">
        <f>INDEX(Cert_patrones[[#All],[Código Patrón]:[Deriva]],MATCH($U$35,Cert_patrones[Código Patrón],0)+S51,9)*coef_unidad</f>
        <v>6.9599999999999995E-2</v>
      </c>
      <c r="Y51" s="22">
        <v>15</v>
      </c>
      <c r="Z51" s="195" t="str">
        <f>IFERROR(INDEX(Cert_patrones[[#All],[Código Patrón]:[Deriva]],MATCH($AA$35,Cert_patrones[Código Patrón],0)+Y51,3)*coef_unidad,"")</f>
        <v/>
      </c>
      <c r="AA51" s="195" t="str">
        <f>IFERROR(INDEX(Cert_patrones[[#All],[Código Patrón]:[Deriva]],MATCH($AA$35,Cert_patrones[Código Patrón],0)+Y51,4)*coef_unidad,"")</f>
        <v/>
      </c>
      <c r="AB51" s="195" t="str">
        <f>IFERROR(INDEX(Cert_patrones[[#All],[Código Patrón]:[Deriva]],MATCH($AA$35,Cert_patrones[Código Patrón],0)+Y51,5)*coef_unidad,"")</f>
        <v/>
      </c>
      <c r="AC51" s="195" t="str">
        <f>IFERROR(INDEX(Cert_patrones[[#All],[Código Patrón]:[Deriva]],MATCH($AA$35,Cert_patrones[Código Patrón],0)+Y51,9)*coef_unidad,"")</f>
        <v/>
      </c>
      <c r="AE51" s="68" t="s">
        <v>436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5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68" t="s">
        <v>438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506</v>
      </c>
      <c r="U53" s="126">
        <f t="array" aca="1" ref="U53" ca="1">RSQ($U$37:OFFSET($U$37,MATCH(TRUE,$V$37:$V$51&lt;&gt;0,1)-1,0),$T$37:OFFSET($T$37,MATCH(TRUE,$V$37:$V$51&lt;&gt;0,1)-1,0))</f>
        <v>0.82229083606855002</v>
      </c>
      <c r="V53" s="126">
        <f t="array" aca="1" ref="V53" ca="1">RSQ($V$37:OFFSET($V$37,MATCH(TRUE,$V$37:$V$51&lt;&gt;0,1)-1,0),$T$37:OFFSET($T$37,MATCH(TRUE,$V$37:$V$51&lt;&gt;0,1)-1,0))</f>
        <v>0.81323037920374497</v>
      </c>
      <c r="W53" s="126">
        <f t="array" aca="1" ref="W53" ca="1">IFERROR(RSQ($W$37:OFFSET($V$37,MATCH(TRUE,$V$37:$V$51&lt;&gt;0,1)-1,0),$T$37:OFFSET($T$37,MATCH(TRUE,$V$37:$V$51&lt;&gt;0,1)-1,0)),1)</f>
        <v>1</v>
      </c>
      <c r="Z53" s="117" t="s">
        <v>506</v>
      </c>
      <c r="AA53" s="126">
        <f t="array" aca="1" ref="AA53" ca="1">IFERROR(RSQ($AA$37:OFFSET($AA$37,MATCH(TRUE,$AB$37:$AB$51&lt;&gt;0,1)-1,0),$Z$37:OFFSET($Z$37,MATCH(TRUE,$AB$37:$AB$51&lt;&gt;0,1)-1,0)),0)</f>
        <v>0</v>
      </c>
      <c r="AB53" s="126">
        <f t="array" aca="1" ref="AB53" ca="1">IFERROR(RSQ($AB$37:OFFSET($AB$37,MATCH(TRUE,$AA$37:$AA$51&lt;&gt;0,1)-1,0),$Z$37:OFFSET($Z$37,MATCH(TRUE,$AA$37:$AA$51&lt;&gt;0,1)-1,0)),0)</f>
        <v>0</v>
      </c>
      <c r="AC53" s="126">
        <f t="array" aca="1" ref="AC53" ca="1">IFERROR(RSQ($AC$37:OFFSET($AC$37,MATCH(TRUE,$AA$37:$AA$51&lt;&gt;0,1)-1,0),$Z$37:OFFSET($Z$37,MATCH(TRUE,$AA$37:$AA$51&lt;&gt;0,1)-1,0)),0)</f>
        <v>0</v>
      </c>
      <c r="AE53" s="68" t="s">
        <v>437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623</v>
      </c>
      <c r="AE54" s="68" t="s">
        <v>439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440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7" t="s">
        <v>663</v>
      </c>
      <c r="AF58" s="17"/>
      <c r="AG58" s="17"/>
      <c r="AH58" s="17"/>
      <c r="AI58" s="17" t="str">
        <f>CONCATENATE("[Todo en ", unidad,"]")</f>
        <v>[Todo en psi]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435</v>
      </c>
      <c r="AF61" s="69">
        <f t="array" aca="1" ref="AF61:AO61" ca="1">TRANSPOSE($T$15:$T$29)</f>
        <v>6.9375</v>
      </c>
      <c r="AG61" s="69">
        <f ca="1"/>
        <v>9.9600000000000009</v>
      </c>
      <c r="AH61" s="69">
        <f ca="1"/>
        <v>17.947500000000002</v>
      </c>
      <c r="AI61" s="69">
        <f ca="1"/>
        <v>24.952500000000001</v>
      </c>
      <c r="AJ61" s="69">
        <f ca="1"/>
        <v>34.927499999999995</v>
      </c>
      <c r="AK61" s="69">
        <f ca="1"/>
        <v>52.965000000000003</v>
      </c>
      <c r="AL61" s="64">
        <f ca="1"/>
        <v>69.952500000000001</v>
      </c>
      <c r="AM61" s="64">
        <f ca="1"/>
        <v>200.09</v>
      </c>
      <c r="AN61" s="64" t="str">
        <f ca="1"/>
        <v/>
      </c>
      <c r="AO61" s="64" t="str">
        <f ca="1"/>
        <v/>
      </c>
    </row>
    <row r="62" spans="2:41" x14ac:dyDescent="0.3">
      <c r="AE62" s="68" t="s">
        <v>436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438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437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439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440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43</v>
      </c>
    </row>
    <row r="125" spans="59:59" x14ac:dyDescent="0.3">
      <c r="BG125" s="67" t="s">
        <v>44</v>
      </c>
    </row>
    <row r="128" spans="59:59" x14ac:dyDescent="0.3">
      <c r="BG128" s="67" t="s">
        <v>637</v>
      </c>
    </row>
    <row r="129" spans="59:59" x14ac:dyDescent="0.3">
      <c r="BG129" s="67" t="s">
        <v>638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L15" sqref="L15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2" t="s">
        <v>407</v>
      </c>
      <c r="C2" s="17"/>
      <c r="G2" s="92" t="s">
        <v>510</v>
      </c>
      <c r="H2" s="92"/>
      <c r="I2" s="92"/>
      <c r="J2" s="92"/>
      <c r="K2" s="92"/>
      <c r="L2" s="92"/>
      <c r="M2" s="92"/>
      <c r="N2" s="92"/>
      <c r="O2" s="92"/>
      <c r="P2" s="92"/>
      <c r="U2" s="350" t="s">
        <v>632</v>
      </c>
      <c r="V2" s="350"/>
      <c r="W2" s="350"/>
      <c r="X2" s="350"/>
      <c r="Y2" s="350"/>
      <c r="Z2" s="350"/>
      <c r="AA2" s="350"/>
      <c r="AB2" s="350"/>
      <c r="AC2" s="350"/>
      <c r="AD2" s="296" t="s">
        <v>545</v>
      </c>
      <c r="AG2" s="299" t="s">
        <v>409</v>
      </c>
      <c r="AH2" s="299" t="s">
        <v>606</v>
      </c>
      <c r="AI2" s="299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2" t="s">
        <v>511</v>
      </c>
      <c r="H3" s="92"/>
      <c r="I3" s="92"/>
      <c r="J3" s="92"/>
      <c r="K3" s="92"/>
      <c r="L3" s="92"/>
      <c r="M3" s="92"/>
      <c r="N3" s="92"/>
      <c r="O3" s="92"/>
      <c r="P3" s="92"/>
      <c r="U3" s="29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V3" s="29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W3" s="29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X3" s="29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Y3" s="29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Z3" s="29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A3" s="29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B3" s="29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4.4114292425581064E-6</v>
      </c>
      <c r="AC3" s="29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0" t="s">
        <v>543</v>
      </c>
      <c r="AH3" s="300">
        <v>6.8947570000000002</v>
      </c>
      <c r="AI3" s="301">
        <f>AH3*1000</f>
        <v>6894.7570000000005</v>
      </c>
    </row>
    <row r="4" spans="2:35" x14ac:dyDescent="0.3">
      <c r="B4" s="73" t="s">
        <v>448</v>
      </c>
      <c r="C4" s="76" t="s">
        <v>449</v>
      </c>
      <c r="D4" s="50" t="s">
        <v>365</v>
      </c>
      <c r="E4" s="74">
        <v>0</v>
      </c>
      <c r="G4" s="92" t="s">
        <v>512</v>
      </c>
      <c r="H4" s="92"/>
      <c r="I4" s="92"/>
      <c r="J4" s="92"/>
      <c r="K4" s="92"/>
      <c r="L4" s="92"/>
      <c r="M4" s="92"/>
      <c r="N4" s="92"/>
      <c r="O4" s="92"/>
      <c r="P4" s="92"/>
      <c r="AG4" s="300" t="s">
        <v>544</v>
      </c>
      <c r="AH4" s="300">
        <v>100</v>
      </c>
      <c r="AI4" s="301">
        <f t="shared" ref="AI4:AI17" si="0">AH4*1000</f>
        <v>100000</v>
      </c>
    </row>
    <row r="5" spans="2:35" ht="15.6" x14ac:dyDescent="0.3">
      <c r="B5" s="73" t="s">
        <v>411</v>
      </c>
      <c r="C5" s="76" t="s">
        <v>450</v>
      </c>
      <c r="D5" s="50" t="s">
        <v>412</v>
      </c>
      <c r="E5" s="75">
        <v>30</v>
      </c>
      <c r="U5" s="350" t="s">
        <v>632</v>
      </c>
      <c r="V5" s="350"/>
      <c r="W5" s="350"/>
      <c r="X5" s="350"/>
      <c r="Y5" s="350"/>
      <c r="Z5" s="350"/>
      <c r="AA5" s="350"/>
      <c r="AB5" s="350"/>
      <c r="AC5" s="351" t="str">
        <f>CONCATENATE("Todo en [",unidad,"]")</f>
        <v>Todo en [psi]</v>
      </c>
      <c r="AD5" s="351"/>
      <c r="AG5" s="300" t="s">
        <v>545</v>
      </c>
      <c r="AH5" s="300">
        <v>1E-3</v>
      </c>
      <c r="AI5" s="301">
        <f t="shared" si="0"/>
        <v>1</v>
      </c>
    </row>
    <row r="6" spans="2:35" x14ac:dyDescent="0.3">
      <c r="U6" s="298">
        <f ca="1">IF(unidad="Pa",U3*1,(U3/INDEX($AG$3:$AI$17,MATCH(General!$F$16,$AG$3:$AG$17,0),3)))</f>
        <v>6.3982374470312819E-10</v>
      </c>
      <c r="V6" s="298">
        <f ca="1">IF(unidad="Pa",V3*1,(V3/INDEX($AG$3:$AI$17,MATCH(General!$F$16,$AG$3:$AG$17,0),3)))</f>
        <v>6.3982374470312819E-10</v>
      </c>
      <c r="W6" s="298">
        <f ca="1">IF(unidad="Pa",W3*1,(W3/INDEX($AG$3:$AI$17,MATCH(General!$F$16,$AG$3:$AG$17,0),3)))</f>
        <v>6.3982374470312819E-10</v>
      </c>
      <c r="X6" s="298">
        <f ca="1">IF(unidad="Pa",X3*1,(X3/INDEX($AG$3:$AI$17,MATCH(General!$F$16,$AG$3:$AG$17,0),3)))</f>
        <v>6.3982374470312819E-10</v>
      </c>
      <c r="Y6" s="298">
        <f ca="1">IF(unidad="Pa",Y3*1,(Y3/INDEX($AG$3:$AI$17,MATCH(General!$F$16,$AG$3:$AG$17,0),3)))</f>
        <v>6.3982374470312819E-10</v>
      </c>
      <c r="Z6" s="298">
        <f ca="1">IF(unidad="Pa",Z3*1,(Z3/INDEX($AG$3:$AI$17,MATCH(General!$F$16,$AG$3:$AG$17,0),3)))</f>
        <v>6.3982374470312819E-10</v>
      </c>
      <c r="AA6" s="298">
        <f ca="1">IF(unidad="Pa",AA3*1,(AA3/INDEX($AG$3:$AI$17,MATCH(General!$F$16,$AG$3:$AG$17,0),3)))</f>
        <v>6.3982374470312819E-10</v>
      </c>
      <c r="AB6" s="298">
        <f ca="1">IF(unidad="Pa",AB3*1,(AB3/INDEX($AG$3:$AI$17,MATCH(General!$F$16,$AG$3:$AG$17,0),3)))</f>
        <v>6.3982374470312819E-10</v>
      </c>
      <c r="AC6" s="298">
        <f ca="1">IF(unidad="Pa",AC3*1,(AC3/INDEX($AG$3:$AI$17,MATCH(General!$F$16,$AG$3:$AG$17,0),3)))</f>
        <v>0</v>
      </c>
      <c r="AD6" s="298">
        <f ca="1">IF(unidad="Pa",AD3*1,(AD3/INDEX($AG$3:$AI$17,MATCH(General!$F$16,$AG$3:$AG$17,0),3)))</f>
        <v>0</v>
      </c>
      <c r="AG6" s="300" t="s">
        <v>606</v>
      </c>
      <c r="AH6" s="300">
        <v>1</v>
      </c>
      <c r="AI6" s="301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0" t="str">
        <f ca="1">IFERROR(CONCATENATE(FIXED(Calibración!C38,decim),unidad),"")</f>
        <v>6.9psi</v>
      </c>
      <c r="H7" s="140" t="str">
        <f ca="1">IFERROR(CONCATENATE(FIXED(Calibración!C39,decim),unidad),"")</f>
        <v>10.0psi</v>
      </c>
      <c r="I7" s="140" t="str">
        <f ca="1">IFERROR(CONCATENATE(FIXED(Calibración!C40,decim),unidad),"")</f>
        <v>17.9psi</v>
      </c>
      <c r="J7" s="140" t="str">
        <f ca="1">IFERROR(CONCATENATE(FIXED(Calibración!C41,decim),unidad),"")</f>
        <v>24.9psi</v>
      </c>
      <c r="K7" s="140" t="str">
        <f ca="1">IFERROR(CONCATENATE(FIXED(Calibración!C42,decim),unidad),"")</f>
        <v>34.9psi</v>
      </c>
      <c r="L7" s="140" t="str">
        <f ca="1">IFERROR(CONCATENATE(FIXED(Calibración!C43,decim),unidad),"")</f>
        <v>52.9psi</v>
      </c>
      <c r="M7" s="140" t="str">
        <f ca="1">IFERROR(CONCATENATE(FIXED(Calibración!C44,decim),unidad),"")</f>
        <v>69.9psi</v>
      </c>
      <c r="N7" s="140" t="str">
        <f ca="1">IFERROR(CONCATENATE(FIXED(Calibración!C45,decim),unidad),"")</f>
        <v>200.1psi</v>
      </c>
      <c r="O7" s="140" t="str">
        <f ca="1">IFERROR(CONCATENATE(FIXED(Calibración!C46,decim),unidad),"")</f>
        <v/>
      </c>
      <c r="P7" s="140" t="str">
        <f ca="1">IFERROR(CONCATENATE(FIXED(Calibración!C47,decim),unidad),"")</f>
        <v/>
      </c>
      <c r="AG7" s="300" t="s">
        <v>546</v>
      </c>
      <c r="AH7" s="300">
        <v>0.01</v>
      </c>
      <c r="AI7" s="301">
        <f t="shared" si="0"/>
        <v>10</v>
      </c>
    </row>
    <row r="8" spans="2:35" ht="15" x14ac:dyDescent="0.3">
      <c r="B8" s="49" t="s">
        <v>424</v>
      </c>
      <c r="C8" s="49" t="s">
        <v>447</v>
      </c>
      <c r="D8" s="49" t="s">
        <v>446</v>
      </c>
      <c r="E8" s="49" t="s">
        <v>445</v>
      </c>
      <c r="F8" s="49" t="s">
        <v>451</v>
      </c>
      <c r="G8" s="324" t="s">
        <v>456</v>
      </c>
      <c r="H8" s="324" t="s">
        <v>457</v>
      </c>
      <c r="I8" s="324" t="s">
        <v>458</v>
      </c>
      <c r="J8" s="324" t="s">
        <v>459</v>
      </c>
      <c r="K8" s="324" t="s">
        <v>460</v>
      </c>
      <c r="L8" s="324" t="s">
        <v>461</v>
      </c>
      <c r="M8" s="324" t="s">
        <v>462</v>
      </c>
      <c r="N8" s="324" t="s">
        <v>463</v>
      </c>
      <c r="O8" s="324" t="s">
        <v>464</v>
      </c>
      <c r="P8" s="324" t="s">
        <v>465</v>
      </c>
      <c r="AG8" s="300" t="s">
        <v>766</v>
      </c>
      <c r="AH8" s="300">
        <v>1000</v>
      </c>
      <c r="AI8" s="301">
        <f t="shared" si="0"/>
        <v>1000000</v>
      </c>
    </row>
    <row r="9" spans="2:35" x14ac:dyDescent="0.3">
      <c r="B9" s="321" t="s">
        <v>427</v>
      </c>
      <c r="C9" s="55" t="s">
        <v>593</v>
      </c>
      <c r="D9" s="71" t="s">
        <v>444</v>
      </c>
      <c r="E9" s="72">
        <f>SQRT(12)</f>
        <v>3.4641016151377544</v>
      </c>
      <c r="F9" s="77">
        <v>1</v>
      </c>
      <c r="G9" s="101">
        <f ca="1">IF(G10=0,0,DivEscalaPatr*'kU(E)'!$F9/'kU(E)'!$E9)</f>
        <v>2.8867513459481291E-2</v>
      </c>
      <c r="H9" s="101">
        <f ca="1">IF(H10=0,0,DivEscalaPatr*'kU(E)'!$F9/'kU(E)'!$E9)</f>
        <v>2.8867513459481291E-2</v>
      </c>
      <c r="I9" s="101">
        <f ca="1">IF(I10=0,0,DivEscalaPatr*'kU(E)'!$F9/'kU(E)'!$E9)</f>
        <v>2.8867513459481291E-2</v>
      </c>
      <c r="J9" s="101">
        <f ca="1">IF(J10=0,0,DivEscalaPatr*'kU(E)'!$F9/'kU(E)'!$E9)</f>
        <v>2.8867513459481291E-2</v>
      </c>
      <c r="K9" s="101">
        <f ca="1">IF(K10=0,0,DivEscalaPatr*'kU(E)'!$F9/'kU(E)'!$E9)</f>
        <v>2.8867513459481291E-2</v>
      </c>
      <c r="L9" s="101">
        <f ca="1">IF(L10=0,0,DivEscalaPatr*'kU(E)'!$F9/'kU(E)'!$E9)</f>
        <v>2.8867513459481291E-2</v>
      </c>
      <c r="M9" s="101">
        <f ca="1">IF(M10=0,0,DivEscalaPatr*'kU(E)'!$F9/'kU(E)'!$E9)</f>
        <v>2.8867513459481291E-2</v>
      </c>
      <c r="N9" s="101">
        <f ca="1">IF(N10=0,0,DivEscalaPatr*'kU(E)'!$F9/'kU(E)'!$E9)</f>
        <v>2.8867513459481291E-2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300" t="s">
        <v>783</v>
      </c>
      <c r="AH9" s="300">
        <v>98.066500000000005</v>
      </c>
      <c r="AI9" s="301">
        <f t="shared" si="0"/>
        <v>98066.5</v>
      </c>
    </row>
    <row r="10" spans="2:35" x14ac:dyDescent="0.3">
      <c r="B10" s="321" t="s">
        <v>443</v>
      </c>
      <c r="C10" s="55" t="s">
        <v>594</v>
      </c>
      <c r="D10" s="71" t="s">
        <v>470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2.9777499999999998E-2</v>
      </c>
      <c r="H10" s="101">
        <f ca="1">IFERROR(INDEX(tblResultCalib[Incertid. patrón],MATCH(_xlfn.NUMBERVALUE(INDIRECT(ADDRESS(8,COLUMN()))),tblResultCalib['#],0))*'kU(E)'!$F10/'kU(E)'!$E10,0)</f>
        <v>2.9898399999999999E-2</v>
      </c>
      <c r="I10" s="101">
        <f ca="1">IFERROR(INDEX(tblResultCalib[Incertid. patrón],MATCH(_xlfn.NUMBERVALUE(INDIRECT(ADDRESS(8,COLUMN()))),tblResultCalib['#],0))*'kU(E)'!$F10/'kU(E)'!$E10,0)</f>
        <v>3.0217899999999999E-2</v>
      </c>
      <c r="J10" s="101">
        <f ca="1">IFERROR(INDEX(tblResultCalib[Incertid. patrón],MATCH(_xlfn.NUMBERVALUE(INDIRECT(ADDRESS(8,COLUMN()))),tblResultCalib['#],0))*'kU(E)'!$F10/'kU(E)'!$E10,0)</f>
        <v>3.04981E-2</v>
      </c>
      <c r="K10" s="101">
        <f ca="1">IFERROR(INDEX(tblResultCalib[Incertid. patrón],MATCH(_xlfn.NUMBERVALUE(INDIRECT(ADDRESS(8,COLUMN()))),tblResultCalib['#],0))*'kU(E)'!$F10/'kU(E)'!$E10,0)</f>
        <v>3.08971E-2</v>
      </c>
      <c r="L10" s="101">
        <f ca="1">IFERROR(INDEX(tblResultCalib[Incertid. patrón],MATCH(_xlfn.NUMBERVALUE(INDIRECT(ADDRESS(8,COLUMN()))),tblResultCalib['#],0))*'kU(E)'!$F10/'kU(E)'!$E10,0)</f>
        <v>3.1381399999999997E-2</v>
      </c>
      <c r="M10" s="101">
        <f ca="1">IFERROR(INDEX(tblResultCalib[Incertid. patrón],MATCH(_xlfn.NUMBERVALUE(INDIRECT(ADDRESS(8,COLUMN()))),tblResultCalib['#],0))*'kU(E)'!$F10/'kU(E)'!$E10,0)</f>
        <v>3.0701900000000001E-2</v>
      </c>
      <c r="N10" s="101">
        <f ca="1">IFERROR(INDEX(tblResultCalib[Incertid. patrón],MATCH(_xlfn.NUMBERVALUE(INDIRECT(ADDRESS(8,COLUMN()))),tblResultCalib['#],0))*'kU(E)'!$F10/'kU(E)'!$E10,0)</f>
        <v>3.0001574999999999E-2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300" t="s">
        <v>620</v>
      </c>
      <c r="AH10" s="300">
        <v>3.38639</v>
      </c>
      <c r="AI10" s="301">
        <f t="shared" si="0"/>
        <v>3386.39</v>
      </c>
    </row>
    <row r="11" spans="2:35" x14ac:dyDescent="0.3">
      <c r="B11" s="321" t="s">
        <v>452</v>
      </c>
      <c r="C11" s="55" t="s">
        <v>603</v>
      </c>
      <c r="D11" s="71" t="s">
        <v>453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-2.1433035249352644E-5</v>
      </c>
      <c r="H11" s="101">
        <f ca="1">IFERROR(INDEX(tblResultCalib[Corrección patrón],MATCH(_xlfn.NUMBERVALUE(INDIRECT(ADDRESS(8,COLUMN()))),tblResultCalib['#],0))*'kU(E)'!$F11/'kU(E)'!$E11,0)</f>
        <v>-5.6436243673724424E-4</v>
      </c>
      <c r="I11" s="101">
        <f ca="1">IFERROR(INDEX(tblResultCalib[Corrección patrón],MATCH(_xlfn.NUMBERVALUE(INDIRECT(ADDRESS(8,COLUMN()))),tblResultCalib['#],0))*'kU(E)'!$F11/'kU(E)'!$E11,0)</f>
        <v>-1.9991510535724909E-3</v>
      </c>
      <c r="J11" s="101">
        <f ca="1">IFERROR(INDEX(tblResultCalib[Corrección patrón],MATCH(_xlfn.NUMBERVALUE(INDIRECT(ADDRESS(8,COLUMN()))),tblResultCalib['#],0))*'kU(E)'!$F11/'kU(E)'!$E11,0)</f>
        <v>-3.2574539344402092E-3</v>
      </c>
      <c r="K11" s="101">
        <f ca="1">IFERROR(INDEX(tblResultCalib[Corrección patrón],MATCH(_xlfn.NUMBERVALUE(INDIRECT(ADDRESS(8,COLUMN()))),tblResultCalib['#],0))*'kU(E)'!$F11/'kU(E)'!$E11,0)</f>
        <v>-5.0492556812861029E-3</v>
      </c>
      <c r="L11" s="101">
        <f ca="1">IFERROR(INDEX(tblResultCalib[Corrección patrón],MATCH(_xlfn.NUMBERVALUE(INDIRECT(ADDRESS(8,COLUMN()))),tblResultCalib['#],0))*'kU(E)'!$F11/'kU(E)'!$E11,0)</f>
        <v>-7.6598810243153695E-3</v>
      </c>
      <c r="M11" s="101">
        <f ca="1">IFERROR(INDEX(tblResultCalib[Corrección patrón],MATCH(_xlfn.NUMBERVALUE(INDIRECT(ADDRESS(8,COLUMN()))),tblResultCalib['#],0))*'kU(E)'!$F11/'kU(E)'!$E11,0)</f>
        <v>-7.1050715975749801E-3</v>
      </c>
      <c r="N11" s="101">
        <f ca="1">IFERROR(INDEX(tblResultCalib[Corrección patrón],MATCH(_xlfn.NUMBERVALUE(INDIRECT(ADDRESS(8,COLUMN()))),tblResultCalib['#],0))*'kU(E)'!$F11/'kU(E)'!$E11,0)</f>
        <v>-2.8641679438218479E-3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300" t="s">
        <v>621</v>
      </c>
      <c r="AH11" s="300">
        <v>0.133322</v>
      </c>
      <c r="AI11" s="301">
        <f t="shared" si="0"/>
        <v>133.322</v>
      </c>
    </row>
    <row r="12" spans="2:35" x14ac:dyDescent="0.3">
      <c r="B12" s="321" t="s">
        <v>428</v>
      </c>
      <c r="C12" s="55" t="s">
        <v>604</v>
      </c>
      <c r="D12" s="71" t="s">
        <v>444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6.9873094640837963E-3</v>
      </c>
      <c r="H12" s="101">
        <f ca="1">IFERROR(INDEX(tblResultCalib[Deriva patrón],MATCH(_xlfn.NUMBERVALUE(INDIRECT(ADDRESS(8,COLUMN()))),tblResultCalib['#],0))*'kU(E)'!$F12/'kU(E)'!$E12,0)</f>
        <v>7.0885218530240841E-3</v>
      </c>
      <c r="I12" s="101">
        <f ca="1">IFERROR(INDEX(tblResultCalib[Deriva patrón],MATCH(_xlfn.NUMBERVALUE(INDIRECT(ADDRESS(8,COLUMN()))),tblResultCalib['#],0))*'kU(E)'!$F12/'kU(E)'!$E12,0)</f>
        <v>7.3559937989829075E-3</v>
      </c>
      <c r="J12" s="101">
        <f ca="1">IFERROR(INDEX(tblResultCalib[Deriva patrón],MATCH(_xlfn.NUMBERVALUE(INDIRECT(ADDRESS(8,COLUMN()))),tblResultCalib['#],0))*'kU(E)'!$F12/'kU(E)'!$E12,0)</f>
        <v>7.5905654398519609E-3</v>
      </c>
      <c r="K12" s="101">
        <f ca="1">IFERROR(INDEX(tblResultCalib[Deriva patrón],MATCH(_xlfn.NUMBERVALUE(INDIRECT(ADDRESS(8,COLUMN()))),tblResultCalib['#],0))*'kU(E)'!$F12/'kU(E)'!$E12,0)</f>
        <v>7.9245914380916185E-3</v>
      </c>
      <c r="L12" s="101">
        <f ca="1">IFERROR(INDEX(tblResultCalib[Deriva patrón],MATCH(_xlfn.NUMBERVALUE(INDIRECT(ADDRESS(8,COLUMN()))),tblResultCalib['#],0))*'kU(E)'!$F12/'kU(E)'!$E12,0)</f>
        <v>8.0458609753835536E-3</v>
      </c>
      <c r="M12" s="101">
        <f ca="1">IFERROR(INDEX(tblResultCalib[Deriva patrón],MATCH(_xlfn.NUMBERVALUE(INDIRECT(ADDRESS(8,COLUMN()))),tblResultCalib['#],0))*'kU(E)'!$F12/'kU(E)'!$E12,0)</f>
        <v>5.8489277310631903E-3</v>
      </c>
      <c r="N12" s="101">
        <f ca="1">IFERROR(INDEX(tblResultCalib[Deriva patrón],MATCH(_xlfn.NUMBERVALUE(INDIRECT(ADDRESS(8,COLUMN()))),tblResultCalib['#],0))*'kU(E)'!$F12/'kU(E)'!$E12,0)</f>
        <v>1.0218658091700446E-2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300" t="s">
        <v>622</v>
      </c>
      <c r="AH12" s="300">
        <v>1.3332200000000001</v>
      </c>
      <c r="AI12" s="301">
        <f t="shared" si="0"/>
        <v>1333.22</v>
      </c>
    </row>
    <row r="13" spans="2:35" x14ac:dyDescent="0.3">
      <c r="B13" s="321" t="s">
        <v>631</v>
      </c>
      <c r="C13" s="55" t="s">
        <v>630</v>
      </c>
      <c r="D13" s="71" t="s">
        <v>444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300" t="s">
        <v>785</v>
      </c>
      <c r="AH13" s="300">
        <v>9.7999999999999997E-3</v>
      </c>
      <c r="AI13" s="301">
        <f t="shared" si="0"/>
        <v>9.7999999999999989</v>
      </c>
    </row>
    <row r="14" spans="2:35" x14ac:dyDescent="0.3">
      <c r="B14" s="322" t="s">
        <v>632</v>
      </c>
      <c r="C14" s="202" t="s">
        <v>633</v>
      </c>
      <c r="D14" s="71" t="s">
        <v>470</v>
      </c>
      <c r="E14" s="204">
        <v>1</v>
      </c>
      <c r="F14" s="203">
        <v>1</v>
      </c>
      <c r="G14" s="101">
        <f ca="1">U6</f>
        <v>6.3982374470312819E-10</v>
      </c>
      <c r="H14" s="101">
        <f t="shared" ref="H14:P14" ca="1" si="1">V6</f>
        <v>6.3982374470312819E-10</v>
      </c>
      <c r="I14" s="101">
        <f t="shared" ca="1" si="1"/>
        <v>6.3982374470312819E-10</v>
      </c>
      <c r="J14" s="101">
        <f t="shared" ca="1" si="1"/>
        <v>6.3982374470312819E-10</v>
      </c>
      <c r="K14" s="101">
        <f t="shared" ca="1" si="1"/>
        <v>6.3982374470312819E-10</v>
      </c>
      <c r="L14" s="101">
        <f t="shared" ca="1" si="1"/>
        <v>6.3982374470312819E-10</v>
      </c>
      <c r="M14" s="101">
        <f t="shared" ca="1" si="1"/>
        <v>6.3982374470312819E-10</v>
      </c>
      <c r="N14" s="101">
        <f t="shared" ca="1" si="1"/>
        <v>6.3982374470312819E-10</v>
      </c>
      <c r="O14" s="101">
        <f t="shared" ca="1" si="1"/>
        <v>0</v>
      </c>
      <c r="P14" s="101">
        <f t="shared" ca="1" si="1"/>
        <v>0</v>
      </c>
      <c r="AG14" s="300" t="s">
        <v>786</v>
      </c>
      <c r="AH14" s="300">
        <v>9.8000000000000004E-2</v>
      </c>
      <c r="AI14" s="301">
        <f t="shared" si="0"/>
        <v>98</v>
      </c>
    </row>
    <row r="15" spans="2:35" ht="15" x14ac:dyDescent="0.3">
      <c r="B15" s="321" t="s">
        <v>426</v>
      </c>
      <c r="C15" s="55" t="s">
        <v>650</v>
      </c>
      <c r="D15" s="71" t="s">
        <v>444</v>
      </c>
      <c r="E15" s="81">
        <f>2*SQRT(3)</f>
        <v>3.4641016151377544</v>
      </c>
      <c r="F15" s="77">
        <v>1</v>
      </c>
      <c r="G15" s="101">
        <f ca="1">IF(G10=0,0,ResolInst*'kU(E)'!$F15/'kU(E)'!$E15)</f>
        <v>0.14433756729740646</v>
      </c>
      <c r="H15" s="101">
        <f ca="1">IF(H10=0,0,ResolInst*'kU(E)'!$F15/'kU(E)'!$E15)</f>
        <v>0.14433756729740646</v>
      </c>
      <c r="I15" s="101">
        <f ca="1">IF(I10=0,0,ResolInst*'kU(E)'!$F15/'kU(E)'!$E15)</f>
        <v>0.14433756729740646</v>
      </c>
      <c r="J15" s="101">
        <f ca="1">IF(J10=0,0,ResolInst*'kU(E)'!$F15/'kU(E)'!$E15)</f>
        <v>0.14433756729740646</v>
      </c>
      <c r="K15" s="101">
        <f ca="1">IF(K10=0,0,ResolInst*'kU(E)'!$F15/'kU(E)'!$E15)</f>
        <v>0.14433756729740646</v>
      </c>
      <c r="L15" s="101">
        <f ca="1">IF(L10=0,0,ResolInst*'kU(E)'!$F15/'kU(E)'!$E15)</f>
        <v>0.14433756729740646</v>
      </c>
      <c r="M15" s="101">
        <f ca="1">IF(M10=0,0,ResolInst*'kU(E)'!$F15/'kU(E)'!$E15)</f>
        <v>0.14433756729740646</v>
      </c>
      <c r="N15" s="101">
        <f ca="1">IF(N10=0,0,ResolInst*'kU(E)'!$F15/'kU(E)'!$E15)</f>
        <v>0.14433756729740646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300" t="s">
        <v>787</v>
      </c>
      <c r="AH15" s="300">
        <v>0.249089</v>
      </c>
      <c r="AI15" s="301">
        <f t="shared" si="0"/>
        <v>249.089</v>
      </c>
    </row>
    <row r="16" spans="2:35" ht="15" x14ac:dyDescent="0.3">
      <c r="B16" s="321" t="s">
        <v>425</v>
      </c>
      <c r="C16" s="55" t="s">
        <v>651</v>
      </c>
      <c r="D16" s="71" t="s">
        <v>444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3.3260336739125311E-2</v>
      </c>
      <c r="H16" s="101">
        <f ca="1">IFERROR(OFFSET(Calibración!$P$15,H$8-1,0)*'kU(E)'!$F16/'kU(E)'!$E16,0)</f>
        <v>1.4142135623731067E-2</v>
      </c>
      <c r="I16" s="101">
        <f ca="1">IFERROR(OFFSET(Calibración!$P$15,I$8-1,0)*'kU(E)'!$F16/'kU(E)'!$E16,0)</f>
        <v>6.2915286960591186E-3</v>
      </c>
      <c r="J16" s="101">
        <f ca="1">IFERROR(OFFSET(Calibración!$P$15,J$8-1,0)*'kU(E)'!$F16/'kU(E)'!$E16,0)</f>
        <v>2.0966242709014954E-2</v>
      </c>
      <c r="K16" s="101">
        <f ca="1">IFERROR(OFFSET(Calibración!$P$15,K$8-1,0)*'kU(E)'!$F16/'kU(E)'!$E16,0)</f>
        <v>4.5893899376714287E-2</v>
      </c>
      <c r="L16" s="101">
        <f ca="1">IFERROR(OFFSET(Calibración!$P$15,L$8-1,0)*'kU(E)'!$F16/'kU(E)'!$E16,0)</f>
        <v>2.1794494717703922E-2</v>
      </c>
      <c r="M16" s="101">
        <f ca="1">IFERROR(OFFSET(Calibración!$P$15,M$8-1,0)*'kU(E)'!$F16/'kU(E)'!$E16,0)</f>
        <v>1.7017148213887032E-2</v>
      </c>
      <c r="N16" s="101">
        <f ca="1">IFERROR(OFFSET(Calibración!$P$15,N$8-1,0)*'kU(E)'!$F16/'kU(E)'!$E16,0)</f>
        <v>1.2909944487357321E-2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300" t="s">
        <v>619</v>
      </c>
      <c r="AH16" s="300">
        <v>101.325</v>
      </c>
      <c r="AI16" s="301">
        <f t="shared" si="0"/>
        <v>101325</v>
      </c>
    </row>
    <row r="17" spans="2:35" ht="15" x14ac:dyDescent="0.3">
      <c r="B17" s="323" t="s">
        <v>652</v>
      </c>
      <c r="C17" s="55" t="s">
        <v>653</v>
      </c>
      <c r="D17" s="71" t="s">
        <v>444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3.1754264805429512E-2</v>
      </c>
      <c r="H17" s="101">
        <f ca="1">IFERROR(IF(H10=0,0,OFFSET(Calibración!$O$15,H$8-1,0)*'kU(E)'!$F17/'kU(E)'!$E17),0)</f>
        <v>1.1547005383792783E-2</v>
      </c>
      <c r="I17" s="101">
        <f ca="1">IFERROR(IF(I10=0,0,OFFSET(Calibración!$O$15,I$8-1,0)*'kU(E)'!$F17/'kU(E)'!$E17),0)</f>
        <v>8.6602540378447144E-3</v>
      </c>
      <c r="J17" s="101">
        <f ca="1">IFERROR(IF(J10=0,0,OFFSET(Calibración!$O$15,J$8-1,0)*'kU(E)'!$F17/'kU(E)'!$E17),0)</f>
        <v>2.5980762113533121E-2</v>
      </c>
      <c r="K17" s="101">
        <f ca="1">IFERROR(IF(K10=0,0,OFFSET(Calibración!$O$15,K$8-1,0)*'kU(E)'!$F17/'kU(E)'!$E17),0)</f>
        <v>5.4848275573013791E-2</v>
      </c>
      <c r="L17" s="101">
        <f ca="1">IFERROR(IF(L10=0,0,OFFSET(Calibración!$O$15,L$8-1,0)*'kU(E)'!$F17/'kU(E)'!$E17),0)</f>
        <v>2.3094010767584539E-2</v>
      </c>
      <c r="M17" s="101">
        <f ca="1">IFERROR(IF(M10=0,0,OFFSET(Calibración!$O$15,M$8-1,0)*'kU(E)'!$F17/'kU(E)'!$E17),0)</f>
        <v>8.6602540378447144E-3</v>
      </c>
      <c r="N17" s="101">
        <f ca="1">IFERROR(IF(N10=0,0,OFFSET(Calibración!$O$15,N$8-1,0)*'kU(E)'!$F17/'kU(E)'!$E17),0)</f>
        <v>5.7735026918992113E-3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300" t="s">
        <v>784</v>
      </c>
      <c r="AH17" s="300">
        <v>9.81</v>
      </c>
      <c r="AI17" s="301">
        <f t="shared" si="0"/>
        <v>9810</v>
      </c>
    </row>
    <row r="18" spans="2:35" ht="15" x14ac:dyDescent="0.3">
      <c r="B18" s="322" t="s">
        <v>654</v>
      </c>
      <c r="C18" s="55" t="s">
        <v>655</v>
      </c>
      <c r="D18" s="71" t="s">
        <v>444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1.4433756729740645E-3</v>
      </c>
      <c r="H18" s="101">
        <f ca="1">IFERROR(IF(H10=0,0,(0.04*ABS(CertTempC-20)*OFFSET(Calibración!$Q$15,H$8-1,0))/SQRT(12)),0)</f>
        <v>1.4433756729740645E-3</v>
      </c>
      <c r="I18" s="101">
        <f ca="1">IFERROR(IF(I10=0,0,(0.04*ABS(CertTempC-20)*OFFSET(Calibración!$Q$15,I$8-1,0))/SQRT(12)),0)</f>
        <v>1.4433756729740645E-3</v>
      </c>
      <c r="J18" s="101">
        <f ca="1">IFERROR(IF(J10=0,0,(0.04*ABS(CertTempC-20)*OFFSET(Calibración!$Q$15,J$8-1,0))/SQRT(12)),0)</f>
        <v>1.4433756729740645E-3</v>
      </c>
      <c r="K18" s="101">
        <f ca="1">IFERROR(IF(K10=0,0,(0.04*ABS(CertTempC-20)*OFFSET(Calibración!$Q$15,K$8-1,0))/SQRT(12)),0)</f>
        <v>1.4433756729740645E-3</v>
      </c>
      <c r="L18" s="101">
        <f ca="1">IFERROR(IF(L10=0,0,(0.04*ABS(CertTempC-20)*OFFSET(Calibración!$Q$15,L$8-1,0))/SQRT(12)),0)</f>
        <v>1.4433756729740645E-3</v>
      </c>
      <c r="M18" s="101">
        <f ca="1">IFERROR(IF(M10=0,0,(0.04*ABS(CertTempC-20)*OFFSET(Calibración!$Q$15,M$8-1,0))/SQRT(12)),0)</f>
        <v>1.4433756729740645E-3</v>
      </c>
      <c r="N18" s="101">
        <f ca="1">IFERROR(IF(N10=0,0,(0.04*ABS(CertTempC-20)*OFFSET(Calibración!$Q$15,N$8-1,0))/SQRT(12)),0)</f>
        <v>1.4433756729740645E-3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21" t="s">
        <v>466</v>
      </c>
      <c r="C19" s="325" t="s">
        <v>513</v>
      </c>
      <c r="D19" s="326" t="s">
        <v>514</v>
      </c>
      <c r="E19" s="327" t="str">
        <f>CONCATENATE("Todo en [psi]")</f>
        <v>Todo en [psi]</v>
      </c>
      <c r="F19" s="328"/>
      <c r="G19" s="102">
        <f t="shared" ref="G19:P19" ca="1" si="2">SQRT(SUMSQ(G9:G18))</f>
        <v>0.15722231327806252</v>
      </c>
      <c r="H19" s="102">
        <f t="shared" ca="1" si="2"/>
        <v>0.1514812308601767</v>
      </c>
      <c r="I19" s="102">
        <f t="shared" ca="1" si="2"/>
        <v>0.15084615362497322</v>
      </c>
      <c r="J19" s="102">
        <f t="shared" ca="1" si="2"/>
        <v>0.15421314835893535</v>
      </c>
      <c r="K19" s="102">
        <f t="shared" ca="1" si="2"/>
        <v>0.16681204469143984</v>
      </c>
      <c r="L19" s="102">
        <f t="shared" ca="1" si="2"/>
        <v>0.15422478807064449</v>
      </c>
      <c r="M19" s="102">
        <f t="shared" ca="1" si="2"/>
        <v>0.15185727508075889</v>
      </c>
      <c r="N19" s="102">
        <f t="shared" ca="1" si="2"/>
        <v>0.15126621874591212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09" t="s">
        <v>649</v>
      </c>
    </row>
    <row r="25" spans="2:35" x14ac:dyDescent="0.3">
      <c r="B25" s="51" t="s">
        <v>423</v>
      </c>
      <c r="C25" s="17"/>
      <c r="D25" s="17"/>
      <c r="E25" s="17"/>
      <c r="F25" s="17"/>
      <c r="G25" s="140" t="str">
        <f t="shared" ref="G25:P25" ca="1" si="3">G7</f>
        <v>6.9psi</v>
      </c>
      <c r="H25" s="140" t="str">
        <f t="shared" ca="1" si="3"/>
        <v>10.0psi</v>
      </c>
      <c r="I25" s="140" t="str">
        <f t="shared" ca="1" si="3"/>
        <v>17.9psi</v>
      </c>
      <c r="J25" s="140" t="str">
        <f t="shared" ca="1" si="3"/>
        <v>24.9psi</v>
      </c>
      <c r="K25" s="140" t="str">
        <f t="shared" ca="1" si="3"/>
        <v>34.9psi</v>
      </c>
      <c r="L25" s="140" t="str">
        <f t="shared" ca="1" si="3"/>
        <v>52.9psi</v>
      </c>
      <c r="M25" s="140" t="str">
        <f t="shared" ca="1" si="3"/>
        <v>69.9psi</v>
      </c>
      <c r="N25" s="140" t="str">
        <f t="shared" ca="1" si="3"/>
        <v>200.1psi</v>
      </c>
      <c r="O25" s="140" t="str">
        <f t="shared" ca="1" si="3"/>
        <v/>
      </c>
      <c r="P25" s="140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2" t="s">
        <v>413</v>
      </c>
      <c r="H26" s="52" t="s">
        <v>414</v>
      </c>
      <c r="I26" s="52" t="s">
        <v>415</v>
      </c>
      <c r="J26" s="52" t="s">
        <v>416</v>
      </c>
      <c r="K26" s="52" t="s">
        <v>417</v>
      </c>
      <c r="L26" s="52" t="s">
        <v>418</v>
      </c>
      <c r="M26" s="52" t="s">
        <v>419</v>
      </c>
      <c r="N26" s="52" t="s">
        <v>420</v>
      </c>
      <c r="O26" s="52" t="s">
        <v>421</v>
      </c>
      <c r="P26" s="53" t="s">
        <v>422</v>
      </c>
    </row>
    <row r="27" spans="2:35" x14ac:dyDescent="0.3">
      <c r="B27" s="54" t="s">
        <v>427</v>
      </c>
      <c r="C27" s="55" t="s">
        <v>593</v>
      </c>
      <c r="D27" s="71" t="s">
        <v>444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0.1044224504934511</v>
      </c>
      <c r="H27" s="103">
        <f t="array" aca="1" ref="H27" ca="1">IFERROR(ABS(H9)/SUM(ABS('kU(E)'!$H$9:$H$18)),0)</f>
        <v>0.12134872875206441</v>
      </c>
      <c r="I27" s="103">
        <f t="array" aca="1" ref="I27" ca="1">IFERROR(ABS(I9)/SUM(ABS('kU(E)'!$I$9:$I$18)),0)</f>
        <v>0.12596369381708067</v>
      </c>
      <c r="J27" s="103">
        <f t="array" aca="1" ref="J27" ca="1">IFERROR(ABS(J9)/SUM(ABS('kU(E)'!$J$9:$J$18)),0)</f>
        <v>0.10978679492392751</v>
      </c>
      <c r="K27" s="103">
        <f t="array" aca="1" ref="K27" ca="1">IFERROR(ABS(K9)/SUM(ABS('kU(E)'!$K$9:$K$18)),0)</f>
        <v>9.0419628748787922E-2</v>
      </c>
      <c r="L27" s="103">
        <f t="array" aca="1" ref="L27" ca="1">IFERROR(ABS(L9)/SUM(ABS('kU(E)'!$L$9:$L$18)),0)</f>
        <v>0.10827045629537904</v>
      </c>
      <c r="M27" s="103">
        <f t="array" aca="1" ref="M27" ca="1">IFERROR(ABS(M9)/SUM(ABS('kU(E)'!$M$9:$M$18)),0)</f>
        <v>0.11831832682576136</v>
      </c>
      <c r="N27" s="103">
        <f t="array" aca="1" ref="N27" ca="1">IFERROR(ABS(N9)/SUM(ABS('kU(E)'!$N$9:$N$18)),0)</f>
        <v>0.12210457914375612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443</v>
      </c>
      <c r="C28" s="55" t="s">
        <v>594</v>
      </c>
      <c r="D28" s="71" t="s">
        <v>470</v>
      </c>
      <c r="E28" s="77">
        <v>2</v>
      </c>
      <c r="F28" s="77">
        <v>1</v>
      </c>
      <c r="G28" s="103">
        <f t="array" aca="1" ref="G28" ca="1">IFERROR(ABS(G10)/SUM(ABS('kU(E)'!$G$9:$G$18)),0)</f>
        <v>0.10771414461911234</v>
      </c>
      <c r="H28" s="103">
        <f t="array" aca="1" ref="H28" ca="1">IFERROR(ABS(H10)/SUM(ABS('kU(E)'!$H$9:$H$18)),0)</f>
        <v>0.12568220802298069</v>
      </c>
      <c r="I28" s="103">
        <f t="array" aca="1" ref="I28" ca="1">IFERROR(ABS(I10)/SUM(ABS('kU(E)'!$I$9:$I$18)),0)</f>
        <v>0.1318561194658418</v>
      </c>
      <c r="J28" s="103">
        <f t="array" aca="1" ref="J28" ca="1">IFERROR(ABS(J10)/SUM(ABS('kU(E)'!$J$9:$J$18)),0)</f>
        <v>0.11598812121345756</v>
      </c>
      <c r="K28" s="103">
        <f t="array" aca="1" ref="K28" ca="1">IFERROR(ABS(K10)/SUM(ABS('kU(E)'!$K$9:$K$18)),0)</f>
        <v>9.677675617387152E-2</v>
      </c>
      <c r="L28" s="103">
        <f t="array" aca="1" ref="L28" ca="1">IFERROR(ABS(L10)/SUM(ABS('kU(E)'!$L$9:$L$18)),0)</f>
        <v>0.11769903569827102</v>
      </c>
      <c r="M28" s="103">
        <f t="array" aca="1" ref="M28" ca="1">IFERROR(ABS(M10)/SUM(ABS('kU(E)'!$M$9:$M$18)),0)</f>
        <v>0.12583686653409171</v>
      </c>
      <c r="N28" s="103">
        <f t="array" aca="1" ref="N28" ca="1">IFERROR(ABS(N10)/SUM(ABS('kU(E)'!$N$9:$N$18)),0)</f>
        <v>0.12690146292533017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452</v>
      </c>
      <c r="C29" s="55" t="s">
        <v>603</v>
      </c>
      <c r="D29" s="71" t="s">
        <v>453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7.752971399463701E-5</v>
      </c>
      <c r="H29" s="103">
        <f t="array" aca="1" ref="H29" ca="1">IFERROR(ABS(H11)/SUM(ABS('kU(E)'!$H$9:$H$18)),0)</f>
        <v>2.3723783605265371E-3</v>
      </c>
      <c r="I29" s="103">
        <f t="array" aca="1" ref="I29" ca="1">IFERROR(ABS(I11)/SUM(ABS('kU(E)'!$I$9:$I$18)),0)</f>
        <v>8.7233163174845994E-3</v>
      </c>
      <c r="J29" s="103">
        <f t="array" aca="1" ref="J29" ca="1">IFERROR(ABS(J11)/SUM(ABS('kU(E)'!$J$9:$J$18)),0)</f>
        <v>1.2388508195432017E-2</v>
      </c>
      <c r="K29" s="103">
        <f t="array" aca="1" ref="K29" ca="1">IFERROR(ABS(K11)/SUM(ABS('kU(E)'!$K$9:$K$18)),0)</f>
        <v>1.5815419114653503E-2</v>
      </c>
      <c r="L29" s="103">
        <f t="array" aca="1" ref="L29" ca="1">IFERROR(ABS(L11)/SUM(ABS('kU(E)'!$L$9:$L$18)),0)</f>
        <v>2.8729139239339341E-2</v>
      </c>
      <c r="M29" s="103">
        <f t="array" aca="1" ref="M29" ca="1">IFERROR(ABS(M11)/SUM(ABS('kU(E)'!$M$9:$M$18)),0)</f>
        <v>2.9121322991059462E-2</v>
      </c>
      <c r="N29" s="103">
        <f t="array" aca="1" ref="N29" ca="1">IFERROR(ABS(N11)/SUM(ABS('kU(E)'!$N$9:$N$18)),0)</f>
        <v>1.2114934037123964E-2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428</v>
      </c>
      <c r="C30" s="55" t="s">
        <v>604</v>
      </c>
      <c r="D30" s="71" t="s">
        <v>444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2.5275193085813597E-2</v>
      </c>
      <c r="H30" s="103">
        <f t="array" aca="1" ref="H30" ca="1">IFERROR(ABS(H12)/SUM(ABS('kU(E)'!$H$9:$H$18)),0)</f>
        <v>2.9797617200492919E-2</v>
      </c>
      <c r="I30" s="103">
        <f t="array" aca="1" ref="I30" ca="1">IFERROR(ABS(I12)/SUM(ABS('kU(E)'!$I$9:$I$18)),0)</f>
        <v>3.2097955091144055E-2</v>
      </c>
      <c r="J30" s="103">
        <f t="array" aca="1" ref="J30" ca="1">IFERROR(ABS(J12)/SUM(ABS('kU(E)'!$J$9:$J$18)),0)</f>
        <v>2.8867877812592622E-2</v>
      </c>
      <c r="K30" s="103">
        <f t="array" aca="1" ref="K30" ca="1">IFERROR(ABS(K12)/SUM(ABS('kU(E)'!$K$9:$K$18)),0)</f>
        <v>2.4821625763639384E-2</v>
      </c>
      <c r="L30" s="103">
        <f t="array" aca="1" ref="L30" ca="1">IFERROR(ABS(L12)/SUM(ABS('kU(E)'!$L$9:$L$18)),0)</f>
        <v>3.0176795113187896E-2</v>
      </c>
      <c r="M30" s="103">
        <f t="array" aca="1" ref="M30" ca="1">IFERROR(ABS(M12)/SUM(ABS('kU(E)'!$M$9:$M$18)),0)</f>
        <v>2.397280748948262E-2</v>
      </c>
      <c r="N30" s="103">
        <f t="array" aca="1" ref="N30" ca="1">IFERROR(ABS(N12)/SUM(ABS('kU(E)'!$N$9:$N$18)),0)</f>
        <v>4.3223152816828765E-2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631</v>
      </c>
      <c r="C31" s="55" t="s">
        <v>630</v>
      </c>
      <c r="D31" s="71" t="s">
        <v>444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9" t="s">
        <v>632</v>
      </c>
      <c r="C32" s="202" t="s">
        <v>633</v>
      </c>
      <c r="D32" s="71" t="s">
        <v>470</v>
      </c>
      <c r="E32" s="204">
        <v>1</v>
      </c>
      <c r="F32" s="203">
        <v>1</v>
      </c>
      <c r="G32" s="103">
        <f t="array" aca="1" ref="G32" ca="1">IFERROR(ABS(G14)/SUM(ABS('kU(E)'!$G$9:$G$18)),0)</f>
        <v>2.3144342999813541E-9</v>
      </c>
      <c r="H32" s="103">
        <f t="array" aca="1" ref="H32" ca="1">IFERROR(ABS(H14)/SUM(ABS('kU(E)'!$H$9:$H$18)),0)</f>
        <v>2.6895907801026496E-9</v>
      </c>
      <c r="I32" s="103">
        <f t="array" aca="1" ref="I32" ca="1">IFERROR(ABS(I14)/SUM(ABS('kU(E)'!$I$9:$I$18)),0)</f>
        <v>2.7918775334704909E-9</v>
      </c>
      <c r="J32" s="103">
        <f t="array" aca="1" ref="J32" ca="1">IFERROR(ABS(J14)/SUM(ABS('kU(E)'!$J$9:$J$18)),0)</f>
        <v>2.4333304060211867E-9</v>
      </c>
      <c r="K32" s="103">
        <f t="array" aca="1" ref="K32" ca="1">IFERROR(ABS(K14)/SUM(ABS('kU(E)'!$K$9:$K$18)),0)</f>
        <v>2.0040737329842625E-9</v>
      </c>
      <c r="L32" s="103">
        <f t="array" aca="1" ref="L32" ca="1">IFERROR(ABS(L14)/SUM(ABS('kU(E)'!$L$9:$L$18)),0)</f>
        <v>2.3997220572828152E-9</v>
      </c>
      <c r="M32" s="103">
        <f t="array" aca="1" ref="M32" ca="1">IFERROR(ABS(M14)/SUM(ABS('kU(E)'!$M$9:$M$18)),0)</f>
        <v>2.6224245133868035E-9</v>
      </c>
      <c r="N32" s="103">
        <f t="array" aca="1" ref="N32" ca="1">IFERROR(ABS(N14)/SUM(ABS('kU(E)'!$N$9:$N$18)),0)</f>
        <v>2.7063435575362274E-9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426</v>
      </c>
      <c r="C33" s="55" t="s">
        <v>650</v>
      </c>
      <c r="D33" s="71" t="s">
        <v>444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0.52211225246725546</v>
      </c>
      <c r="H33" s="103">
        <f t="array" aca="1" ref="H33" ca="1">IFERROR(ABS(H15)/SUM(ABS('kU(E)'!$H$9:$H$18)),0)</f>
        <v>0.60674364376032208</v>
      </c>
      <c r="I33" s="103">
        <f t="array" aca="1" ref="I33" ca="1">IFERROR(ABS(I15)/SUM(ABS('kU(E)'!$I$9:$I$18)),0)</f>
        <v>0.62981846908540329</v>
      </c>
      <c r="J33" s="103">
        <f t="array" aca="1" ref="J33" ca="1">IFERROR(ABS(J15)/SUM(ABS('kU(E)'!$J$9:$J$18)),0)</f>
        <v>0.54893397461963755</v>
      </c>
      <c r="K33" s="103">
        <f t="array" aca="1" ref="K33" ca="1">IFERROR(ABS(K15)/SUM(ABS('kU(E)'!$K$9:$K$18)),0)</f>
        <v>0.45209814374393964</v>
      </c>
      <c r="L33" s="103">
        <f t="array" aca="1" ref="L33" ca="1">IFERROR(ABS(L15)/SUM(ABS('kU(E)'!$L$9:$L$18)),0)</f>
        <v>0.54135228147689529</v>
      </c>
      <c r="M33" s="103">
        <f t="array" aca="1" ref="M33" ca="1">IFERROR(ABS(M15)/SUM(ABS('kU(E)'!$M$9:$M$18)),0)</f>
        <v>0.59159163412880689</v>
      </c>
      <c r="N33" s="103">
        <f t="array" aca="1" ref="N33" ca="1">IFERROR(ABS(N15)/SUM(ABS('kU(E)'!$N$9:$N$18)),0)</f>
        <v>0.6105228957187806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425</v>
      </c>
      <c r="C34" s="55" t="s">
        <v>651</v>
      </c>
      <c r="D34" s="71" t="s">
        <v>444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0.12031260923846929</v>
      </c>
      <c r="H34" s="103">
        <f t="array" aca="1" ref="H34" ca="1">IFERROR(ABS(H16)/SUM(ABS('kU(E)'!$H$9:$H$18)),0)</f>
        <v>5.9448493275592471E-2</v>
      </c>
      <c r="I34" s="103">
        <f t="array" aca="1" ref="I34" ca="1">IFERROR(ABS(I16)/SUM(ABS('kU(E)'!$I$9:$I$18)),0)</f>
        <v>2.7453150595188387E-2</v>
      </c>
      <c r="J34" s="103">
        <f t="array" aca="1" ref="J34" ca="1">IFERROR(ABS(J16)/SUM(ABS('kU(E)'!$J$9:$J$18)),0)</f>
        <v>7.9737265623891232E-2</v>
      </c>
      <c r="K34" s="103">
        <f t="array" aca="1" ref="K34" ca="1">IFERROR(ABS(K16)/SUM(ABS('kU(E)'!$K$9:$K$18)),0)</f>
        <v>0.14375014839089989</v>
      </c>
      <c r="L34" s="103">
        <f t="array" aca="1" ref="L34" ca="1">IFERROR(ABS(L16)/SUM(ABS('kU(E)'!$L$9:$L$18)),0)</f>
        <v>8.1742401926135022E-2</v>
      </c>
      <c r="M34" s="103">
        <f t="array" aca="1" ref="M34" ca="1">IFERROR(ABS(M16)/SUM(ABS('kU(E)'!$M$9:$M$18)),0)</f>
        <v>6.9747625019355788E-2</v>
      </c>
      <c r="N34" s="103">
        <f t="array" aca="1" ref="N34" ca="1">IFERROR(ABS(N16)/SUM(ABS('kU(E)'!$N$9:$N$18)),0)</f>
        <v>5.4606827865885235E-2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0" t="s">
        <v>652</v>
      </c>
      <c r="C35" s="55" t="s">
        <v>653</v>
      </c>
      <c r="D35" s="71" t="s">
        <v>444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0.11486469554279653</v>
      </c>
      <c r="H35" s="103">
        <f t="array" aca="1" ref="H35" ca="1">IFERROR(ABS(H17)/SUM(ABS('kU(E)'!$H$9:$H$18)),0)</f>
        <v>4.8539491500826891E-2</v>
      </c>
      <c r="I35" s="103">
        <f t="array" aca="1" ref="I35" ca="1">IFERROR(ABS(I17)/SUM(ABS('kU(E)'!$I$9:$I$18)),0)</f>
        <v>3.7789108145125629E-2</v>
      </c>
      <c r="J35" s="103">
        <f t="array" aca="1" ref="J35" ca="1">IFERROR(ABS(J17)/SUM(ABS('kU(E)'!$J$9:$J$18)),0)</f>
        <v>9.8808115431534602E-2</v>
      </c>
      <c r="K35" s="103">
        <f t="array" aca="1" ref="K35" ca="1">IFERROR(ABS(K17)/SUM(ABS('kU(E)'!$K$9:$K$18)),0)</f>
        <v>0.17179729462269497</v>
      </c>
      <c r="L35" s="103">
        <f t="array" aca="1" ref="L35" ca="1">IFERROR(ABS(L17)/SUM(ABS('kU(E)'!$L$9:$L$18)),0)</f>
        <v>8.6616365036301393E-2</v>
      </c>
      <c r="M35" s="103">
        <f t="array" aca="1" ref="M35" ca="1">IFERROR(ABS(M17)/SUM(ABS('kU(E)'!$M$9:$M$18)),0)</f>
        <v>3.5495498047729751E-2</v>
      </c>
      <c r="N35" s="103">
        <f t="array" aca="1" ref="N35" ca="1">IFERROR(ABS(N17)/SUM(ABS('kU(E)'!$N$9:$N$18)),0)</f>
        <v>2.4420915828763715E-2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9" t="s">
        <v>654</v>
      </c>
      <c r="C36" s="55" t="s">
        <v>655</v>
      </c>
      <c r="D36" s="71" t="s">
        <v>444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5.2211225246725545E-3</v>
      </c>
      <c r="H36" s="103">
        <f t="array" aca="1" ref="H36" ca="1">IFERROR(ABS(H18)/SUM(ABS('kU(E)'!$H$9:$H$18)),0)</f>
        <v>6.0674364376032209E-3</v>
      </c>
      <c r="I36" s="103">
        <f t="array" aca="1" ref="I36" ca="1">IFERROR(ABS(I18)/SUM(ABS('kU(E)'!$I$9:$I$18)),0)</f>
        <v>6.2981846908540329E-3</v>
      </c>
      <c r="J36" s="103">
        <f t="array" aca="1" ref="J36" ca="1">IFERROR(ABS(J18)/SUM(ABS('kU(E)'!$J$9:$J$18)),0)</f>
        <v>5.4893397461963749E-3</v>
      </c>
      <c r="K36" s="103">
        <f t="array" aca="1" ref="K36" ca="1">IFERROR(ABS(K18)/SUM(ABS('kU(E)'!$K$9:$K$18)),0)</f>
        <v>4.5209814374393958E-3</v>
      </c>
      <c r="L36" s="103">
        <f t="array" aca="1" ref="L36" ca="1">IFERROR(ABS(L18)/SUM(ABS('kU(E)'!$L$9:$L$18)),0)</f>
        <v>5.4135228147689524E-3</v>
      </c>
      <c r="M36" s="103">
        <f t="array" aca="1" ref="M36" ca="1">IFERROR(ABS(M18)/SUM(ABS('kU(E)'!$M$9:$M$18)),0)</f>
        <v>5.9159163412880683E-3</v>
      </c>
      <c r="N36" s="103">
        <f t="array" aca="1" ref="N36" ca="1">IFERROR(ABS(N18)/SUM(ABS('kU(E)'!$N$9:$N$18)),0)</f>
        <v>6.1052289571878063E-3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455</v>
      </c>
      <c r="C37" s="104"/>
      <c r="D37" s="105"/>
      <c r="E37" s="106"/>
      <c r="F37" s="105"/>
      <c r="G37" s="107">
        <f ca="1">SUBTOTAL(109,tblUcomun10[p1 (%)])</f>
        <v>0.99999999999999989</v>
      </c>
      <c r="H37" s="107">
        <f ca="1">SUBTOTAL(109,tblUcomun10[p2 (%)])</f>
        <v>1</v>
      </c>
      <c r="I37" s="107">
        <f ca="1">SUBTOTAL(109,tblUcomun10[p3 (%)])</f>
        <v>0.99999999999999989</v>
      </c>
      <c r="J37" s="107">
        <f ca="1">SUBTOTAL(109,tblUcomun10[p4 (%)])</f>
        <v>0.99999999999999989</v>
      </c>
      <c r="K37" s="107">
        <f ca="1">SUBTOTAL(109,tblUcomun10[p5 (%)])</f>
        <v>0.99999999999999989</v>
      </c>
      <c r="L37" s="107">
        <f ca="1">SUBTOTAL(109,tblUcomun10[p6 (%)])</f>
        <v>1</v>
      </c>
      <c r="M37" s="107">
        <f ca="1">SUBTOTAL(109,tblUcomun10[p7 (%)])</f>
        <v>1.0000000000000002</v>
      </c>
      <c r="N37" s="107">
        <f ca="1">SUBTOTAL(109,tblUcomun10[p8 (%)])</f>
        <v>0.99999999999999989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3" t="s">
        <v>472</v>
      </c>
      <c r="C42" s="83" t="s">
        <v>476</v>
      </c>
      <c r="D42" s="112"/>
      <c r="E42" s="113" t="s">
        <v>481</v>
      </c>
      <c r="F42" s="113" t="s">
        <v>410</v>
      </c>
    </row>
    <row r="43" spans="2:16" x14ac:dyDescent="0.3">
      <c r="B43" s="87" t="s">
        <v>473</v>
      </c>
      <c r="C43" s="108" t="s">
        <v>477</v>
      </c>
      <c r="D43" s="110"/>
      <c r="E43" s="114" t="s">
        <v>482</v>
      </c>
      <c r="F43" s="65">
        <f>IF(Calibración!E10="2",4,6)</f>
        <v>4</v>
      </c>
    </row>
    <row r="44" spans="2:16" ht="15.6" x14ac:dyDescent="0.35">
      <c r="B44" s="87" t="s">
        <v>474</v>
      </c>
      <c r="C44" s="108" t="s">
        <v>478</v>
      </c>
      <c r="D44" s="110"/>
      <c r="E44" s="114" t="s">
        <v>483</v>
      </c>
      <c r="F44" s="65">
        <f>F43-1</f>
        <v>3</v>
      </c>
    </row>
    <row r="45" spans="2:16" ht="15.6" x14ac:dyDescent="0.35">
      <c r="B45" s="87" t="s">
        <v>475</v>
      </c>
      <c r="C45" s="108" t="s">
        <v>677</v>
      </c>
      <c r="D45" s="108"/>
      <c r="E45" s="114" t="s">
        <v>484</v>
      </c>
      <c r="F45" s="213" t="s">
        <v>657</v>
      </c>
      <c r="G45" s="212">
        <f ca="1">(POWER(G16,4)/$F$44)+(POWER(G17,4)/$F$44)</f>
        <v>7.4684172453704773E-7</v>
      </c>
      <c r="H45" s="212">
        <f t="shared" ref="H45:P45" ca="1" si="4">(POWER(H16,4)/$F$44)+(POWER(H17,4)/$F$44)</f>
        <v>1.9259259259260249E-8</v>
      </c>
      <c r="I45" s="212">
        <f t="shared" ca="1" si="4"/>
        <v>2.39728009259293E-9</v>
      </c>
      <c r="J45" s="212">
        <f t="shared" ca="1" si="4"/>
        <v>2.1628616898147747E-7</v>
      </c>
      <c r="K45" s="212">
        <f t="shared" ca="1" si="4"/>
        <v>4.4954528356479706E-6</v>
      </c>
      <c r="L45" s="212">
        <f t="shared" ca="1" si="4"/>
        <v>1.700231481481477E-7</v>
      </c>
      <c r="M45" s="212">
        <f t="shared" ca="1" si="4"/>
        <v>2.9827835648161037E-8</v>
      </c>
      <c r="N45" s="212">
        <f t="shared" ca="1" si="4"/>
        <v>9.629629629628278E-9</v>
      </c>
      <c r="O45" s="212">
        <f t="shared" ca="1" si="4"/>
        <v>0</v>
      </c>
      <c r="P45" s="212">
        <f t="shared" ca="1" si="4"/>
        <v>0</v>
      </c>
    </row>
    <row r="46" spans="2:16" ht="16.8" x14ac:dyDescent="0.35">
      <c r="B46" s="87" t="s">
        <v>485</v>
      </c>
      <c r="C46" s="108" t="s">
        <v>479</v>
      </c>
      <c r="D46" s="110"/>
      <c r="E46" s="114"/>
      <c r="F46" s="124">
        <f ca="1">POWER('kU(E)'!$G$19,4)</f>
        <v>6.1102183169066946E-4</v>
      </c>
      <c r="G46" s="123" t="s">
        <v>516</v>
      </c>
      <c r="H46" s="123" t="s">
        <v>517</v>
      </c>
      <c r="I46" s="123" t="s">
        <v>518</v>
      </c>
      <c r="J46" s="123" t="s">
        <v>519</v>
      </c>
      <c r="K46" s="123" t="s">
        <v>520</v>
      </c>
      <c r="L46" s="123" t="s">
        <v>521</v>
      </c>
      <c r="M46" s="123" t="s">
        <v>522</v>
      </c>
      <c r="N46" s="123" t="s">
        <v>523</v>
      </c>
      <c r="O46" s="123" t="s">
        <v>524</v>
      </c>
      <c r="P46" s="123" t="s">
        <v>525</v>
      </c>
    </row>
    <row r="47" spans="2:16" ht="16.8" x14ac:dyDescent="0.35">
      <c r="B47" s="87" t="s">
        <v>486</v>
      </c>
      <c r="C47" s="108" t="s">
        <v>479</v>
      </c>
      <c r="D47" s="110"/>
      <c r="E47" s="114"/>
      <c r="F47" s="124">
        <f ca="1">POWER('kU(E)'!$H$19,4)</f>
        <v>5.2654476741464647E-4</v>
      </c>
      <c r="G47" s="124">
        <f ca="1">G45</f>
        <v>7.4684172453704773E-7</v>
      </c>
      <c r="H47" s="124">
        <f t="shared" ref="H47:P47" ca="1" si="5">H45</f>
        <v>1.9259259259260249E-8</v>
      </c>
      <c r="I47" s="124">
        <f t="shared" ca="1" si="5"/>
        <v>2.39728009259293E-9</v>
      </c>
      <c r="J47" s="124">
        <f t="shared" ca="1" si="5"/>
        <v>2.1628616898147747E-7</v>
      </c>
      <c r="K47" s="124">
        <f t="shared" ca="1" si="5"/>
        <v>4.4954528356479706E-6</v>
      </c>
      <c r="L47" s="124">
        <f t="shared" ca="1" si="5"/>
        <v>1.700231481481477E-7</v>
      </c>
      <c r="M47" s="124">
        <f t="shared" ca="1" si="5"/>
        <v>2.9827835648161037E-8</v>
      </c>
      <c r="N47" s="124">
        <f t="shared" ca="1" si="5"/>
        <v>9.629629629628278E-9</v>
      </c>
      <c r="O47" s="124">
        <f t="shared" ca="1" si="5"/>
        <v>0</v>
      </c>
      <c r="P47" s="124">
        <f t="shared" ca="1" si="5"/>
        <v>0</v>
      </c>
    </row>
    <row r="48" spans="2:16" ht="16.8" x14ac:dyDescent="0.35">
      <c r="B48" s="87" t="s">
        <v>487</v>
      </c>
      <c r="C48" s="108" t="s">
        <v>479</v>
      </c>
      <c r="D48" s="110"/>
      <c r="E48" s="114"/>
      <c r="F48" s="124">
        <f ca="1">POWER('kU(E)'!$I$19,4)</f>
        <v>5.1777009469935347E-4</v>
      </c>
    </row>
    <row r="49" spans="2:7" ht="16.8" x14ac:dyDescent="0.35">
      <c r="B49" s="87" t="s">
        <v>488</v>
      </c>
      <c r="C49" s="108" t="s">
        <v>479</v>
      </c>
      <c r="D49" s="110"/>
      <c r="E49" s="114"/>
      <c r="F49" s="124">
        <f ca="1">POWER('kU(E)'!$J$19,4)</f>
        <v>5.6556902310287403E-4</v>
      </c>
    </row>
    <row r="50" spans="2:7" ht="16.8" x14ac:dyDescent="0.35">
      <c r="B50" s="87" t="s">
        <v>489</v>
      </c>
      <c r="C50" s="108" t="s">
        <v>479</v>
      </c>
      <c r="D50" s="110"/>
      <c r="E50" s="114"/>
      <c r="F50" s="124">
        <f ca="1">POWER('kU(E)'!$K$19,4)</f>
        <v>7.7430064842603466E-4</v>
      </c>
    </row>
    <row r="51" spans="2:7" ht="16.8" x14ac:dyDescent="0.35">
      <c r="B51" s="87" t="s">
        <v>490</v>
      </c>
      <c r="C51" s="108" t="s">
        <v>479</v>
      </c>
      <c r="D51" s="110"/>
      <c r="E51" s="114"/>
      <c r="F51" s="124">
        <f ca="1">POWER('kU(E)'!$L$19,4)</f>
        <v>5.6573979468242349E-4</v>
      </c>
    </row>
    <row r="52" spans="2:7" ht="16.8" x14ac:dyDescent="0.35">
      <c r="B52" s="87" t="s">
        <v>491</v>
      </c>
      <c r="C52" s="108" t="s">
        <v>479</v>
      </c>
      <c r="D52" s="110"/>
      <c r="E52" s="114"/>
      <c r="F52" s="124">
        <f ca="1">POWER('kU(E)'!$M$19,4)</f>
        <v>5.3179274800666258E-4</v>
      </c>
    </row>
    <row r="53" spans="2:7" ht="16.8" x14ac:dyDescent="0.35">
      <c r="B53" s="87" t="s">
        <v>492</v>
      </c>
      <c r="C53" s="108" t="s">
        <v>479</v>
      </c>
      <c r="D53" s="110"/>
      <c r="E53" s="114"/>
      <c r="F53" s="124">
        <f ca="1">POWER('kU(E)'!$N$19,4)</f>
        <v>5.2356162056324367E-4</v>
      </c>
    </row>
    <row r="54" spans="2:7" ht="16.8" x14ac:dyDescent="0.35">
      <c r="B54" s="87" t="s">
        <v>493</v>
      </c>
      <c r="C54" s="108" t="s">
        <v>479</v>
      </c>
      <c r="D54" s="110"/>
      <c r="E54" s="114"/>
      <c r="F54" s="124">
        <f ca="1">POWER('kU(E)'!$O$19,4)</f>
        <v>0</v>
      </c>
    </row>
    <row r="55" spans="2:7" ht="16.8" x14ac:dyDescent="0.35">
      <c r="B55" s="87" t="s">
        <v>494</v>
      </c>
      <c r="C55" s="108" t="s">
        <v>479</v>
      </c>
      <c r="D55" s="110"/>
      <c r="E55" s="114"/>
      <c r="F55" s="124">
        <f ca="1">POWER('kU(E)'!$P$19,4)</f>
        <v>0</v>
      </c>
      <c r="G55" s="31" t="s">
        <v>505</v>
      </c>
    </row>
    <row r="56" spans="2:7" ht="15.6" x14ac:dyDescent="0.35">
      <c r="B56" s="109" t="s">
        <v>495</v>
      </c>
      <c r="C56" s="108" t="s">
        <v>480</v>
      </c>
      <c r="D56" s="111"/>
      <c r="E56" s="115"/>
      <c r="F56" s="127">
        <f ca="1">IFERROR(F46/G47,"")</f>
        <v>818.14099509428149</v>
      </c>
      <c r="G56" s="116">
        <f ca="1">IF(F56&gt;20,2,HLOOKUP(F56,$C$69:$W$70,2))</f>
        <v>2</v>
      </c>
    </row>
    <row r="57" spans="2:7" ht="15.6" x14ac:dyDescent="0.35">
      <c r="B57" s="109" t="s">
        <v>496</v>
      </c>
      <c r="C57" s="108" t="s">
        <v>480</v>
      </c>
      <c r="D57" s="111"/>
      <c r="E57" s="115"/>
      <c r="F57" s="127">
        <f ca="1">IFERROR(F47/H47,"")</f>
        <v>27339.824461912933</v>
      </c>
      <c r="G57" s="116">
        <f t="shared" ref="G57:G65" ca="1" si="6">IF(F57&gt;20,2,HLOOKUP(F57,$C$69:$W$70,2))</f>
        <v>2</v>
      </c>
    </row>
    <row r="58" spans="2:7" ht="15.6" x14ac:dyDescent="0.35">
      <c r="B58" s="109" t="s">
        <v>497</v>
      </c>
      <c r="C58" s="108" t="s">
        <v>480</v>
      </c>
      <c r="D58" s="111"/>
      <c r="E58" s="115"/>
      <c r="F58" s="127">
        <f ca="1">IFERROR(F48/I47,"")</f>
        <v>215982.31107793769</v>
      </c>
      <c r="G58" s="116">
        <f t="shared" ca="1" si="6"/>
        <v>2</v>
      </c>
    </row>
    <row r="59" spans="2:7" ht="15.6" x14ac:dyDescent="0.35">
      <c r="B59" s="109" t="s">
        <v>498</v>
      </c>
      <c r="C59" s="108" t="s">
        <v>480</v>
      </c>
      <c r="D59" s="111"/>
      <c r="E59" s="115"/>
      <c r="F59" s="127">
        <f ca="1">IFERROR(F49/J47,"")</f>
        <v>2614.9107257584687</v>
      </c>
      <c r="G59" s="116">
        <f t="shared" ca="1" si="6"/>
        <v>2</v>
      </c>
    </row>
    <row r="60" spans="2:7" ht="15.6" x14ac:dyDescent="0.35">
      <c r="B60" s="109" t="s">
        <v>499</v>
      </c>
      <c r="C60" s="108" t="s">
        <v>480</v>
      </c>
      <c r="D60" s="111"/>
      <c r="E60" s="115"/>
      <c r="F60" s="127">
        <f ca="1">IFERROR(F50/K47,"")</f>
        <v>172.24085686896717</v>
      </c>
      <c r="G60" s="116">
        <f t="shared" ca="1" si="6"/>
        <v>2</v>
      </c>
    </row>
    <row r="61" spans="2:7" ht="15.6" x14ac:dyDescent="0.35">
      <c r="B61" s="109" t="s">
        <v>500</v>
      </c>
      <c r="C61" s="108" t="s">
        <v>480</v>
      </c>
      <c r="D61" s="111"/>
      <c r="E61" s="115"/>
      <c r="F61" s="127">
        <f ca="1">IFERROR(F51/L47,"")</f>
        <v>3327.4280640273328</v>
      </c>
      <c r="G61" s="116">
        <f t="shared" ca="1" si="6"/>
        <v>2</v>
      </c>
    </row>
    <row r="62" spans="2:7" ht="15.6" x14ac:dyDescent="0.35">
      <c r="B62" s="109" t="s">
        <v>501</v>
      </c>
      <c r="C62" s="108" t="s">
        <v>480</v>
      </c>
      <c r="D62" s="111"/>
      <c r="E62" s="115"/>
      <c r="F62" s="127">
        <f ca="1">IFERROR(F52/M47,"")</f>
        <v>17828.740719893598</v>
      </c>
      <c r="G62" s="116">
        <f t="shared" ca="1" si="6"/>
        <v>2</v>
      </c>
    </row>
    <row r="63" spans="2:7" ht="15.6" x14ac:dyDescent="0.35">
      <c r="B63" s="109" t="s">
        <v>502</v>
      </c>
      <c r="C63" s="108" t="s">
        <v>480</v>
      </c>
      <c r="D63" s="111"/>
      <c r="E63" s="115"/>
      <c r="F63" s="127">
        <f ca="1">IFERROR(F53/N47,"")</f>
        <v>54369.860596959858</v>
      </c>
      <c r="G63" s="116">
        <f t="shared" ca="1" si="6"/>
        <v>2</v>
      </c>
    </row>
    <row r="64" spans="2:7" ht="15.6" x14ac:dyDescent="0.35">
      <c r="B64" s="109" t="s">
        <v>503</v>
      </c>
      <c r="C64" s="108" t="s">
        <v>480</v>
      </c>
      <c r="D64" s="111"/>
      <c r="E64" s="115"/>
      <c r="F64" s="127" t="str">
        <f ca="1">IFERROR(F54/O47,"")</f>
        <v/>
      </c>
      <c r="G64" s="116">
        <f t="shared" ca="1" si="6"/>
        <v>2</v>
      </c>
    </row>
    <row r="65" spans="2:24" ht="15.6" x14ac:dyDescent="0.35">
      <c r="B65" s="109" t="s">
        <v>504</v>
      </c>
      <c r="C65" s="108" t="s">
        <v>480</v>
      </c>
      <c r="D65" s="111"/>
      <c r="E65" s="115"/>
      <c r="F65" s="127" t="str">
        <f ca="1">IFERROR(F55/P47,"")</f>
        <v/>
      </c>
      <c r="G65" s="116">
        <f t="shared" ca="1" si="6"/>
        <v>2</v>
      </c>
    </row>
    <row r="68" spans="2:24" x14ac:dyDescent="0.3">
      <c r="C68" s="347" t="s">
        <v>1111</v>
      </c>
      <c r="D68" s="348"/>
      <c r="E68" s="348"/>
      <c r="F68" s="348"/>
      <c r="G68" s="348"/>
      <c r="H68" s="348"/>
      <c r="I68" s="348"/>
      <c r="J68" s="348"/>
      <c r="K68" s="348"/>
      <c r="L68" s="348"/>
      <c r="M68" s="348"/>
      <c r="N68" s="348"/>
      <c r="O68" s="348"/>
      <c r="P68" s="348"/>
      <c r="Q68" s="348"/>
      <c r="R68" s="348"/>
      <c r="S68" s="348"/>
      <c r="T68" s="348"/>
      <c r="U68" s="348"/>
      <c r="V68" s="348"/>
      <c r="W68" s="348"/>
      <c r="X68" s="349"/>
    </row>
    <row r="69" spans="2:24" x14ac:dyDescent="0.3">
      <c r="C69" s="295" t="s">
        <v>1112</v>
      </c>
      <c r="D69" s="295">
        <v>1</v>
      </c>
      <c r="E69" s="295">
        <v>2</v>
      </c>
      <c r="F69" s="295">
        <v>3</v>
      </c>
      <c r="G69" s="295">
        <v>4</v>
      </c>
      <c r="H69" s="295">
        <v>5</v>
      </c>
      <c r="I69" s="295">
        <v>6</v>
      </c>
      <c r="J69" s="295">
        <v>7</v>
      </c>
      <c r="K69" s="295">
        <v>8</v>
      </c>
      <c r="L69" s="295">
        <v>9</v>
      </c>
      <c r="M69" s="295">
        <v>10</v>
      </c>
      <c r="N69" s="295">
        <v>11</v>
      </c>
      <c r="O69" s="295">
        <v>12</v>
      </c>
      <c r="P69" s="295">
        <v>13</v>
      </c>
      <c r="Q69" s="295">
        <v>14</v>
      </c>
      <c r="R69" s="295">
        <v>15</v>
      </c>
      <c r="S69" s="295">
        <v>16</v>
      </c>
      <c r="T69" s="295">
        <v>17</v>
      </c>
      <c r="U69" s="295">
        <v>18</v>
      </c>
      <c r="V69" s="295">
        <v>19</v>
      </c>
      <c r="W69" s="295">
        <v>20</v>
      </c>
      <c r="X69" s="295" t="s">
        <v>1113</v>
      </c>
    </row>
    <row r="70" spans="2:24" x14ac:dyDescent="0.3">
      <c r="C70" s="295" t="s">
        <v>505</v>
      </c>
      <c r="D70" s="295">
        <v>13.97</v>
      </c>
      <c r="E70" s="295">
        <v>4.53</v>
      </c>
      <c r="F70" s="295">
        <v>3.31</v>
      </c>
      <c r="G70" s="295">
        <v>2.87</v>
      </c>
      <c r="H70" s="295">
        <v>2.65</v>
      </c>
      <c r="I70" s="295">
        <v>2.52</v>
      </c>
      <c r="J70" s="295">
        <v>2.4300000000000002</v>
      </c>
      <c r="K70" s="295">
        <v>2.37</v>
      </c>
      <c r="L70" s="295">
        <v>2.3199999999999998</v>
      </c>
      <c r="M70" s="295">
        <v>2.2799999999999998</v>
      </c>
      <c r="N70" s="295">
        <v>2.25</v>
      </c>
      <c r="O70" s="295">
        <v>2.23</v>
      </c>
      <c r="P70" s="295">
        <v>2.21</v>
      </c>
      <c r="Q70" s="295">
        <v>2.2000000000000002</v>
      </c>
      <c r="R70" s="295">
        <v>2.1800000000000002</v>
      </c>
      <c r="S70" s="295">
        <v>2.17</v>
      </c>
      <c r="T70" s="295">
        <v>2.16</v>
      </c>
      <c r="U70" s="295">
        <v>2.15</v>
      </c>
      <c r="V70" s="295">
        <v>2.14</v>
      </c>
      <c r="W70" s="295">
        <v>2.13</v>
      </c>
      <c r="X70" s="295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1" t="s">
        <v>366</v>
      </c>
      <c r="C2" s="241" t="s">
        <v>723</v>
      </c>
      <c r="D2" s="241" t="s">
        <v>724</v>
      </c>
      <c r="E2" s="241" t="s">
        <v>725</v>
      </c>
      <c r="F2" s="242"/>
      <c r="G2" s="242"/>
      <c r="H2" s="242"/>
      <c r="I2" s="242"/>
    </row>
    <row r="3" spans="2:9" x14ac:dyDescent="0.3">
      <c r="B3" s="243" t="str">
        <f>EquipoTipo</f>
        <v xml:space="preserve">Manómetro </v>
      </c>
      <c r="C3" s="244" t="str">
        <f>CertDate</f>
        <v>2019-03-06</v>
      </c>
      <c r="D3" s="243" t="str">
        <f>EquipoCode</f>
        <v>MAN-A04</v>
      </c>
      <c r="E3" s="243" t="str">
        <f>CertNum</f>
        <v>NI-MC-P-XXX-ZZZZ</v>
      </c>
      <c r="F3" s="245"/>
      <c r="G3" s="242"/>
      <c r="H3" s="242"/>
      <c r="I3" s="24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8"/>
  <sheetViews>
    <sheetView tabSelected="1" view="pageLayout" topLeftCell="A87" zoomScaleNormal="40" zoomScaleSheetLayoutView="100" workbookViewId="0">
      <selection activeCell="A113" sqref="A113:X11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3" t="s">
        <v>679</v>
      </c>
      <c r="B8" s="224"/>
      <c r="C8" s="225"/>
      <c r="E8" s="225"/>
      <c r="F8" s="225"/>
      <c r="G8" s="226"/>
      <c r="H8" s="226"/>
      <c r="I8" s="226"/>
      <c r="J8" s="226"/>
      <c r="K8" s="226"/>
      <c r="L8" s="9"/>
      <c r="M8" s="9"/>
      <c r="N8" s="360" t="str">
        <f>General!F3</f>
        <v>NI-MC-P-XXX-ZZZZ</v>
      </c>
      <c r="O8" s="361"/>
      <c r="P8" s="361"/>
      <c r="Q8" s="361"/>
      <c r="R8" s="361"/>
      <c r="S8" s="361"/>
      <c r="T8" s="361"/>
      <c r="U8" s="361"/>
      <c r="V8" s="361"/>
      <c r="W8" s="361"/>
      <c r="X8" s="361"/>
    </row>
    <row r="9" spans="1:24" x14ac:dyDescent="0.3">
      <c r="A9" s="223" t="s">
        <v>680</v>
      </c>
      <c r="B9" s="224"/>
      <c r="C9" s="225"/>
      <c r="E9" s="225"/>
      <c r="F9" s="225"/>
      <c r="G9" s="226"/>
      <c r="H9" s="226"/>
      <c r="I9" s="226"/>
      <c r="J9" s="226"/>
      <c r="K9" s="226"/>
      <c r="L9" s="9"/>
      <c r="M9" s="9"/>
      <c r="N9" s="362" t="str">
        <f>General!F4</f>
        <v>NI-CS-XXXX-XX</v>
      </c>
      <c r="O9" s="363"/>
      <c r="P9" s="363"/>
      <c r="Q9" s="363"/>
      <c r="R9" s="363"/>
      <c r="S9" s="363"/>
      <c r="T9" s="363"/>
      <c r="U9" s="363"/>
      <c r="V9" s="363"/>
      <c r="W9" s="363"/>
      <c r="X9" s="363"/>
    </row>
    <row r="10" spans="1:24" x14ac:dyDescent="0.3">
      <c r="A10" s="223" t="s">
        <v>681</v>
      </c>
      <c r="B10" s="224"/>
      <c r="C10" s="224"/>
      <c r="E10" s="224"/>
      <c r="F10" s="224"/>
      <c r="G10" s="226"/>
      <c r="H10" s="226"/>
      <c r="I10" s="226"/>
      <c r="J10" s="226"/>
      <c r="K10" s="226"/>
      <c r="L10" s="227"/>
      <c r="M10" s="9"/>
      <c r="N10" s="364" t="str">
        <f>General!F5</f>
        <v>2019-03-06</v>
      </c>
      <c r="O10" s="364"/>
      <c r="P10" s="364"/>
      <c r="Q10" s="364"/>
      <c r="R10" s="364"/>
      <c r="S10" s="364"/>
      <c r="T10" s="364"/>
      <c r="U10" s="364"/>
      <c r="V10" s="364"/>
      <c r="W10" s="364"/>
      <c r="X10" s="364"/>
    </row>
    <row r="11" spans="1:24" x14ac:dyDescent="0.3">
      <c r="A11" s="223" t="s">
        <v>1108</v>
      </c>
      <c r="B11" s="224"/>
      <c r="C11" s="224"/>
      <c r="E11" s="224"/>
      <c r="F11" s="224"/>
      <c r="G11" s="226"/>
      <c r="H11" s="226"/>
      <c r="I11" s="226"/>
      <c r="J11" s="226"/>
      <c r="K11" s="226"/>
      <c r="L11" s="227"/>
      <c r="M11" s="9"/>
      <c r="N11" s="364">
        <f ca="1">NOW()</f>
        <v>45735.950672569445</v>
      </c>
      <c r="O11" s="364"/>
      <c r="P11" s="364"/>
      <c r="Q11" s="364"/>
      <c r="R11" s="294"/>
      <c r="S11" s="294"/>
      <c r="T11" s="294"/>
      <c r="U11" s="294"/>
      <c r="V11" s="294"/>
      <c r="W11" s="294"/>
      <c r="X11" s="294"/>
    </row>
    <row r="12" spans="1:24" x14ac:dyDescent="0.3">
      <c r="A12" s="223" t="s">
        <v>682</v>
      </c>
      <c r="B12" s="224"/>
      <c r="C12" s="224"/>
      <c r="E12" s="224"/>
      <c r="F12" s="224"/>
      <c r="G12" s="226"/>
      <c r="H12" s="226"/>
      <c r="I12" s="226"/>
      <c r="J12" s="226"/>
      <c r="K12" s="226"/>
      <c r="L12" s="9"/>
      <c r="M12" s="9"/>
      <c r="N12" s="362" t="str">
        <f>General!F7</f>
        <v xml:space="preserve">Manómetro </v>
      </c>
      <c r="O12" s="363"/>
      <c r="P12" s="363"/>
      <c r="Q12" s="363"/>
      <c r="R12" s="363"/>
      <c r="S12" s="363"/>
      <c r="T12" s="363"/>
      <c r="U12" s="363"/>
      <c r="V12" s="363"/>
      <c r="W12" s="363"/>
      <c r="X12" s="363"/>
    </row>
    <row r="13" spans="1:24" x14ac:dyDescent="0.3">
      <c r="A13" s="223" t="s">
        <v>683</v>
      </c>
      <c r="B13" s="224"/>
      <c r="C13" s="224"/>
      <c r="E13" s="224"/>
      <c r="F13" s="224"/>
      <c r="G13" s="226"/>
      <c r="H13" s="226"/>
      <c r="I13" s="226"/>
      <c r="J13" s="226"/>
      <c r="K13" s="226"/>
      <c r="L13" s="9"/>
      <c r="M13" s="9"/>
      <c r="N13" s="362" t="str">
        <f>General!F10</f>
        <v>Wika</v>
      </c>
      <c r="O13" s="363"/>
      <c r="P13" s="363"/>
      <c r="Q13" s="363"/>
      <c r="R13" s="363"/>
      <c r="S13" s="363"/>
      <c r="T13" s="363"/>
      <c r="U13" s="363"/>
      <c r="V13" s="363"/>
      <c r="W13" s="363"/>
      <c r="X13" s="363"/>
    </row>
    <row r="14" spans="1:24" x14ac:dyDescent="0.3">
      <c r="A14" s="223" t="s">
        <v>684</v>
      </c>
      <c r="B14" s="224"/>
      <c r="C14" s="224"/>
      <c r="E14" s="224"/>
      <c r="F14" s="224"/>
      <c r="G14" s="226"/>
      <c r="H14" s="226"/>
      <c r="I14" s="226"/>
      <c r="J14" s="226"/>
      <c r="K14" s="226"/>
      <c r="L14" s="9"/>
      <c r="M14" s="9"/>
      <c r="N14" s="362" t="str">
        <f>General!F12</f>
        <v>90271482-1-19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</row>
    <row r="15" spans="1:24" x14ac:dyDescent="0.3">
      <c r="A15" s="223" t="s">
        <v>685</v>
      </c>
      <c r="B15" s="224"/>
      <c r="C15" s="224"/>
      <c r="E15" s="224"/>
      <c r="F15" s="224"/>
      <c r="G15" s="226"/>
      <c r="H15" s="226"/>
      <c r="I15" s="226"/>
      <c r="J15" s="226"/>
      <c r="K15" s="226"/>
      <c r="L15" s="9"/>
      <c r="M15" s="9"/>
      <c r="N15" s="362" t="str">
        <f>General!F11</f>
        <v>No Aplica (N/A)</v>
      </c>
      <c r="O15" s="363"/>
      <c r="P15" s="363"/>
      <c r="Q15" s="363"/>
      <c r="R15" s="363"/>
      <c r="S15" s="363"/>
      <c r="T15" s="363"/>
      <c r="U15" s="363"/>
      <c r="V15" s="363"/>
      <c r="W15" s="363"/>
      <c r="X15" s="363"/>
    </row>
    <row r="16" spans="1:24" x14ac:dyDescent="0.3">
      <c r="A16" s="223" t="s">
        <v>686</v>
      </c>
      <c r="B16" s="224"/>
      <c r="C16" s="224"/>
      <c r="E16" s="224"/>
      <c r="F16" s="224"/>
      <c r="G16" s="226"/>
      <c r="H16" s="226"/>
      <c r="I16" s="226"/>
      <c r="J16" s="226"/>
      <c r="K16" s="226"/>
      <c r="L16" s="9"/>
      <c r="M16" s="9"/>
      <c r="N16" s="362" t="str">
        <f>General!F18</f>
        <v>0 kgf/cm² a 16 kgf/cm²</v>
      </c>
      <c r="O16" s="363"/>
      <c r="P16" s="363"/>
      <c r="Q16" s="363"/>
      <c r="R16" s="363"/>
      <c r="S16" s="363"/>
      <c r="T16" s="363"/>
      <c r="U16" s="363"/>
      <c r="V16" s="363"/>
      <c r="W16" s="363"/>
      <c r="X16" s="363"/>
    </row>
    <row r="17" spans="1:24" x14ac:dyDescent="0.3">
      <c r="A17" s="223" t="s">
        <v>687</v>
      </c>
      <c r="B17" s="224"/>
      <c r="C17" s="224"/>
      <c r="E17" s="224"/>
      <c r="F17" s="224"/>
      <c r="G17" s="226"/>
      <c r="H17" s="226"/>
      <c r="I17" s="226"/>
      <c r="J17" s="226"/>
      <c r="K17" s="226"/>
      <c r="L17" s="9"/>
      <c r="M17" s="9"/>
      <c r="N17" s="362" t="str">
        <f>General!F15</f>
        <v>0.5</v>
      </c>
      <c r="O17" s="363"/>
      <c r="P17" s="362" t="str">
        <f>General!F16</f>
        <v>psi</v>
      </c>
      <c r="Q17" s="363"/>
      <c r="R17" s="9"/>
      <c r="S17" s="9"/>
      <c r="T17" s="9"/>
      <c r="U17" s="9"/>
      <c r="V17" s="9"/>
      <c r="W17" s="9"/>
      <c r="X17" s="9"/>
    </row>
    <row r="18" spans="1:24" x14ac:dyDescent="0.3">
      <c r="A18" s="223" t="s">
        <v>688</v>
      </c>
      <c r="B18" s="224"/>
      <c r="C18" s="224"/>
      <c r="E18" s="224"/>
      <c r="F18" s="224"/>
      <c r="G18" s="226"/>
      <c r="H18" s="226"/>
      <c r="I18" s="226"/>
      <c r="J18" s="226"/>
      <c r="K18" s="226"/>
      <c r="L18" s="9"/>
      <c r="M18" s="9"/>
      <c r="N18" s="362" t="str">
        <f>General!F6</f>
        <v>MAN-A04</v>
      </c>
      <c r="O18" s="363"/>
      <c r="P18" s="363"/>
      <c r="Q18" s="363"/>
      <c r="R18" s="363"/>
      <c r="S18" s="363"/>
      <c r="T18" s="363"/>
      <c r="U18" s="363"/>
      <c r="V18" s="363"/>
      <c r="W18" s="363"/>
      <c r="X18" s="363"/>
    </row>
    <row r="19" spans="1:24" x14ac:dyDescent="0.3">
      <c r="A19" s="223" t="s">
        <v>689</v>
      </c>
      <c r="B19" s="224"/>
      <c r="C19" s="224"/>
      <c r="E19" s="224"/>
      <c r="F19" s="224"/>
      <c r="G19" s="226"/>
      <c r="H19" s="226"/>
      <c r="I19" s="226"/>
      <c r="J19" s="226"/>
      <c r="K19" s="226"/>
      <c r="L19" s="9"/>
      <c r="M19" s="9"/>
      <c r="N19" s="362" t="str">
        <f>General!L3</f>
        <v>Mechnikov, S.A.</v>
      </c>
      <c r="O19" s="363"/>
      <c r="P19" s="363"/>
      <c r="Q19" s="363"/>
      <c r="R19" s="363"/>
      <c r="S19" s="363"/>
      <c r="T19" s="363"/>
      <c r="U19" s="363"/>
      <c r="V19" s="363"/>
      <c r="W19" s="363"/>
      <c r="X19" s="363"/>
    </row>
    <row r="20" spans="1:24" x14ac:dyDescent="0.3">
      <c r="A20" s="228" t="s">
        <v>690</v>
      </c>
      <c r="C20" s="224"/>
      <c r="D20" s="224"/>
      <c r="E20" s="224"/>
      <c r="F20" s="224"/>
      <c r="G20" s="226"/>
      <c r="H20" s="226"/>
      <c r="I20" s="226"/>
      <c r="J20" s="226"/>
      <c r="K20" s="226"/>
      <c r="L20" s="11"/>
      <c r="M20" s="9"/>
      <c r="N20" s="363" t="str">
        <f>General!L4</f>
        <v/>
      </c>
      <c r="O20" s="363"/>
      <c r="P20" s="363"/>
      <c r="Q20" s="363"/>
      <c r="R20" s="363"/>
      <c r="S20" s="363"/>
      <c r="T20" s="363"/>
      <c r="U20" s="363"/>
      <c r="V20" s="363"/>
      <c r="W20" s="363"/>
      <c r="X20" s="363"/>
    </row>
    <row r="21" spans="1:24" x14ac:dyDescent="0.3">
      <c r="A21" s="223" t="s">
        <v>691</v>
      </c>
      <c r="C21" s="224"/>
      <c r="D21" s="224"/>
      <c r="E21" s="224"/>
      <c r="F21" s="224"/>
      <c r="G21" s="226"/>
      <c r="H21" s="226"/>
      <c r="I21" s="226"/>
      <c r="J21" s="226"/>
      <c r="K21" s="226"/>
      <c r="L21" s="9"/>
      <c r="M21" s="9"/>
      <c r="N21" s="365" t="str">
        <f>General!L6</f>
        <v>Laboratorio #2, Metrocal</v>
      </c>
      <c r="O21" s="365"/>
      <c r="P21" s="365"/>
      <c r="Q21" s="365"/>
      <c r="R21" s="365"/>
      <c r="S21" s="365"/>
      <c r="T21" s="365"/>
      <c r="U21" s="365"/>
      <c r="V21" s="365"/>
      <c r="W21" s="365"/>
      <c r="X21" s="365"/>
    </row>
    <row r="22" spans="1:24" x14ac:dyDescent="0.3">
      <c r="A22" s="223"/>
      <c r="N22" s="365"/>
      <c r="O22" s="365"/>
      <c r="P22" s="365"/>
      <c r="Q22" s="365"/>
      <c r="R22" s="365"/>
      <c r="S22" s="365"/>
      <c r="T22" s="365"/>
      <c r="U22" s="365"/>
      <c r="V22" s="365"/>
      <c r="W22" s="365"/>
      <c r="X22" s="365"/>
    </row>
    <row r="23" spans="1:24" x14ac:dyDescent="0.3">
      <c r="A23" s="223" t="s">
        <v>692</v>
      </c>
      <c r="C23" s="224"/>
      <c r="D23" s="224"/>
      <c r="E23" s="224"/>
      <c r="F23" s="224"/>
    </row>
    <row r="24" spans="1:24" x14ac:dyDescent="0.3">
      <c r="A24" s="9"/>
      <c r="B24" s="9"/>
      <c r="C24" s="9"/>
      <c r="D24" s="366" t="s">
        <v>363</v>
      </c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</row>
    <row r="25" spans="1:24" ht="15" customHeight="1" x14ac:dyDescent="0.3">
      <c r="A25" s="9"/>
      <c r="B25" s="9"/>
      <c r="C25" s="9"/>
      <c r="D25" s="367" t="s">
        <v>628</v>
      </c>
      <c r="E25" s="367"/>
      <c r="F25" s="368" t="s">
        <v>693</v>
      </c>
      <c r="G25" s="368"/>
      <c r="H25" s="368"/>
      <c r="I25" s="368"/>
      <c r="J25" s="368"/>
      <c r="K25" s="368"/>
      <c r="L25" s="368" t="s">
        <v>364</v>
      </c>
      <c r="M25" s="368"/>
      <c r="N25" s="368"/>
      <c r="O25" s="368"/>
      <c r="P25" s="368"/>
      <c r="Q25" s="368"/>
      <c r="R25" s="367" t="s">
        <v>694</v>
      </c>
      <c r="S25" s="367"/>
      <c r="T25" s="367"/>
      <c r="U25" s="367"/>
      <c r="V25" s="367"/>
      <c r="W25" s="367"/>
    </row>
    <row r="26" spans="1:24" ht="14.25" customHeight="1" x14ac:dyDescent="0.3">
      <c r="A26" s="9"/>
      <c r="B26" s="9"/>
      <c r="C26" s="9"/>
      <c r="D26" s="367"/>
      <c r="E26" s="367"/>
      <c r="F26" s="368"/>
      <c r="G26" s="368"/>
      <c r="H26" s="368"/>
      <c r="I26" s="368"/>
      <c r="J26" s="368"/>
      <c r="K26" s="368"/>
      <c r="L26" s="368"/>
      <c r="M26" s="368"/>
      <c r="N26" s="368"/>
      <c r="O26" s="368"/>
      <c r="P26" s="368"/>
      <c r="Q26" s="368"/>
      <c r="R26" s="367"/>
      <c r="S26" s="367"/>
      <c r="T26" s="367"/>
      <c r="U26" s="367"/>
      <c r="V26" s="367"/>
      <c r="W26" s="367"/>
    </row>
    <row r="27" spans="1:24" x14ac:dyDescent="0.3">
      <c r="A27" s="9"/>
      <c r="B27" s="9"/>
      <c r="C27" s="9"/>
      <c r="D27" s="369" t="str">
        <f>Calibración!C37</f>
        <v>psi</v>
      </c>
      <c r="E27" s="369"/>
      <c r="F27" s="370" t="str">
        <f>Calibración!D37</f>
        <v>psi</v>
      </c>
      <c r="G27" s="371"/>
      <c r="H27" s="371"/>
      <c r="I27" s="371"/>
      <c r="J27" s="371"/>
      <c r="K27" s="372"/>
      <c r="L27" s="370" t="str">
        <f>Calibración!E37</f>
        <v>psi</v>
      </c>
      <c r="M27" s="371"/>
      <c r="N27" s="371"/>
      <c r="O27" s="371"/>
      <c r="P27" s="371"/>
      <c r="Q27" s="372"/>
      <c r="R27" s="370" t="str">
        <f>Calibración!F37</f>
        <v>psi</v>
      </c>
      <c r="S27" s="371"/>
      <c r="T27" s="371"/>
      <c r="U27" s="371"/>
      <c r="V27" s="371"/>
      <c r="W27" s="372"/>
    </row>
    <row r="28" spans="1:24" x14ac:dyDescent="0.3">
      <c r="A28" s="9"/>
      <c r="B28" s="9"/>
      <c r="C28" s="9"/>
      <c r="D28" s="352">
        <f ca="1">Calibración!C38</f>
        <v>6.9374475000000002</v>
      </c>
      <c r="E28" s="352"/>
      <c r="F28" s="353">
        <f ca="1">Calibración!D38</f>
        <v>7</v>
      </c>
      <c r="G28" s="354"/>
      <c r="H28" s="354"/>
      <c r="I28" s="354"/>
      <c r="J28" s="354"/>
      <c r="K28" s="355"/>
      <c r="L28" s="353">
        <f ca="1">Calibración!E38</f>
        <v>-6.2552499999999789E-2</v>
      </c>
      <c r="M28" s="354"/>
      <c r="N28" s="354"/>
      <c r="O28" s="354"/>
      <c r="P28" s="354"/>
      <c r="Q28" s="355"/>
      <c r="R28" s="353">
        <f ca="1">Calibración!F38</f>
        <v>0.31444462655612504</v>
      </c>
      <c r="S28" s="354"/>
      <c r="T28" s="354"/>
      <c r="U28" s="354"/>
      <c r="V28" s="354"/>
      <c r="W28" s="355"/>
    </row>
    <row r="29" spans="1:24" x14ac:dyDescent="0.3">
      <c r="A29" s="9"/>
      <c r="B29" s="9"/>
      <c r="C29" s="9"/>
      <c r="D29" s="352">
        <f ca="1">Calibración!C39</f>
        <v>9.9586176000000002</v>
      </c>
      <c r="E29" s="352"/>
      <c r="F29" s="353">
        <f ca="1">Calibración!D39</f>
        <v>10</v>
      </c>
      <c r="G29" s="354"/>
      <c r="H29" s="354"/>
      <c r="I29" s="354"/>
      <c r="J29" s="354"/>
      <c r="K29" s="355"/>
      <c r="L29" s="353">
        <f ca="1">Calibración!E39</f>
        <v>-4.1382399999999819E-2</v>
      </c>
      <c r="M29" s="354"/>
      <c r="N29" s="354"/>
      <c r="O29" s="354"/>
      <c r="P29" s="354"/>
      <c r="Q29" s="355"/>
      <c r="R29" s="353">
        <f ca="1">Calibración!F39</f>
        <v>0.3029624617203534</v>
      </c>
      <c r="S29" s="354"/>
      <c r="T29" s="354"/>
      <c r="U29" s="354"/>
      <c r="V29" s="354"/>
      <c r="W29" s="355"/>
    </row>
    <row r="30" spans="1:24" x14ac:dyDescent="0.3">
      <c r="A30" s="9"/>
      <c r="B30" s="9"/>
      <c r="C30" s="9"/>
      <c r="D30" s="352">
        <f ca="1">Calibración!C40</f>
        <v>17.942603100000003</v>
      </c>
      <c r="E30" s="352"/>
      <c r="F30" s="353">
        <f ca="1">Calibración!D40</f>
        <v>18</v>
      </c>
      <c r="G30" s="354"/>
      <c r="H30" s="354"/>
      <c r="I30" s="354"/>
      <c r="J30" s="354"/>
      <c r="K30" s="355"/>
      <c r="L30" s="353">
        <f ca="1">Calibración!E40</f>
        <v>-5.7396899999996975E-2</v>
      </c>
      <c r="M30" s="354"/>
      <c r="N30" s="354"/>
      <c r="O30" s="354"/>
      <c r="P30" s="354"/>
      <c r="Q30" s="355"/>
      <c r="R30" s="353">
        <f ca="1">Calibración!F40</f>
        <v>0.30169230724994645</v>
      </c>
      <c r="S30" s="354"/>
      <c r="T30" s="354"/>
      <c r="U30" s="354"/>
      <c r="V30" s="354"/>
      <c r="W30" s="355"/>
    </row>
    <row r="31" spans="1:24" x14ac:dyDescent="0.3">
      <c r="A31" s="9"/>
      <c r="B31" s="9"/>
      <c r="C31" s="9"/>
      <c r="D31" s="352">
        <f ca="1">Calibración!C41</f>
        <v>24.944520900000001</v>
      </c>
      <c r="E31" s="352"/>
      <c r="F31" s="353">
        <f ca="1">Calibración!D41</f>
        <v>25</v>
      </c>
      <c r="G31" s="354"/>
      <c r="H31" s="354"/>
      <c r="I31" s="354"/>
      <c r="J31" s="354"/>
      <c r="K31" s="355"/>
      <c r="L31" s="353">
        <f ca="1">Calibración!E41</f>
        <v>-5.5479099999999448E-2</v>
      </c>
      <c r="M31" s="354"/>
      <c r="N31" s="354"/>
      <c r="O31" s="354"/>
      <c r="P31" s="354"/>
      <c r="Q31" s="355"/>
      <c r="R31" s="353">
        <f ca="1">Calibración!F41</f>
        <v>0.3084262967178707</v>
      </c>
      <c r="S31" s="354"/>
      <c r="T31" s="354"/>
      <c r="U31" s="354"/>
      <c r="V31" s="354"/>
      <c r="W31" s="355"/>
    </row>
    <row r="32" spans="1:24" x14ac:dyDescent="0.3">
      <c r="A32" s="9"/>
      <c r="B32" s="9"/>
      <c r="C32" s="9"/>
      <c r="D32" s="352">
        <f ca="1">Calibración!C42</f>
        <v>34.915131899999992</v>
      </c>
      <c r="E32" s="352"/>
      <c r="F32" s="353">
        <f ca="1">Calibración!D42</f>
        <v>35</v>
      </c>
      <c r="G32" s="354"/>
      <c r="H32" s="354"/>
      <c r="I32" s="354"/>
      <c r="J32" s="354"/>
      <c r="K32" s="355"/>
      <c r="L32" s="353">
        <f ca="1">Calibración!E42</f>
        <v>-8.486810000000844E-2</v>
      </c>
      <c r="M32" s="354"/>
      <c r="N32" s="354"/>
      <c r="O32" s="354"/>
      <c r="P32" s="354"/>
      <c r="Q32" s="355"/>
      <c r="R32" s="353">
        <f ca="1">Calibración!F42</f>
        <v>0.33362408938287968</v>
      </c>
      <c r="S32" s="354"/>
      <c r="T32" s="354"/>
      <c r="U32" s="354"/>
      <c r="V32" s="354"/>
      <c r="W32" s="355"/>
    </row>
    <row r="33" spans="1:23" x14ac:dyDescent="0.3">
      <c r="A33" s="9"/>
      <c r="B33" s="9"/>
      <c r="C33" s="9"/>
      <c r="D33" s="352">
        <f ca="1">Calibración!C43</f>
        <v>52.946237200000006</v>
      </c>
      <c r="E33" s="352"/>
      <c r="F33" s="353">
        <f ca="1">Calibración!D43</f>
        <v>53</v>
      </c>
      <c r="G33" s="354"/>
      <c r="H33" s="354"/>
      <c r="I33" s="354"/>
      <c r="J33" s="354"/>
      <c r="K33" s="355"/>
      <c r="L33" s="353">
        <f ca="1">Calibración!E43</f>
        <v>-5.3762799999994115E-2</v>
      </c>
      <c r="M33" s="354"/>
      <c r="N33" s="354"/>
      <c r="O33" s="354"/>
      <c r="P33" s="354"/>
      <c r="Q33" s="355"/>
      <c r="R33" s="353">
        <f ca="1">Calibración!F43</f>
        <v>0.30844957614128898</v>
      </c>
      <c r="S33" s="354"/>
      <c r="T33" s="354"/>
      <c r="U33" s="354"/>
      <c r="V33" s="354"/>
      <c r="W33" s="355"/>
    </row>
    <row r="34" spans="1:23" x14ac:dyDescent="0.3">
      <c r="A34" s="9"/>
      <c r="B34" s="9"/>
      <c r="C34" s="9"/>
      <c r="D34" s="352">
        <f ca="1">Calibración!C44</f>
        <v>69.935096200000004</v>
      </c>
      <c r="E34" s="352"/>
      <c r="F34" s="353">
        <f ca="1">Calibración!D44</f>
        <v>70</v>
      </c>
      <c r="G34" s="354"/>
      <c r="H34" s="354"/>
      <c r="I34" s="354"/>
      <c r="J34" s="354"/>
      <c r="K34" s="355"/>
      <c r="L34" s="353">
        <f ca="1">Calibración!E44</f>
        <v>-6.4903799999996181E-2</v>
      </c>
      <c r="M34" s="354"/>
      <c r="N34" s="354"/>
      <c r="O34" s="354"/>
      <c r="P34" s="354"/>
      <c r="Q34" s="355"/>
      <c r="R34" s="353">
        <f ca="1">Calibración!F44</f>
        <v>0.30371455016151777</v>
      </c>
      <c r="S34" s="354"/>
      <c r="T34" s="354"/>
      <c r="U34" s="354"/>
      <c r="V34" s="354"/>
      <c r="W34" s="355"/>
    </row>
    <row r="35" spans="1:23" x14ac:dyDescent="0.3">
      <c r="A35" s="9"/>
      <c r="B35" s="9"/>
      <c r="C35" s="9"/>
      <c r="D35" s="352">
        <f ca="1">Calibración!C45</f>
        <v>200.08298425000001</v>
      </c>
      <c r="E35" s="352"/>
      <c r="F35" s="353">
        <f ca="1">Calibración!D45</f>
        <v>200</v>
      </c>
      <c r="G35" s="354"/>
      <c r="H35" s="354"/>
      <c r="I35" s="354"/>
      <c r="J35" s="354"/>
      <c r="K35" s="355"/>
      <c r="L35" s="353">
        <f ca="1">Calibración!E45</f>
        <v>8.2984250000009752E-2</v>
      </c>
      <c r="M35" s="354"/>
      <c r="N35" s="354"/>
      <c r="O35" s="354"/>
      <c r="P35" s="354"/>
      <c r="Q35" s="355"/>
      <c r="R35" s="353">
        <f ca="1">Calibración!F45</f>
        <v>0.30253243749182424</v>
      </c>
      <c r="S35" s="354"/>
      <c r="T35" s="354"/>
      <c r="U35" s="354"/>
      <c r="V35" s="354"/>
      <c r="W35" s="355"/>
    </row>
    <row r="36" spans="1:23" x14ac:dyDescent="0.3">
      <c r="A36" s="9"/>
      <c r="B36" s="9"/>
      <c r="C36" s="9"/>
      <c r="D36" s="352" t="str">
        <f ca="1">Calibración!C46</f>
        <v/>
      </c>
      <c r="E36" s="352"/>
      <c r="F36" s="353" t="str">
        <f ca="1">Calibración!D46</f>
        <v/>
      </c>
      <c r="G36" s="354"/>
      <c r="H36" s="354"/>
      <c r="I36" s="354"/>
      <c r="J36" s="354"/>
      <c r="K36" s="355"/>
      <c r="L36" s="353" t="str">
        <f ca="1">Calibración!E46</f>
        <v/>
      </c>
      <c r="M36" s="354"/>
      <c r="N36" s="354"/>
      <c r="O36" s="354"/>
      <c r="P36" s="354"/>
      <c r="Q36" s="355"/>
      <c r="R36" s="353" t="str">
        <f ca="1">Calibración!F46</f>
        <v/>
      </c>
      <c r="S36" s="354"/>
      <c r="T36" s="354"/>
      <c r="U36" s="354"/>
      <c r="V36" s="354"/>
      <c r="W36" s="355"/>
    </row>
    <row r="37" spans="1:23" x14ac:dyDescent="0.3">
      <c r="A37" s="9"/>
      <c r="B37" s="9"/>
      <c r="C37" s="9"/>
      <c r="D37" s="352" t="str">
        <f ca="1">Calibración!C47</f>
        <v/>
      </c>
      <c r="E37" s="352"/>
      <c r="F37" s="353" t="str">
        <f ca="1">Calibración!D47</f>
        <v/>
      </c>
      <c r="G37" s="354"/>
      <c r="H37" s="354"/>
      <c r="I37" s="354"/>
      <c r="J37" s="354"/>
      <c r="K37" s="355"/>
      <c r="L37" s="353" t="str">
        <f ca="1">Calibración!E47</f>
        <v/>
      </c>
      <c r="M37" s="354"/>
      <c r="N37" s="354"/>
      <c r="O37" s="354"/>
      <c r="P37" s="354"/>
      <c r="Q37" s="355"/>
      <c r="R37" s="353" t="str">
        <f ca="1">Calibración!F47</f>
        <v/>
      </c>
      <c r="S37" s="354"/>
      <c r="T37" s="354"/>
      <c r="U37" s="354"/>
      <c r="V37" s="354"/>
      <c r="W37" s="355"/>
    </row>
    <row r="38" spans="1:23" x14ac:dyDescent="0.3">
      <c r="A38" s="9"/>
      <c r="B38" s="9"/>
      <c r="C38" s="9"/>
      <c r="D38" s="352" t="str">
        <f ca="1">Calibración!C48</f>
        <v/>
      </c>
      <c r="E38" s="352"/>
      <c r="F38" s="353" t="str">
        <f ca="1">Calibración!D48</f>
        <v/>
      </c>
      <c r="G38" s="354"/>
      <c r="H38" s="354"/>
      <c r="I38" s="354"/>
      <c r="J38" s="354"/>
      <c r="K38" s="355"/>
      <c r="L38" s="353" t="str">
        <f ca="1">Calibración!E48</f>
        <v/>
      </c>
      <c r="M38" s="354"/>
      <c r="N38" s="354"/>
      <c r="O38" s="354"/>
      <c r="P38" s="354"/>
      <c r="Q38" s="355"/>
      <c r="R38" s="353" t="str">
        <f ca="1">Calibración!F48</f>
        <v/>
      </c>
      <c r="S38" s="354"/>
      <c r="T38" s="354"/>
      <c r="U38" s="354"/>
      <c r="V38" s="354"/>
      <c r="W38" s="355"/>
    </row>
    <row r="39" spans="1:23" x14ac:dyDescent="0.3">
      <c r="A39" s="9"/>
      <c r="B39" s="9"/>
      <c r="C39" s="9"/>
      <c r="D39" s="352" t="str">
        <f ca="1">Calibración!C49</f>
        <v/>
      </c>
      <c r="E39" s="352"/>
      <c r="F39" s="353" t="str">
        <f ca="1">Calibración!D49</f>
        <v/>
      </c>
      <c r="G39" s="354"/>
      <c r="H39" s="354"/>
      <c r="I39" s="354"/>
      <c r="J39" s="354"/>
      <c r="K39" s="355"/>
      <c r="L39" s="353" t="str">
        <f ca="1">Calibración!E49</f>
        <v/>
      </c>
      <c r="M39" s="354"/>
      <c r="N39" s="354"/>
      <c r="O39" s="354"/>
      <c r="P39" s="354"/>
      <c r="Q39" s="355"/>
      <c r="R39" s="353" t="str">
        <f ca="1">Calibración!F49</f>
        <v/>
      </c>
      <c r="S39" s="354"/>
      <c r="T39" s="354"/>
      <c r="U39" s="354"/>
      <c r="V39" s="354"/>
      <c r="W39" s="355"/>
    </row>
    <row r="40" spans="1:23" x14ac:dyDescent="0.3">
      <c r="A40" s="9"/>
      <c r="B40" s="9"/>
      <c r="C40" s="9"/>
      <c r="D40" s="352" t="str">
        <f ca="1">Calibración!C50</f>
        <v/>
      </c>
      <c r="E40" s="352"/>
      <c r="F40" s="353" t="str">
        <f ca="1">Calibración!D50</f>
        <v/>
      </c>
      <c r="G40" s="354"/>
      <c r="H40" s="354"/>
      <c r="I40" s="354"/>
      <c r="J40" s="354"/>
      <c r="K40" s="355"/>
      <c r="L40" s="353" t="str">
        <f ca="1">Calibración!E50</f>
        <v/>
      </c>
      <c r="M40" s="354"/>
      <c r="N40" s="354"/>
      <c r="O40" s="354"/>
      <c r="P40" s="354"/>
      <c r="Q40" s="355"/>
      <c r="R40" s="353" t="str">
        <f ca="1">Calibración!F50</f>
        <v/>
      </c>
      <c r="S40" s="354"/>
      <c r="T40" s="354"/>
      <c r="U40" s="354"/>
      <c r="V40" s="354"/>
      <c r="W40" s="355"/>
    </row>
    <row r="41" spans="1:23" x14ac:dyDescent="0.3">
      <c r="A41" s="9"/>
      <c r="B41" s="9"/>
      <c r="C41" s="9"/>
      <c r="D41" s="352" t="str">
        <f ca="1">Calibración!C51</f>
        <v/>
      </c>
      <c r="E41" s="352"/>
      <c r="F41" s="353" t="str">
        <f ca="1">Calibración!D51</f>
        <v/>
      </c>
      <c r="G41" s="354"/>
      <c r="H41" s="354"/>
      <c r="I41" s="354"/>
      <c r="J41" s="354"/>
      <c r="K41" s="355"/>
      <c r="L41" s="353" t="str">
        <f ca="1">Calibración!E51</f>
        <v/>
      </c>
      <c r="M41" s="354"/>
      <c r="N41" s="354"/>
      <c r="O41" s="354"/>
      <c r="P41" s="354"/>
      <c r="Q41" s="355"/>
      <c r="R41" s="353" t="str">
        <f ca="1">Calibración!F51</f>
        <v/>
      </c>
      <c r="S41" s="354"/>
      <c r="T41" s="354"/>
      <c r="U41" s="354"/>
      <c r="V41" s="354"/>
      <c r="W41" s="355"/>
    </row>
    <row r="42" spans="1:23" x14ac:dyDescent="0.3">
      <c r="A42" s="9"/>
      <c r="B42" s="9"/>
      <c r="C42" s="9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</row>
    <row r="43" spans="1:23" x14ac:dyDescent="0.3">
      <c r="A43" s="9"/>
      <c r="B43" s="9"/>
      <c r="C43" s="9"/>
      <c r="D43" s="319"/>
      <c r="E43" s="319"/>
      <c r="F43" s="319"/>
      <c r="G43" s="319"/>
      <c r="H43" s="319"/>
      <c r="I43" s="319"/>
      <c r="J43" s="319"/>
      <c r="K43" s="319"/>
      <c r="L43" s="319"/>
      <c r="M43" s="319"/>
      <c r="N43" s="319"/>
      <c r="O43" s="319"/>
      <c r="P43" s="319"/>
      <c r="Q43" s="319"/>
      <c r="R43" s="319"/>
      <c r="S43" s="319"/>
      <c r="T43" s="319"/>
      <c r="U43" s="319"/>
      <c r="V43" s="319"/>
      <c r="W43" s="319"/>
    </row>
    <row r="44" spans="1:23" x14ac:dyDescent="0.3">
      <c r="A44" s="9"/>
      <c r="B44" s="9"/>
      <c r="C44" s="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319"/>
      <c r="T44" s="319"/>
      <c r="U44" s="319"/>
      <c r="V44" s="319"/>
      <c r="W44" s="319"/>
    </row>
    <row r="45" spans="1:23" x14ac:dyDescent="0.3">
      <c r="A45" s="9"/>
      <c r="B45" s="9"/>
      <c r="C45" s="9"/>
      <c r="D45" s="319"/>
      <c r="E45" s="319"/>
      <c r="F45" s="319"/>
      <c r="G45" s="319"/>
      <c r="H45" s="319"/>
      <c r="I45" s="319"/>
      <c r="J45" s="319"/>
      <c r="K45" s="319"/>
      <c r="L45" s="319"/>
      <c r="M45" s="319"/>
      <c r="N45" s="319"/>
      <c r="O45" s="319"/>
      <c r="P45" s="319"/>
      <c r="Q45" s="319"/>
      <c r="R45" s="319"/>
      <c r="S45" s="319"/>
      <c r="T45" s="319"/>
      <c r="U45" s="319"/>
      <c r="V45" s="319"/>
      <c r="W45" s="319"/>
    </row>
    <row r="46" spans="1:23" x14ac:dyDescent="0.3">
      <c r="A46" s="9"/>
      <c r="B46" s="9"/>
      <c r="C46" s="9"/>
      <c r="D46" s="319"/>
      <c r="E46" s="319"/>
      <c r="F46" s="319"/>
      <c r="G46" s="319"/>
      <c r="H46" s="319"/>
      <c r="I46" s="319"/>
      <c r="J46" s="319"/>
      <c r="K46" s="319"/>
      <c r="L46" s="319"/>
      <c r="M46" s="319"/>
      <c r="N46" s="319"/>
      <c r="O46" s="319"/>
      <c r="P46" s="319"/>
      <c r="Q46" s="319"/>
      <c r="R46" s="319"/>
      <c r="S46" s="319"/>
      <c r="T46" s="319"/>
      <c r="U46" s="319"/>
      <c r="V46" s="319"/>
      <c r="W46" s="319"/>
    </row>
    <row r="47" spans="1:23" x14ac:dyDescent="0.3">
      <c r="A47" s="9"/>
      <c r="B47" s="9"/>
      <c r="C47" s="9"/>
      <c r="D47" s="319"/>
      <c r="E47" s="319"/>
      <c r="F47" s="319"/>
      <c r="G47" s="319"/>
      <c r="H47" s="319"/>
      <c r="I47" s="319"/>
      <c r="J47" s="319"/>
      <c r="K47" s="319"/>
      <c r="L47" s="319"/>
      <c r="M47" s="319"/>
      <c r="N47" s="319"/>
      <c r="O47" s="319"/>
      <c r="P47" s="319"/>
      <c r="Q47" s="319"/>
      <c r="R47" s="319"/>
      <c r="S47" s="319"/>
      <c r="T47" s="319"/>
      <c r="U47" s="319"/>
      <c r="V47" s="319"/>
      <c r="W47" s="319"/>
    </row>
    <row r="48" spans="1:23" x14ac:dyDescent="0.3">
      <c r="A48" s="9"/>
      <c r="B48" s="9"/>
      <c r="C48" s="9"/>
      <c r="D48" s="319"/>
      <c r="E48" s="319"/>
      <c r="F48" s="319"/>
      <c r="G48" s="319"/>
      <c r="H48" s="319"/>
      <c r="I48" s="319"/>
      <c r="J48" s="319"/>
      <c r="K48" s="319"/>
      <c r="L48" s="319"/>
      <c r="M48" s="319"/>
      <c r="N48" s="319"/>
      <c r="O48" s="319"/>
      <c r="P48" s="319"/>
      <c r="Q48" s="319"/>
      <c r="R48" s="319"/>
      <c r="S48" s="319"/>
      <c r="T48" s="319"/>
      <c r="U48" s="319"/>
      <c r="V48" s="319"/>
      <c r="W48" s="319"/>
    </row>
    <row r="49" spans="1:23" x14ac:dyDescent="0.3">
      <c r="A49" s="9"/>
      <c r="B49" s="9"/>
      <c r="C49" s="9"/>
      <c r="D49" s="319"/>
      <c r="E49" s="319"/>
      <c r="F49" s="319"/>
      <c r="G49" s="319"/>
      <c r="H49" s="319"/>
      <c r="I49" s="319"/>
      <c r="J49" s="319"/>
      <c r="K49" s="319"/>
      <c r="L49" s="319"/>
      <c r="M49" s="319"/>
      <c r="N49" s="319"/>
      <c r="O49" s="319"/>
      <c r="P49" s="319"/>
      <c r="Q49" s="319"/>
      <c r="R49" s="319"/>
      <c r="S49" s="319"/>
      <c r="T49" s="319"/>
      <c r="U49" s="319"/>
      <c r="V49" s="319"/>
      <c r="W49" s="319"/>
    </row>
    <row r="50" spans="1:23" x14ac:dyDescent="0.3">
      <c r="A50" s="9"/>
      <c r="B50" s="9"/>
      <c r="C50" s="9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</row>
    <row r="51" spans="1:23" x14ac:dyDescent="0.3">
      <c r="A51" s="9"/>
      <c r="B51" s="9"/>
      <c r="C51" s="9"/>
      <c r="D51" s="319"/>
      <c r="E51" s="319"/>
      <c r="F51" s="319"/>
      <c r="G51" s="319"/>
      <c r="H51" s="319"/>
      <c r="I51" s="319"/>
      <c r="J51" s="319"/>
      <c r="K51" s="319"/>
      <c r="L51" s="319"/>
      <c r="M51" s="319"/>
      <c r="N51" s="319"/>
      <c r="O51" s="319"/>
      <c r="P51" s="319"/>
      <c r="Q51" s="319"/>
      <c r="R51" s="319"/>
      <c r="S51" s="319"/>
      <c r="T51" s="319"/>
      <c r="U51" s="319"/>
      <c r="V51" s="319"/>
      <c r="W51" s="319"/>
    </row>
    <row r="52" spans="1:23" x14ac:dyDescent="0.3">
      <c r="A52" s="9"/>
      <c r="B52" s="9"/>
      <c r="C52" s="9"/>
      <c r="D52" s="319"/>
      <c r="E52" s="319"/>
      <c r="F52" s="319"/>
      <c r="G52" s="319"/>
      <c r="H52" s="319"/>
      <c r="I52" s="319"/>
      <c r="J52" s="319"/>
      <c r="K52" s="319"/>
      <c r="L52" s="319"/>
      <c r="M52" s="319"/>
      <c r="N52" s="319"/>
      <c r="O52" s="319"/>
      <c r="P52" s="319"/>
      <c r="Q52" s="319"/>
      <c r="R52" s="319"/>
      <c r="S52" s="319"/>
      <c r="T52" s="319"/>
      <c r="U52" s="319"/>
      <c r="V52" s="319"/>
      <c r="W52" s="319"/>
    </row>
    <row r="53" spans="1:23" x14ac:dyDescent="0.3">
      <c r="A53" s="9"/>
      <c r="B53" s="9"/>
      <c r="C53" s="9"/>
      <c r="D53" s="319"/>
      <c r="E53" s="319"/>
      <c r="F53" s="319"/>
      <c r="G53" s="319"/>
      <c r="H53" s="319"/>
      <c r="I53" s="319"/>
      <c r="J53" s="319"/>
      <c r="K53" s="319"/>
      <c r="L53" s="319"/>
      <c r="M53" s="319"/>
      <c r="N53" s="319"/>
      <c r="O53" s="319"/>
      <c r="P53" s="319"/>
      <c r="Q53" s="319"/>
      <c r="R53" s="319"/>
      <c r="S53" s="319"/>
      <c r="T53" s="319"/>
      <c r="U53" s="319"/>
      <c r="V53" s="319"/>
      <c r="W53" s="319"/>
    </row>
    <row r="54" spans="1:23" x14ac:dyDescent="0.3">
      <c r="A54" s="9"/>
      <c r="B54" s="9"/>
      <c r="C54" s="9"/>
      <c r="D54" s="319"/>
      <c r="E54" s="319"/>
      <c r="F54" s="319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319"/>
    </row>
    <row r="55" spans="1:23" x14ac:dyDescent="0.3">
      <c r="A55" s="9"/>
      <c r="B55" s="9"/>
      <c r="C55" s="9"/>
      <c r="D55" s="319"/>
      <c r="E55" s="319"/>
      <c r="F55" s="319"/>
      <c r="G55" s="319"/>
      <c r="H55" s="319"/>
      <c r="I55" s="319"/>
      <c r="J55" s="319"/>
      <c r="K55" s="319"/>
      <c r="L55" s="319"/>
      <c r="M55" s="319"/>
      <c r="N55" s="319"/>
      <c r="O55" s="319"/>
      <c r="P55" s="319"/>
      <c r="Q55" s="319"/>
      <c r="R55" s="319"/>
      <c r="S55" s="319"/>
      <c r="T55" s="319"/>
      <c r="U55" s="319"/>
      <c r="V55" s="319"/>
      <c r="W55" s="319"/>
    </row>
    <row r="56" spans="1:23" x14ac:dyDescent="0.3">
      <c r="A56" s="9"/>
      <c r="B56" s="9"/>
      <c r="C56" s="9"/>
      <c r="D56" s="319"/>
      <c r="E56" s="319"/>
      <c r="F56" s="319"/>
      <c r="G56" s="319"/>
      <c r="H56" s="319"/>
      <c r="I56" s="319"/>
      <c r="J56" s="319"/>
      <c r="K56" s="319"/>
      <c r="L56" s="319"/>
      <c r="M56" s="319"/>
      <c r="N56" s="319"/>
      <c r="O56" s="319"/>
      <c r="P56" s="319"/>
      <c r="Q56" s="319"/>
      <c r="R56" s="319"/>
      <c r="S56" s="319"/>
      <c r="T56" s="319"/>
      <c r="U56" s="319"/>
      <c r="V56" s="319"/>
      <c r="W56" s="319"/>
    </row>
    <row r="57" spans="1:23" x14ac:dyDescent="0.3">
      <c r="A57" s="9"/>
      <c r="B57" s="9"/>
      <c r="C57" s="9"/>
      <c r="D57" s="319"/>
      <c r="E57" s="319"/>
      <c r="F57" s="319"/>
      <c r="G57" s="319"/>
      <c r="H57" s="319"/>
      <c r="I57" s="319"/>
      <c r="J57" s="319"/>
      <c r="K57" s="319"/>
      <c r="L57" s="319"/>
      <c r="M57" s="319"/>
      <c r="N57" s="319"/>
      <c r="O57" s="319"/>
      <c r="P57" s="319"/>
      <c r="Q57" s="319"/>
      <c r="R57" s="319"/>
      <c r="S57" s="319"/>
      <c r="T57" s="319"/>
      <c r="U57" s="319"/>
      <c r="V57" s="319"/>
      <c r="W57" s="319"/>
    </row>
    <row r="58" spans="1:23" x14ac:dyDescent="0.3">
      <c r="D58" s="229"/>
      <c r="E58" s="229"/>
      <c r="F58" s="230"/>
      <c r="G58" s="230"/>
      <c r="H58" s="230"/>
      <c r="I58" s="230"/>
      <c r="J58" s="230"/>
      <c r="K58" s="230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x14ac:dyDescent="0.3">
      <c r="A59" s="223" t="s">
        <v>695</v>
      </c>
      <c r="D59" s="229"/>
      <c r="E59" s="229"/>
      <c r="F59" s="230"/>
      <c r="G59" s="230"/>
      <c r="H59" s="230"/>
      <c r="I59" s="230"/>
      <c r="J59" s="230"/>
      <c r="K59" s="230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x14ac:dyDescent="0.3">
      <c r="A60" s="9"/>
      <c r="B60" s="9"/>
      <c r="C60" s="9"/>
      <c r="D60" s="366" t="s">
        <v>363</v>
      </c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  <c r="S60" s="366"/>
      <c r="T60" s="366"/>
      <c r="U60" s="366"/>
      <c r="V60" s="366"/>
      <c r="W60" s="366"/>
    </row>
    <row r="61" spans="1:23" ht="15" customHeight="1" x14ac:dyDescent="0.3">
      <c r="A61" s="9"/>
      <c r="B61" s="9"/>
      <c r="C61" s="9"/>
      <c r="D61" s="367" t="s">
        <v>628</v>
      </c>
      <c r="E61" s="367"/>
      <c r="F61" s="368" t="s">
        <v>693</v>
      </c>
      <c r="G61" s="368"/>
      <c r="H61" s="368"/>
      <c r="I61" s="368"/>
      <c r="J61" s="368"/>
      <c r="K61" s="368"/>
      <c r="L61" s="368" t="s">
        <v>364</v>
      </c>
      <c r="M61" s="368"/>
      <c r="N61" s="368"/>
      <c r="O61" s="368"/>
      <c r="P61" s="368"/>
      <c r="Q61" s="368"/>
      <c r="R61" s="367" t="s">
        <v>694</v>
      </c>
      <c r="S61" s="367"/>
      <c r="T61" s="367"/>
      <c r="U61" s="367"/>
      <c r="V61" s="367"/>
      <c r="W61" s="367"/>
    </row>
    <row r="62" spans="1:23" x14ac:dyDescent="0.3">
      <c r="A62" s="9"/>
      <c r="B62" s="9"/>
      <c r="C62" s="9"/>
      <c r="D62" s="367"/>
      <c r="E62" s="367"/>
      <c r="F62" s="368"/>
      <c r="G62" s="368"/>
      <c r="H62" s="368"/>
      <c r="I62" s="368"/>
      <c r="J62" s="368"/>
      <c r="K62" s="368"/>
      <c r="L62" s="368"/>
      <c r="M62" s="368"/>
      <c r="N62" s="368"/>
      <c r="O62" s="368"/>
      <c r="P62" s="368"/>
      <c r="Q62" s="368"/>
      <c r="R62" s="367"/>
      <c r="S62" s="367"/>
      <c r="T62" s="367"/>
      <c r="U62" s="367"/>
      <c r="V62" s="367"/>
      <c r="W62" s="367"/>
    </row>
    <row r="63" spans="1:23" x14ac:dyDescent="0.3">
      <c r="A63" s="9"/>
      <c r="B63" s="9"/>
      <c r="C63" s="9"/>
      <c r="D63" s="369" t="str">
        <f>Calibración!G37</f>
        <v>kPa</v>
      </c>
      <c r="E63" s="369"/>
      <c r="F63" s="370" t="str">
        <f>Calibración!H37</f>
        <v>kPa</v>
      </c>
      <c r="G63" s="371"/>
      <c r="H63" s="371"/>
      <c r="I63" s="371"/>
      <c r="J63" s="371"/>
      <c r="K63" s="372"/>
      <c r="L63" s="369" t="str">
        <f>Calibración!I37</f>
        <v>kPa</v>
      </c>
      <c r="M63" s="369"/>
      <c r="N63" s="369"/>
      <c r="O63" s="369"/>
      <c r="P63" s="369"/>
      <c r="Q63" s="369"/>
      <c r="R63" s="369" t="str">
        <f>Calibración!J37</f>
        <v>kPa</v>
      </c>
      <c r="S63" s="369"/>
      <c r="T63" s="369"/>
      <c r="U63" s="369"/>
      <c r="V63" s="369"/>
      <c r="W63" s="369"/>
    </row>
    <row r="64" spans="1:23" x14ac:dyDescent="0.3">
      <c r="A64" s="9"/>
      <c r="B64" s="9"/>
      <c r="C64" s="9"/>
      <c r="D64" s="356">
        <f ca="1">Calibración!G38</f>
        <v>47.832014712757505</v>
      </c>
      <c r="E64" s="356"/>
      <c r="F64" s="357">
        <f ca="1">Calibración!H38</f>
        <v>48.263299000000004</v>
      </c>
      <c r="G64" s="358"/>
      <c r="H64" s="358"/>
      <c r="I64" s="358"/>
      <c r="J64" s="358"/>
      <c r="K64" s="359"/>
      <c r="L64" s="356">
        <f ca="1">Calibración!I38</f>
        <v>-0.43128428724249857</v>
      </c>
      <c r="M64" s="356"/>
      <c r="N64" s="356"/>
      <c r="O64" s="356"/>
      <c r="P64" s="356"/>
      <c r="Q64" s="356"/>
      <c r="R64" s="356">
        <f ca="1">Calibración!J38</f>
        <v>2.1680192900602293</v>
      </c>
      <c r="S64" s="356"/>
      <c r="T64" s="356"/>
      <c r="U64" s="356"/>
      <c r="V64" s="356"/>
      <c r="W64" s="356"/>
    </row>
    <row r="65" spans="1:23" x14ac:dyDescent="0.3">
      <c r="A65" s="9"/>
      <c r="B65" s="9"/>
      <c r="C65" s="9"/>
      <c r="D65" s="356">
        <f ca="1">Calibración!G39</f>
        <v>68.662248407923201</v>
      </c>
      <c r="E65" s="356"/>
      <c r="F65" s="357">
        <f ca="1">Calibración!H39</f>
        <v>68.947569999999999</v>
      </c>
      <c r="G65" s="358"/>
      <c r="H65" s="358"/>
      <c r="I65" s="358"/>
      <c r="J65" s="358"/>
      <c r="K65" s="359"/>
      <c r="L65" s="356">
        <f ca="1">Calibración!I39</f>
        <v>-0.28532159207679875</v>
      </c>
      <c r="M65" s="356"/>
      <c r="N65" s="356"/>
      <c r="O65" s="356"/>
      <c r="P65" s="356"/>
      <c r="Q65" s="356"/>
      <c r="R65" s="356">
        <f ca="1">Calibración!J39</f>
        <v>2.0888525536836386</v>
      </c>
      <c r="S65" s="356"/>
      <c r="T65" s="356"/>
      <c r="U65" s="356"/>
      <c r="V65" s="356"/>
      <c r="W65" s="356"/>
    </row>
    <row r="66" spans="1:23" x14ac:dyDescent="0.3">
      <c r="A66" s="9"/>
      <c r="B66" s="9"/>
      <c r="C66" s="9"/>
      <c r="D66" s="356">
        <f ca="1">Calibración!G40</f>
        <v>123.70988832194672</v>
      </c>
      <c r="E66" s="356"/>
      <c r="F66" s="357">
        <f ca="1">Calibración!H40</f>
        <v>124.105626</v>
      </c>
      <c r="G66" s="358"/>
      <c r="H66" s="358"/>
      <c r="I66" s="358"/>
      <c r="J66" s="358"/>
      <c r="K66" s="359"/>
      <c r="L66" s="356">
        <f ca="1">Calibración!I40</f>
        <v>-0.39573767805327914</v>
      </c>
      <c r="M66" s="356"/>
      <c r="N66" s="356"/>
      <c r="O66" s="356"/>
      <c r="P66" s="356"/>
      <c r="Q66" s="356"/>
      <c r="R66" s="356">
        <f ca="1">Calibración!J40</f>
        <v>2.0800951472577189</v>
      </c>
      <c r="S66" s="356"/>
      <c r="T66" s="356"/>
      <c r="U66" s="356"/>
      <c r="V66" s="356"/>
      <c r="W66" s="356"/>
    </row>
    <row r="67" spans="1:23" x14ac:dyDescent="0.3">
      <c r="A67" s="9"/>
      <c r="B67" s="9"/>
      <c r="C67" s="9"/>
      <c r="D67" s="356">
        <f ca="1">Calibración!G41</f>
        <v>171.9864100869213</v>
      </c>
      <c r="E67" s="356"/>
      <c r="F67" s="357">
        <f ca="1">Calibración!H41</f>
        <v>172.36892500000002</v>
      </c>
      <c r="G67" s="358"/>
      <c r="H67" s="358"/>
      <c r="I67" s="358"/>
      <c r="J67" s="358"/>
      <c r="K67" s="359"/>
      <c r="L67" s="356">
        <f ca="1">Calibración!I41</f>
        <v>-0.38251491307869623</v>
      </c>
      <c r="M67" s="356"/>
      <c r="N67" s="356"/>
      <c r="O67" s="356"/>
      <c r="P67" s="356"/>
      <c r="Q67" s="356"/>
      <c r="R67" s="356">
        <f ca="1">Calibración!J41</f>
        <v>2.126524368279616</v>
      </c>
      <c r="S67" s="356"/>
      <c r="T67" s="356"/>
      <c r="U67" s="356"/>
      <c r="V67" s="356"/>
      <c r="W67" s="356"/>
    </row>
    <row r="68" spans="1:23" x14ac:dyDescent="0.3">
      <c r="A68" s="9"/>
      <c r="B68" s="9"/>
      <c r="C68" s="9"/>
      <c r="D68" s="356">
        <f ca="1">Calibración!G42</f>
        <v>240.73135007344825</v>
      </c>
      <c r="E68" s="356"/>
      <c r="F68" s="357">
        <f ca="1">Calibración!H42</f>
        <v>241.316495</v>
      </c>
      <c r="G68" s="358"/>
      <c r="H68" s="358"/>
      <c r="I68" s="358"/>
      <c r="J68" s="358"/>
      <c r="K68" s="359"/>
      <c r="L68" s="356">
        <f ca="1">Calibración!I42</f>
        <v>-0.5851449265517582</v>
      </c>
      <c r="M68" s="356"/>
      <c r="N68" s="356"/>
      <c r="O68" s="356"/>
      <c r="P68" s="356"/>
      <c r="Q68" s="356"/>
      <c r="R68" s="356">
        <f ca="1">Calibración!J42</f>
        <v>2.3002570256412356</v>
      </c>
      <c r="S68" s="356"/>
      <c r="T68" s="356"/>
      <c r="U68" s="356"/>
      <c r="V68" s="356"/>
      <c r="W68" s="356"/>
    </row>
    <row r="69" spans="1:23" x14ac:dyDescent="0.3">
      <c r="A69" s="9"/>
      <c r="B69" s="9"/>
      <c r="C69" s="9"/>
      <c r="D69" s="356">
        <f ca="1">Calibración!G43</f>
        <v>365.05143955836047</v>
      </c>
      <c r="E69" s="356"/>
      <c r="F69" s="357">
        <f ca="1">Calibración!H43</f>
        <v>365.422121</v>
      </c>
      <c r="G69" s="358"/>
      <c r="H69" s="358"/>
      <c r="I69" s="358"/>
      <c r="J69" s="358"/>
      <c r="K69" s="359"/>
      <c r="L69" s="356">
        <f ca="1">Calibración!I43</f>
        <v>-0.37068144163955946</v>
      </c>
      <c r="M69" s="356"/>
      <c r="N69" s="356"/>
      <c r="O69" s="356"/>
      <c r="P69" s="356"/>
      <c r="Q69" s="356"/>
      <c r="R69" s="356">
        <f ca="1">Calibración!J43</f>
        <v>2.1266848742471853</v>
      </c>
      <c r="S69" s="356"/>
      <c r="T69" s="356"/>
      <c r="U69" s="356"/>
      <c r="V69" s="356"/>
      <c r="W69" s="356"/>
    </row>
    <row r="70" spans="1:23" x14ac:dyDescent="0.3">
      <c r="A70" s="9"/>
      <c r="B70" s="9"/>
      <c r="C70" s="9"/>
      <c r="D70" s="356">
        <f ca="1">Calibración!G44</f>
        <v>482.18549407062346</v>
      </c>
      <c r="E70" s="356"/>
      <c r="F70" s="357">
        <f ca="1">Calibración!H44</f>
        <v>482.63299000000001</v>
      </c>
      <c r="G70" s="358"/>
      <c r="H70" s="358"/>
      <c r="I70" s="358"/>
      <c r="J70" s="358"/>
      <c r="K70" s="359"/>
      <c r="L70" s="356">
        <f ca="1">Calibración!I44</f>
        <v>-0.44749592937657368</v>
      </c>
      <c r="M70" s="356"/>
      <c r="N70" s="356"/>
      <c r="O70" s="356"/>
      <c r="P70" s="356"/>
      <c r="Q70" s="356"/>
      <c r="R70" s="356">
        <f ca="1">Calibración!J44</f>
        <v>2.0940380207279761</v>
      </c>
      <c r="S70" s="356"/>
      <c r="T70" s="356"/>
      <c r="U70" s="356"/>
      <c r="V70" s="356"/>
      <c r="W70" s="356"/>
    </row>
    <row r="71" spans="1:23" x14ac:dyDescent="0.3">
      <c r="A71" s="9"/>
      <c r="B71" s="9"/>
      <c r="C71" s="9"/>
      <c r="D71" s="356">
        <f ca="1">Calibración!G45</f>
        <v>1379.5235562385774</v>
      </c>
      <c r="E71" s="356"/>
      <c r="F71" s="357">
        <f ca="1">Calibración!H45</f>
        <v>1378.9514000000001</v>
      </c>
      <c r="G71" s="358"/>
      <c r="H71" s="358"/>
      <c r="I71" s="358"/>
      <c r="J71" s="358"/>
      <c r="K71" s="359"/>
      <c r="L71" s="356">
        <f ca="1">Calibración!I45</f>
        <v>0.57215623857731723</v>
      </c>
      <c r="M71" s="356"/>
      <c r="N71" s="356"/>
      <c r="O71" s="356"/>
      <c r="P71" s="356"/>
      <c r="Q71" s="356"/>
      <c r="R71" s="356">
        <f ca="1">Calibración!J45</f>
        <v>2.0858876411238176</v>
      </c>
      <c r="S71" s="356"/>
      <c r="T71" s="356"/>
      <c r="U71" s="356"/>
      <c r="V71" s="356"/>
      <c r="W71" s="356"/>
    </row>
    <row r="72" spans="1:23" x14ac:dyDescent="0.3">
      <c r="A72" s="9"/>
      <c r="B72" s="9"/>
      <c r="C72" s="9"/>
      <c r="D72" s="356" t="str">
        <f ca="1">Calibración!G46</f>
        <v/>
      </c>
      <c r="E72" s="356"/>
      <c r="F72" s="357" t="str">
        <f ca="1">Calibración!H46</f>
        <v/>
      </c>
      <c r="G72" s="358"/>
      <c r="H72" s="358"/>
      <c r="I72" s="358"/>
      <c r="J72" s="358"/>
      <c r="K72" s="359"/>
      <c r="L72" s="356" t="str">
        <f ca="1">Calibración!I46</f>
        <v/>
      </c>
      <c r="M72" s="356"/>
      <c r="N72" s="356"/>
      <c r="O72" s="356"/>
      <c r="P72" s="356"/>
      <c r="Q72" s="356"/>
      <c r="R72" s="356" t="str">
        <f ca="1">Calibración!J46</f>
        <v/>
      </c>
      <c r="S72" s="356"/>
      <c r="T72" s="356"/>
      <c r="U72" s="356"/>
      <c r="V72" s="356"/>
      <c r="W72" s="356"/>
    </row>
    <row r="73" spans="1:23" x14ac:dyDescent="0.3">
      <c r="A73" s="9"/>
      <c r="B73" s="9"/>
      <c r="C73" s="9"/>
      <c r="D73" s="356" t="str">
        <f ca="1">Calibración!G47</f>
        <v/>
      </c>
      <c r="E73" s="356"/>
      <c r="F73" s="357" t="str">
        <f ca="1">Calibración!H47</f>
        <v/>
      </c>
      <c r="G73" s="358"/>
      <c r="H73" s="358"/>
      <c r="I73" s="358"/>
      <c r="J73" s="358"/>
      <c r="K73" s="359"/>
      <c r="L73" s="356" t="str">
        <f ca="1">Calibración!I47</f>
        <v/>
      </c>
      <c r="M73" s="356"/>
      <c r="N73" s="356"/>
      <c r="O73" s="356"/>
      <c r="P73" s="356"/>
      <c r="Q73" s="356"/>
      <c r="R73" s="356" t="str">
        <f ca="1">Calibración!J47</f>
        <v/>
      </c>
      <c r="S73" s="356"/>
      <c r="T73" s="356"/>
      <c r="U73" s="356"/>
      <c r="V73" s="356"/>
      <c r="W73" s="356"/>
    </row>
    <row r="74" spans="1:23" x14ac:dyDescent="0.3">
      <c r="A74" s="9"/>
      <c r="B74" s="9"/>
      <c r="C74" s="9"/>
      <c r="D74" s="356" t="str">
        <f ca="1">Calibración!G48</f>
        <v/>
      </c>
      <c r="E74" s="356"/>
      <c r="F74" s="357" t="str">
        <f ca="1">Calibración!H48</f>
        <v/>
      </c>
      <c r="G74" s="358"/>
      <c r="H74" s="358"/>
      <c r="I74" s="358"/>
      <c r="J74" s="358"/>
      <c r="K74" s="359"/>
      <c r="L74" s="356" t="str">
        <f ca="1">Calibración!I48</f>
        <v/>
      </c>
      <c r="M74" s="356"/>
      <c r="N74" s="356"/>
      <c r="O74" s="356"/>
      <c r="P74" s="356"/>
      <c r="Q74" s="356"/>
      <c r="R74" s="356" t="str">
        <f ca="1">Calibración!J48</f>
        <v/>
      </c>
      <c r="S74" s="356"/>
      <c r="T74" s="356"/>
      <c r="U74" s="356"/>
      <c r="V74" s="356"/>
      <c r="W74" s="356"/>
    </row>
    <row r="75" spans="1:23" x14ac:dyDescent="0.3">
      <c r="A75" s="9"/>
      <c r="B75" s="9"/>
      <c r="C75" s="9"/>
      <c r="D75" s="356" t="str">
        <f ca="1">Calibración!G49</f>
        <v/>
      </c>
      <c r="E75" s="356"/>
      <c r="F75" s="357" t="str">
        <f ca="1">Calibración!H49</f>
        <v/>
      </c>
      <c r="G75" s="358"/>
      <c r="H75" s="358"/>
      <c r="I75" s="358"/>
      <c r="J75" s="358"/>
      <c r="K75" s="359"/>
      <c r="L75" s="356" t="str">
        <f ca="1">Calibración!I49</f>
        <v/>
      </c>
      <c r="M75" s="356"/>
      <c r="N75" s="356"/>
      <c r="O75" s="356"/>
      <c r="P75" s="356"/>
      <c r="Q75" s="356"/>
      <c r="R75" s="356" t="str">
        <f ca="1">Calibración!J49</f>
        <v/>
      </c>
      <c r="S75" s="356"/>
      <c r="T75" s="356"/>
      <c r="U75" s="356"/>
      <c r="V75" s="356"/>
      <c r="W75" s="356"/>
    </row>
    <row r="76" spans="1:23" x14ac:dyDescent="0.3">
      <c r="A76" s="9"/>
      <c r="B76" s="9"/>
      <c r="C76" s="9"/>
      <c r="D76" s="320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</row>
    <row r="77" spans="1:23" x14ac:dyDescent="0.3">
      <c r="A77" s="9"/>
      <c r="B77" s="9"/>
      <c r="C77" s="9"/>
      <c r="D77" s="320"/>
      <c r="E77" s="320"/>
      <c r="F77" s="320"/>
      <c r="G77" s="320"/>
      <c r="H77" s="320"/>
      <c r="I77" s="320"/>
      <c r="J77" s="320"/>
      <c r="K77" s="320"/>
      <c r="L77" s="320"/>
      <c r="M77" s="320"/>
      <c r="N77" s="320"/>
      <c r="O77" s="320"/>
      <c r="P77" s="320"/>
      <c r="Q77" s="320"/>
      <c r="R77" s="320"/>
      <c r="S77" s="320"/>
      <c r="T77" s="320"/>
      <c r="U77" s="320"/>
      <c r="V77" s="320"/>
      <c r="W77" s="320"/>
    </row>
    <row r="78" spans="1:23" x14ac:dyDescent="0.3">
      <c r="A78" s="9"/>
      <c r="B78" s="9"/>
      <c r="C78" s="9"/>
      <c r="D78" s="320"/>
      <c r="E78" s="320"/>
      <c r="F78" s="320"/>
      <c r="G78" s="320"/>
      <c r="H78" s="320"/>
      <c r="I78" s="320"/>
      <c r="J78" s="320"/>
      <c r="K78" s="320"/>
      <c r="L78" s="320"/>
      <c r="M78" s="320"/>
      <c r="N78" s="320"/>
      <c r="O78" s="320"/>
      <c r="P78" s="320"/>
      <c r="Q78" s="320"/>
      <c r="R78" s="320"/>
      <c r="S78" s="320"/>
      <c r="T78" s="320"/>
      <c r="U78" s="320"/>
      <c r="V78" s="320"/>
      <c r="W78" s="320"/>
    </row>
    <row r="79" spans="1:23" x14ac:dyDescent="0.3">
      <c r="A79" s="223" t="s">
        <v>696</v>
      </c>
      <c r="B79" s="9"/>
      <c r="C79" s="9"/>
      <c r="D79" s="9"/>
      <c r="E79" s="9"/>
      <c r="F79" s="232" t="s">
        <v>367</v>
      </c>
      <c r="H79" s="9"/>
      <c r="I79" s="9"/>
      <c r="J79" s="232" t="str">
        <f>General!I4</f>
        <v>NI-MCPPT-02</v>
      </c>
      <c r="L79" s="9"/>
      <c r="O79" s="223" t="s">
        <v>697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3"/>
      <c r="B80" s="380" t="s">
        <v>698</v>
      </c>
      <c r="C80" s="380"/>
      <c r="D80" s="380"/>
      <c r="E80" s="234">
        <f>CertTempC</f>
        <v>20.25</v>
      </c>
      <c r="F80" s="235" t="s">
        <v>699</v>
      </c>
      <c r="G80" s="236">
        <f>CertTempIncerti</f>
        <v>0.4</v>
      </c>
      <c r="H80" s="233" t="s">
        <v>365</v>
      </c>
      <c r="I80" s="9"/>
      <c r="J80" s="9"/>
      <c r="K80" s="363"/>
      <c r="L80" s="363"/>
      <c r="M80" s="9"/>
      <c r="N80" s="9"/>
      <c r="O80" s="9"/>
      <c r="P80" s="233" t="s">
        <v>733</v>
      </c>
      <c r="Q80" s="9"/>
      <c r="R80" s="9"/>
      <c r="S80" s="9"/>
      <c r="T80" s="381">
        <f>General!I18</f>
        <v>1001</v>
      </c>
      <c r="U80" s="381"/>
      <c r="V80" s="235" t="s">
        <v>700</v>
      </c>
      <c r="W80" s="234">
        <f>CertPresIncert</f>
        <v>2.4700000000000002</v>
      </c>
    </row>
    <row r="81" spans="1:25" x14ac:dyDescent="0.3">
      <c r="A81" s="233"/>
      <c r="B81" s="233" t="s">
        <v>701</v>
      </c>
      <c r="C81" s="233"/>
      <c r="D81" s="233"/>
      <c r="E81" s="234">
        <f>CertHR</f>
        <v>43.125</v>
      </c>
      <c r="F81" s="235" t="s">
        <v>702</v>
      </c>
      <c r="G81" s="236">
        <f>CertHRIncerti</f>
        <v>1.3</v>
      </c>
      <c r="H81" s="235" t="s">
        <v>703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1"/>
    </row>
    <row r="83" spans="1:25" x14ac:dyDescent="0.3">
      <c r="O83" s="231"/>
    </row>
    <row r="84" spans="1:25" x14ac:dyDescent="0.3">
      <c r="O84" s="231"/>
    </row>
    <row r="85" spans="1:25" x14ac:dyDescent="0.3">
      <c r="O85" s="231"/>
    </row>
    <row r="86" spans="1:25" x14ac:dyDescent="0.3">
      <c r="O86" s="231"/>
    </row>
    <row r="87" spans="1:25" x14ac:dyDescent="0.3">
      <c r="O87" s="231"/>
    </row>
    <row r="88" spans="1:25" x14ac:dyDescent="0.3">
      <c r="O88" s="231"/>
    </row>
    <row r="89" spans="1:25" x14ac:dyDescent="0.3">
      <c r="O89" s="231"/>
    </row>
    <row r="90" spans="1:25" x14ac:dyDescent="0.3">
      <c r="O90" s="231"/>
    </row>
    <row r="91" spans="1:25" x14ac:dyDescent="0.3">
      <c r="O91" s="231"/>
    </row>
    <row r="92" spans="1:25" x14ac:dyDescent="0.3">
      <c r="A92" s="223" t="s">
        <v>679</v>
      </c>
      <c r="B92" s="9"/>
      <c r="C92" s="224"/>
      <c r="D92" s="225"/>
      <c r="E92" s="225"/>
      <c r="F92" s="225"/>
      <c r="G92" s="9"/>
      <c r="H92" s="9"/>
      <c r="I92" s="9"/>
      <c r="J92" s="9"/>
      <c r="K92" s="9"/>
      <c r="L92" s="9"/>
      <c r="M92" s="9"/>
      <c r="N92" s="361" t="str">
        <f>N8</f>
        <v>NI-MC-P-XXX-ZZZZ</v>
      </c>
      <c r="O92" s="361"/>
      <c r="P92" s="361"/>
      <c r="Q92" s="361"/>
      <c r="R92" s="361"/>
      <c r="S92" s="361"/>
      <c r="T92" s="361"/>
      <c r="U92" s="361"/>
      <c r="V92" s="361"/>
      <c r="W92" s="361"/>
      <c r="X92" s="361"/>
    </row>
    <row r="93" spans="1:25" x14ac:dyDescent="0.3">
      <c r="O93" s="231"/>
    </row>
    <row r="94" spans="1:25" x14ac:dyDescent="0.3">
      <c r="X94" s="9"/>
      <c r="Y94" s="9"/>
    </row>
    <row r="95" spans="1:25" x14ac:dyDescent="0.3">
      <c r="A95" s="223" t="s">
        <v>704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73" t="s">
        <v>1123</v>
      </c>
      <c r="B96" s="373"/>
      <c r="C96" s="373"/>
      <c r="D96" s="373"/>
      <c r="E96" s="373"/>
      <c r="F96" s="373"/>
      <c r="G96" s="373"/>
      <c r="H96" s="373"/>
      <c r="I96" s="373"/>
      <c r="J96" s="373"/>
      <c r="K96" s="373"/>
      <c r="L96" s="373"/>
      <c r="M96" s="373"/>
      <c r="N96" s="373"/>
      <c r="O96" s="373"/>
      <c r="P96" s="373"/>
      <c r="Q96" s="373"/>
      <c r="R96" s="373"/>
      <c r="S96" s="373"/>
      <c r="T96" s="373"/>
      <c r="U96" s="373"/>
      <c r="V96" s="373"/>
      <c r="W96" s="373"/>
      <c r="X96" s="373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3" t="s">
        <v>705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73" t="s">
        <v>706</v>
      </c>
      <c r="B99" s="373"/>
      <c r="C99" s="373"/>
      <c r="D99" s="373"/>
      <c r="E99" s="373"/>
      <c r="F99" s="373"/>
      <c r="G99" s="373"/>
      <c r="H99" s="373"/>
      <c r="I99" s="373"/>
      <c r="J99" s="373"/>
      <c r="K99" s="373"/>
      <c r="L99" s="373"/>
      <c r="M99" s="373"/>
      <c r="N99" s="373"/>
      <c r="O99" s="373"/>
      <c r="P99" s="373"/>
      <c r="Q99" s="373"/>
      <c r="R99" s="373"/>
      <c r="S99" s="373"/>
      <c r="T99" s="373"/>
      <c r="U99" s="373"/>
      <c r="V99" s="373"/>
      <c r="W99" s="373"/>
      <c r="X99" s="373"/>
    </row>
    <row r="100" spans="1:24" ht="15" customHeight="1" x14ac:dyDescent="0.3">
      <c r="A100" s="373"/>
      <c r="B100" s="373"/>
      <c r="C100" s="373"/>
      <c r="D100" s="373"/>
      <c r="E100" s="373"/>
      <c r="F100" s="373"/>
      <c r="G100" s="373"/>
      <c r="H100" s="373"/>
      <c r="I100" s="373"/>
      <c r="J100" s="373"/>
      <c r="K100" s="373"/>
      <c r="L100" s="373"/>
      <c r="M100" s="373"/>
      <c r="N100" s="373"/>
      <c r="O100" s="373"/>
      <c r="P100" s="373"/>
      <c r="Q100" s="373"/>
      <c r="R100" s="373"/>
      <c r="S100" s="373"/>
      <c r="T100" s="373"/>
      <c r="U100" s="373"/>
      <c r="V100" s="373"/>
      <c r="W100" s="373"/>
      <c r="X100" s="373"/>
    </row>
    <row r="101" spans="1:24" ht="15" customHeight="1" x14ac:dyDescent="0.3">
      <c r="A101" s="373"/>
      <c r="B101" s="373"/>
      <c r="C101" s="373"/>
      <c r="D101" s="373"/>
      <c r="E101" s="373"/>
      <c r="F101" s="373"/>
      <c r="G101" s="373"/>
      <c r="H101" s="373"/>
      <c r="I101" s="373"/>
      <c r="J101" s="373"/>
      <c r="K101" s="373"/>
      <c r="L101" s="373"/>
      <c r="M101" s="373"/>
      <c r="N101" s="373"/>
      <c r="O101" s="373"/>
      <c r="P101" s="373"/>
      <c r="Q101" s="373"/>
      <c r="R101" s="373"/>
      <c r="S101" s="373"/>
      <c r="T101" s="373"/>
      <c r="U101" s="373"/>
      <c r="V101" s="373"/>
      <c r="W101" s="373"/>
      <c r="X101" s="373"/>
    </row>
    <row r="102" spans="1:24" x14ac:dyDescent="0.3">
      <c r="A102" s="373"/>
      <c r="B102" s="373"/>
      <c r="C102" s="373"/>
      <c r="D102" s="373"/>
      <c r="E102" s="373"/>
      <c r="F102" s="373"/>
      <c r="G102" s="373"/>
      <c r="H102" s="373"/>
      <c r="I102" s="373"/>
      <c r="J102" s="373"/>
      <c r="K102" s="373"/>
      <c r="L102" s="373"/>
      <c r="M102" s="373"/>
      <c r="N102" s="373"/>
      <c r="O102" s="373"/>
      <c r="P102" s="373"/>
      <c r="Q102" s="373"/>
      <c r="R102" s="373"/>
      <c r="S102" s="373"/>
      <c r="T102" s="373"/>
      <c r="U102" s="373"/>
      <c r="V102" s="373"/>
      <c r="W102" s="373"/>
      <c r="X102" s="373"/>
    </row>
    <row r="103" spans="1:24" x14ac:dyDescent="0.3">
      <c r="A103" s="373"/>
      <c r="B103" s="373"/>
      <c r="C103" s="373"/>
      <c r="D103" s="373"/>
      <c r="E103" s="373"/>
      <c r="F103" s="373"/>
      <c r="G103" s="373"/>
      <c r="H103" s="373"/>
      <c r="I103" s="373"/>
      <c r="J103" s="373"/>
      <c r="K103" s="373"/>
      <c r="L103" s="373"/>
      <c r="M103" s="373"/>
      <c r="N103" s="373"/>
      <c r="O103" s="373"/>
      <c r="P103" s="373"/>
      <c r="Q103" s="373"/>
      <c r="R103" s="373"/>
      <c r="S103" s="373"/>
      <c r="T103" s="373"/>
      <c r="U103" s="373"/>
      <c r="V103" s="373"/>
      <c r="W103" s="373"/>
      <c r="X103" s="373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3" t="s">
        <v>707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74" t="s">
        <v>366</v>
      </c>
      <c r="B106" s="375"/>
      <c r="C106" s="375"/>
      <c r="D106" s="375"/>
      <c r="E106" s="375"/>
      <c r="F106" s="376"/>
      <c r="G106" s="374" t="s">
        <v>4</v>
      </c>
      <c r="H106" s="375"/>
      <c r="I106" s="376"/>
      <c r="J106" s="377" t="s">
        <v>369</v>
      </c>
      <c r="K106" s="378"/>
      <c r="L106" s="378"/>
      <c r="M106" s="378"/>
      <c r="N106" s="379"/>
      <c r="O106" s="374" t="s">
        <v>708</v>
      </c>
      <c r="P106" s="375"/>
      <c r="Q106" s="375"/>
      <c r="R106" s="375"/>
      <c r="S106" s="375"/>
      <c r="T106" s="376"/>
      <c r="U106" s="377" t="s">
        <v>709</v>
      </c>
      <c r="V106" s="378"/>
      <c r="W106" s="378"/>
      <c r="X106" s="379"/>
    </row>
    <row r="107" spans="1:24" x14ac:dyDescent="0.3">
      <c r="A107" s="382"/>
      <c r="B107" s="383"/>
      <c r="C107" s="383"/>
      <c r="D107" s="383"/>
      <c r="E107" s="383"/>
      <c r="F107" s="384"/>
      <c r="G107" s="382"/>
      <c r="H107" s="383"/>
      <c r="I107" s="384"/>
      <c r="J107" s="385"/>
      <c r="K107" s="386"/>
      <c r="L107" s="386"/>
      <c r="M107" s="386"/>
      <c r="N107" s="387"/>
      <c r="O107" s="388"/>
      <c r="P107" s="389"/>
      <c r="Q107" s="389"/>
      <c r="R107" s="389"/>
      <c r="S107" s="389"/>
      <c r="T107" s="390"/>
      <c r="U107" s="385"/>
      <c r="V107" s="386"/>
      <c r="W107" s="386"/>
      <c r="X107" s="387"/>
    </row>
    <row r="108" spans="1:24" ht="15" customHeight="1" x14ac:dyDescent="0.3">
      <c r="A108" s="382"/>
      <c r="B108" s="383"/>
      <c r="C108" s="383"/>
      <c r="D108" s="383"/>
      <c r="E108" s="383"/>
      <c r="F108" s="384"/>
      <c r="G108" s="382"/>
      <c r="H108" s="383"/>
      <c r="I108" s="384"/>
      <c r="J108" s="385"/>
      <c r="K108" s="386"/>
      <c r="L108" s="386"/>
      <c r="M108" s="386"/>
      <c r="N108" s="387"/>
      <c r="O108" s="382"/>
      <c r="P108" s="383"/>
      <c r="Q108" s="383"/>
      <c r="R108" s="383"/>
      <c r="S108" s="383"/>
      <c r="T108" s="384"/>
      <c r="U108" s="385"/>
      <c r="V108" s="386"/>
      <c r="W108" s="386"/>
      <c r="X108" s="387"/>
    </row>
    <row r="109" spans="1:24" ht="15" customHeight="1" x14ac:dyDescent="0.3">
      <c r="A109" s="382"/>
      <c r="B109" s="383"/>
      <c r="C109" s="383"/>
      <c r="D109" s="383"/>
      <c r="E109" s="383"/>
      <c r="F109" s="384"/>
      <c r="G109" s="382"/>
      <c r="H109" s="383"/>
      <c r="I109" s="384"/>
      <c r="J109" s="385"/>
      <c r="K109" s="386"/>
      <c r="L109" s="386"/>
      <c r="M109" s="386"/>
      <c r="N109" s="387"/>
      <c r="O109" s="382"/>
      <c r="P109" s="383"/>
      <c r="Q109" s="383"/>
      <c r="R109" s="383"/>
      <c r="S109" s="383"/>
      <c r="T109" s="384"/>
      <c r="U109" s="385"/>
      <c r="V109" s="386"/>
      <c r="W109" s="386"/>
      <c r="X109" s="387"/>
    </row>
    <row r="110" spans="1:24" x14ac:dyDescent="0.3">
      <c r="A110" s="223" t="s">
        <v>710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38" t="s">
        <v>711</v>
      </c>
      <c r="B111" s="9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9"/>
    </row>
    <row r="112" spans="1:24" x14ac:dyDescent="0.3">
      <c r="A112" s="239" t="s">
        <v>767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373" t="str">
        <f>IF(Calibración!E10="2",Calibración!BJ6,Calibración!BJ7)</f>
        <v>La indicación de la presión de referencia y del equipo corresponden al promedio de 4 mediciones en 2 ciclos ascendentes y descendentes.</v>
      </c>
      <c r="B113" s="373"/>
      <c r="C113" s="373"/>
      <c r="D113" s="373"/>
      <c r="E113" s="373"/>
      <c r="F113" s="373"/>
      <c r="G113" s="373"/>
      <c r="H113" s="373"/>
      <c r="I113" s="373"/>
      <c r="J113" s="373"/>
      <c r="K113" s="373"/>
      <c r="L113" s="373"/>
      <c r="M113" s="373"/>
      <c r="N113" s="373"/>
      <c r="O113" s="373"/>
      <c r="P113" s="373"/>
      <c r="Q113" s="373"/>
      <c r="R113" s="373"/>
      <c r="S113" s="373"/>
      <c r="T113" s="373"/>
      <c r="U113" s="373"/>
      <c r="V113" s="373"/>
      <c r="W113" s="373"/>
      <c r="X113" s="373"/>
    </row>
    <row r="114" spans="1:25" ht="15" customHeight="1" x14ac:dyDescent="0.3">
      <c r="A114" s="373"/>
      <c r="B114" s="373"/>
      <c r="C114" s="373"/>
      <c r="D114" s="373"/>
      <c r="E114" s="373"/>
      <c r="F114" s="373"/>
      <c r="G114" s="373"/>
      <c r="H114" s="373"/>
      <c r="I114" s="373"/>
      <c r="J114" s="373"/>
      <c r="K114" s="373"/>
      <c r="L114" s="373"/>
      <c r="M114" s="373"/>
      <c r="N114" s="373"/>
      <c r="O114" s="373"/>
      <c r="P114" s="373"/>
      <c r="Q114" s="373"/>
      <c r="R114" s="373"/>
      <c r="S114" s="373"/>
      <c r="T114" s="373"/>
      <c r="U114" s="373"/>
      <c r="V114" s="373"/>
      <c r="W114" s="373"/>
      <c r="X114" s="373"/>
    </row>
    <row r="115" spans="1:25" ht="15" customHeight="1" x14ac:dyDescent="0.3">
      <c r="A115" s="238" t="s">
        <v>712</v>
      </c>
      <c r="B115" s="9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9"/>
    </row>
    <row r="116" spans="1:25" ht="15" customHeight="1" x14ac:dyDescent="0.3">
      <c r="A116" s="238" t="s">
        <v>713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x14ac:dyDescent="0.3">
      <c r="A117" s="9" t="s">
        <v>1106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1107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6"/>
      <c r="S119" s="16"/>
      <c r="T119" s="9"/>
      <c r="U119" s="9"/>
      <c r="V119" s="9"/>
      <c r="W119" s="9"/>
      <c r="X119" s="9"/>
    </row>
    <row r="120" spans="1:25" x14ac:dyDescent="0.3">
      <c r="A120" s="239" t="s">
        <v>769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16"/>
      <c r="U120" s="16"/>
      <c r="V120" s="16"/>
      <c r="W120" s="9"/>
      <c r="X120" s="9"/>
    </row>
    <row r="121" spans="1:25" x14ac:dyDescent="0.3">
      <c r="A121" s="23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3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5" spans="1:25" x14ac:dyDescent="0.3">
      <c r="I125" s="391" t="s">
        <v>31</v>
      </c>
      <c r="J125" s="391"/>
      <c r="K125" s="391"/>
      <c r="L125" s="391"/>
      <c r="M125" s="391"/>
      <c r="N125" s="391"/>
      <c r="O125" s="391"/>
      <c r="P125" s="391"/>
      <c r="Y125" s="9"/>
    </row>
    <row r="126" spans="1:25" x14ac:dyDescent="0.3">
      <c r="I126" s="392" t="str">
        <f>IF(I125=[5]Generales!$F$1,[5]Generales!$F$6,[5]Generales!$F$5)</f>
        <v>Director Técnico</v>
      </c>
      <c r="J126" s="392"/>
      <c r="K126" s="392"/>
      <c r="L126" s="392"/>
      <c r="M126" s="392"/>
      <c r="N126" s="392"/>
      <c r="O126" s="392"/>
      <c r="P126" s="392"/>
    </row>
    <row r="127" spans="1:25" x14ac:dyDescent="0.3">
      <c r="I127" s="393" t="s">
        <v>714</v>
      </c>
      <c r="J127" s="393"/>
      <c r="K127" s="393"/>
      <c r="L127" s="393"/>
      <c r="M127" s="393"/>
      <c r="N127" s="393"/>
      <c r="O127" s="393"/>
      <c r="P127" s="393"/>
    </row>
    <row r="128" spans="1:25" x14ac:dyDescent="0.3">
      <c r="I128" s="394" t="s">
        <v>715</v>
      </c>
      <c r="J128" s="394"/>
      <c r="K128" s="394"/>
      <c r="L128" s="394"/>
      <c r="M128" s="394"/>
      <c r="N128" s="394"/>
      <c r="O128" s="394"/>
      <c r="P128" s="394"/>
    </row>
  </sheetData>
  <mergeCells count="168">
    <mergeCell ref="I125:P125"/>
    <mergeCell ref="I126:P126"/>
    <mergeCell ref="I127:P127"/>
    <mergeCell ref="I128:P128"/>
    <mergeCell ref="A109:F109"/>
    <mergeCell ref="G109:I109"/>
    <mergeCell ref="J109:N109"/>
    <mergeCell ref="O109:T109"/>
    <mergeCell ref="U109:X109"/>
    <mergeCell ref="A113:X114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R63:W63"/>
    <mergeCell ref="D68:E68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D38:E38"/>
    <mergeCell ref="F38:K38"/>
    <mergeCell ref="L38:Q38"/>
    <mergeCell ref="R38:W38"/>
    <mergeCell ref="D39:E39"/>
    <mergeCell ref="F39:K39"/>
    <mergeCell ref="L39:Q39"/>
    <mergeCell ref="R39:W39"/>
    <mergeCell ref="D40:E40"/>
    <mergeCell ref="F40:K40"/>
    <mergeCell ref="L40:Q40"/>
    <mergeCell ref="R40:W40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74:E74"/>
    <mergeCell ref="F74:K74"/>
    <mergeCell ref="L74:Q74"/>
    <mergeCell ref="R74:W74"/>
    <mergeCell ref="D69:E69"/>
    <mergeCell ref="F69:K69"/>
    <mergeCell ref="L69:Q69"/>
    <mergeCell ref="R69:W69"/>
    <mergeCell ref="D70:E70"/>
    <mergeCell ref="F70:K70"/>
    <mergeCell ref="L70:Q70"/>
    <mergeCell ref="R70:W70"/>
    <mergeCell ref="D71:E71"/>
    <mergeCell ref="F71:K71"/>
    <mergeCell ref="L71:Q71"/>
    <mergeCell ref="R71:W71"/>
    <mergeCell ref="D37:E37"/>
    <mergeCell ref="F37:K37"/>
    <mergeCell ref="L37:Q37"/>
    <mergeCell ref="R37:W37"/>
    <mergeCell ref="D72:E72"/>
    <mergeCell ref="F72:K72"/>
    <mergeCell ref="L72:Q72"/>
    <mergeCell ref="R72:W72"/>
    <mergeCell ref="D73:E73"/>
    <mergeCell ref="F73:K73"/>
    <mergeCell ref="L73:Q73"/>
    <mergeCell ref="R73:W73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D41:E41"/>
    <mergeCell ref="F41:K41"/>
    <mergeCell ref="L41:Q41"/>
    <mergeCell ref="R41:W41"/>
    <mergeCell ref="D75:E75"/>
    <mergeCell ref="F75:K75"/>
    <mergeCell ref="L75:Q75"/>
    <mergeCell ref="R75:W75"/>
    <mergeCell ref="D33:E33"/>
    <mergeCell ref="F33:K33"/>
    <mergeCell ref="L33:Q33"/>
    <mergeCell ref="R33:W33"/>
    <mergeCell ref="D34:E34"/>
    <mergeCell ref="F34:K34"/>
    <mergeCell ref="L34:Q34"/>
    <mergeCell ref="R34:W34"/>
    <mergeCell ref="D35:E35"/>
    <mergeCell ref="F35:K35"/>
    <mergeCell ref="L35:Q35"/>
    <mergeCell ref="R35:W35"/>
    <mergeCell ref="D36:E36"/>
    <mergeCell ref="F36:K36"/>
    <mergeCell ref="L36:Q36"/>
    <mergeCell ref="R36:W36"/>
  </mergeCells>
  <conditionalFormatting sqref="A117">
    <cfRule type="cellIs" priority="1" operator="equal">
      <formula>$D$24</formula>
    </cfRule>
  </conditionalFormatting>
  <conditionalFormatting sqref="A118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I125:P125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zoomScaleNormal="40" zoomScaleSheetLayoutView="100" workbookViewId="0">
      <selection activeCell="L9" sqref="L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3" t="s">
        <v>679</v>
      </c>
      <c r="B8" s="224"/>
      <c r="C8" s="225"/>
      <c r="E8" s="225"/>
      <c r="F8" s="225"/>
      <c r="G8" s="226"/>
      <c r="H8" s="226"/>
      <c r="I8" s="226"/>
      <c r="J8" s="226"/>
      <c r="K8" s="226"/>
      <c r="L8" s="9"/>
      <c r="M8" s="9"/>
      <c r="N8" s="360" t="str">
        <f>General!F3</f>
        <v>NI-MC-P-XXX-ZZZZ</v>
      </c>
      <c r="O8" s="361"/>
      <c r="P8" s="361"/>
      <c r="Q8" s="361"/>
      <c r="R8" s="361"/>
      <c r="S8" s="361"/>
      <c r="T8" s="361"/>
      <c r="U8" s="361"/>
      <c r="V8" s="361"/>
      <c r="W8" s="361"/>
      <c r="X8" s="361"/>
    </row>
    <row r="9" spans="1:24" x14ac:dyDescent="0.3">
      <c r="A9" s="223" t="s">
        <v>680</v>
      </c>
      <c r="B9" s="224"/>
      <c r="C9" s="225"/>
      <c r="E9" s="225"/>
      <c r="F9" s="225"/>
      <c r="G9" s="226"/>
      <c r="H9" s="226"/>
      <c r="I9" s="226"/>
      <c r="J9" s="226"/>
      <c r="K9" s="226"/>
      <c r="L9" s="9"/>
      <c r="M9" s="9"/>
      <c r="N9" s="362" t="str">
        <f>General!F4</f>
        <v>NI-CS-XXXX-XX</v>
      </c>
      <c r="O9" s="363"/>
      <c r="P9" s="363"/>
      <c r="Q9" s="363"/>
      <c r="R9" s="363"/>
      <c r="S9" s="363"/>
      <c r="T9" s="363"/>
      <c r="U9" s="363"/>
      <c r="V9" s="363"/>
      <c r="W9" s="363"/>
      <c r="X9" s="363"/>
    </row>
    <row r="10" spans="1:24" x14ac:dyDescent="0.3">
      <c r="A10" s="223" t="s">
        <v>681</v>
      </c>
      <c r="B10" s="224"/>
      <c r="C10" s="224"/>
      <c r="E10" s="224"/>
      <c r="F10" s="224"/>
      <c r="G10" s="226"/>
      <c r="H10" s="226"/>
      <c r="I10" s="226"/>
      <c r="J10" s="226"/>
      <c r="K10" s="226"/>
      <c r="L10" s="227"/>
      <c r="M10" s="9"/>
      <c r="N10" s="364" t="str">
        <f>General!F5</f>
        <v>2019-03-06</v>
      </c>
      <c r="O10" s="364"/>
      <c r="P10" s="364"/>
      <c r="Q10" s="364"/>
      <c r="R10" s="364"/>
      <c r="S10" s="364"/>
      <c r="T10" s="364"/>
      <c r="U10" s="364"/>
      <c r="V10" s="364"/>
      <c r="W10" s="364"/>
      <c r="X10" s="364"/>
    </row>
    <row r="11" spans="1:24" x14ac:dyDescent="0.3">
      <c r="A11" s="223" t="s">
        <v>1108</v>
      </c>
      <c r="B11" s="224"/>
      <c r="C11" s="224"/>
      <c r="E11" s="224"/>
      <c r="F11" s="224"/>
      <c r="G11" s="226"/>
      <c r="H11" s="226"/>
      <c r="I11" s="226"/>
      <c r="J11" s="226"/>
      <c r="K11" s="226"/>
      <c r="L11" s="227"/>
      <c r="M11" s="9"/>
      <c r="N11" s="364">
        <f ca="1">NOW()</f>
        <v>45735.950672569445</v>
      </c>
      <c r="O11" s="364"/>
      <c r="P11" s="364"/>
      <c r="Q11" s="364"/>
      <c r="R11" s="294"/>
      <c r="S11" s="294"/>
      <c r="T11" s="294"/>
      <c r="U11" s="294"/>
      <c r="V11" s="294"/>
      <c r="W11" s="294"/>
      <c r="X11" s="294"/>
    </row>
    <row r="12" spans="1:24" x14ac:dyDescent="0.3">
      <c r="A12" s="223" t="s">
        <v>682</v>
      </c>
      <c r="B12" s="224"/>
      <c r="C12" s="224"/>
      <c r="E12" s="224"/>
      <c r="F12" s="224"/>
      <c r="G12" s="226"/>
      <c r="H12" s="226"/>
      <c r="I12" s="226"/>
      <c r="J12" s="226"/>
      <c r="K12" s="226"/>
      <c r="L12" s="9"/>
      <c r="M12" s="9"/>
      <c r="N12" s="362" t="str">
        <f>General!F7</f>
        <v xml:space="preserve">Manómetro </v>
      </c>
      <c r="O12" s="363"/>
      <c r="P12" s="363"/>
      <c r="Q12" s="363"/>
      <c r="R12" s="363"/>
      <c r="S12" s="363"/>
      <c r="T12" s="363"/>
      <c r="U12" s="363"/>
      <c r="V12" s="363"/>
      <c r="W12" s="363"/>
      <c r="X12" s="363"/>
    </row>
    <row r="13" spans="1:24" x14ac:dyDescent="0.3">
      <c r="A13" s="223" t="s">
        <v>683</v>
      </c>
      <c r="B13" s="224"/>
      <c r="C13" s="224"/>
      <c r="E13" s="224"/>
      <c r="F13" s="224"/>
      <c r="G13" s="226"/>
      <c r="H13" s="226"/>
      <c r="I13" s="226"/>
      <c r="J13" s="226"/>
      <c r="K13" s="226"/>
      <c r="L13" s="9"/>
      <c r="M13" s="9"/>
      <c r="N13" s="362" t="str">
        <f>General!F10</f>
        <v>Wika</v>
      </c>
      <c r="O13" s="363"/>
      <c r="P13" s="363"/>
      <c r="Q13" s="363"/>
      <c r="R13" s="363"/>
      <c r="S13" s="363"/>
      <c r="T13" s="363"/>
      <c r="U13" s="363"/>
      <c r="V13" s="363"/>
      <c r="W13" s="363"/>
      <c r="X13" s="363"/>
    </row>
    <row r="14" spans="1:24" x14ac:dyDescent="0.3">
      <c r="A14" s="223" t="s">
        <v>684</v>
      </c>
      <c r="B14" s="224"/>
      <c r="C14" s="224"/>
      <c r="E14" s="224"/>
      <c r="F14" s="224"/>
      <c r="G14" s="226"/>
      <c r="H14" s="226"/>
      <c r="I14" s="226"/>
      <c r="J14" s="226"/>
      <c r="K14" s="226"/>
      <c r="L14" s="9"/>
      <c r="M14" s="9"/>
      <c r="N14" s="362" t="str">
        <f>General!F12</f>
        <v>90271482-1-19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</row>
    <row r="15" spans="1:24" x14ac:dyDescent="0.3">
      <c r="A15" s="223" t="s">
        <v>685</v>
      </c>
      <c r="B15" s="224"/>
      <c r="C15" s="224"/>
      <c r="E15" s="224"/>
      <c r="F15" s="224"/>
      <c r="G15" s="226"/>
      <c r="H15" s="226"/>
      <c r="I15" s="226"/>
      <c r="J15" s="226"/>
      <c r="K15" s="226"/>
      <c r="L15" s="9"/>
      <c r="M15" s="9"/>
      <c r="N15" s="362" t="str">
        <f>General!F11</f>
        <v>No Aplica (N/A)</v>
      </c>
      <c r="O15" s="363"/>
      <c r="P15" s="363"/>
      <c r="Q15" s="363"/>
      <c r="R15" s="363"/>
      <c r="S15" s="363"/>
      <c r="T15" s="363"/>
      <c r="U15" s="363"/>
      <c r="V15" s="363"/>
      <c r="W15" s="363"/>
      <c r="X15" s="363"/>
    </row>
    <row r="16" spans="1:24" x14ac:dyDescent="0.3">
      <c r="A16" s="223" t="s">
        <v>686</v>
      </c>
      <c r="B16" s="224"/>
      <c r="C16" s="224"/>
      <c r="E16" s="224"/>
      <c r="F16" s="224"/>
      <c r="G16" s="226"/>
      <c r="H16" s="226"/>
      <c r="I16" s="226"/>
      <c r="J16" s="226"/>
      <c r="K16" s="226"/>
      <c r="L16" s="9"/>
      <c r="M16" s="9"/>
      <c r="N16" s="362" t="str">
        <f>General!F18</f>
        <v>0 kgf/cm² a 16 kgf/cm²</v>
      </c>
      <c r="O16" s="363"/>
      <c r="P16" s="363"/>
      <c r="Q16" s="363"/>
      <c r="R16" s="363"/>
      <c r="S16" s="363"/>
      <c r="T16" s="363"/>
      <c r="U16" s="363"/>
      <c r="V16" s="363"/>
      <c r="W16" s="363"/>
      <c r="X16" s="363"/>
    </row>
    <row r="17" spans="1:24" x14ac:dyDescent="0.3">
      <c r="A17" s="223" t="s">
        <v>687</v>
      </c>
      <c r="B17" s="224"/>
      <c r="C17" s="224"/>
      <c r="E17" s="224"/>
      <c r="F17" s="224"/>
      <c r="G17" s="226"/>
      <c r="H17" s="226"/>
      <c r="I17" s="226"/>
      <c r="J17" s="226"/>
      <c r="K17" s="226"/>
      <c r="L17" s="9"/>
      <c r="M17" s="9"/>
      <c r="N17" s="362" t="str">
        <f>General!F15</f>
        <v>0.5</v>
      </c>
      <c r="O17" s="363"/>
      <c r="P17" s="362" t="str">
        <f>General!F16</f>
        <v>psi</v>
      </c>
      <c r="Q17" s="363"/>
      <c r="R17" s="9"/>
      <c r="S17" s="9"/>
      <c r="T17" s="9"/>
      <c r="U17" s="9"/>
      <c r="V17" s="9"/>
      <c r="W17" s="9"/>
      <c r="X17" s="9"/>
    </row>
    <row r="18" spans="1:24" x14ac:dyDescent="0.3">
      <c r="A18" s="223" t="s">
        <v>688</v>
      </c>
      <c r="B18" s="224"/>
      <c r="C18" s="224"/>
      <c r="E18" s="224"/>
      <c r="F18" s="224"/>
      <c r="G18" s="226"/>
      <c r="H18" s="226"/>
      <c r="I18" s="226"/>
      <c r="J18" s="226"/>
      <c r="K18" s="226"/>
      <c r="L18" s="9"/>
      <c r="M18" s="9"/>
      <c r="N18" s="362" t="str">
        <f>General!F6</f>
        <v>MAN-A04</v>
      </c>
      <c r="O18" s="363"/>
      <c r="P18" s="363"/>
      <c r="Q18" s="363"/>
      <c r="R18" s="363"/>
      <c r="S18" s="363"/>
      <c r="T18" s="363"/>
      <c r="U18" s="363"/>
      <c r="V18" s="363"/>
      <c r="W18" s="363"/>
      <c r="X18" s="363"/>
    </row>
    <row r="19" spans="1:24" x14ac:dyDescent="0.3">
      <c r="A19" s="223" t="s">
        <v>689</v>
      </c>
      <c r="B19" s="224"/>
      <c r="C19" s="224"/>
      <c r="E19" s="224"/>
      <c r="F19" s="224"/>
      <c r="G19" s="226"/>
      <c r="H19" s="226"/>
      <c r="I19" s="226"/>
      <c r="J19" s="226"/>
      <c r="K19" s="226"/>
      <c r="L19" s="9"/>
      <c r="M19" s="9"/>
      <c r="N19" s="362" t="str">
        <f>General!L3</f>
        <v>Mechnikov, S.A.</v>
      </c>
      <c r="O19" s="363"/>
      <c r="P19" s="363"/>
      <c r="Q19" s="363"/>
      <c r="R19" s="363"/>
      <c r="S19" s="363"/>
      <c r="T19" s="363"/>
      <c r="U19" s="363"/>
      <c r="V19" s="363"/>
      <c r="W19" s="363"/>
      <c r="X19" s="363"/>
    </row>
    <row r="20" spans="1:24" x14ac:dyDescent="0.3">
      <c r="A20" s="228" t="s">
        <v>690</v>
      </c>
      <c r="C20" s="224"/>
      <c r="D20" s="224"/>
      <c r="E20" s="224"/>
      <c r="F20" s="224"/>
      <c r="G20" s="226"/>
      <c r="H20" s="226"/>
      <c r="I20" s="226"/>
      <c r="J20" s="226"/>
      <c r="K20" s="226"/>
      <c r="L20" s="11"/>
      <c r="M20" s="9"/>
      <c r="N20" s="363" t="str">
        <f>General!L4</f>
        <v/>
      </c>
      <c r="O20" s="363"/>
      <c r="P20" s="363"/>
      <c r="Q20" s="363"/>
      <c r="R20" s="363"/>
      <c r="S20" s="363"/>
      <c r="T20" s="363"/>
      <c r="U20" s="363"/>
      <c r="V20" s="363"/>
      <c r="W20" s="363"/>
      <c r="X20" s="363"/>
    </row>
    <row r="21" spans="1:24" x14ac:dyDescent="0.3">
      <c r="A21" s="223" t="s">
        <v>691</v>
      </c>
      <c r="C21" s="224"/>
      <c r="D21" s="224"/>
      <c r="E21" s="224"/>
      <c r="F21" s="224"/>
      <c r="G21" s="226"/>
      <c r="H21" s="226"/>
      <c r="I21" s="226"/>
      <c r="J21" s="226"/>
      <c r="K21" s="226"/>
      <c r="L21" s="9"/>
      <c r="M21" s="9"/>
      <c r="N21" s="365" t="str">
        <f>General!L6</f>
        <v>Laboratorio #2, Metrocal</v>
      </c>
      <c r="O21" s="365"/>
      <c r="P21" s="365"/>
      <c r="Q21" s="365"/>
      <c r="R21" s="365"/>
      <c r="S21" s="365"/>
      <c r="T21" s="365"/>
      <c r="U21" s="365"/>
      <c r="V21" s="365"/>
      <c r="W21" s="365"/>
      <c r="X21" s="365"/>
    </row>
    <row r="22" spans="1:24" x14ac:dyDescent="0.3">
      <c r="A22" s="223"/>
      <c r="N22" s="365"/>
      <c r="O22" s="365"/>
      <c r="P22" s="365"/>
      <c r="Q22" s="365"/>
      <c r="R22" s="365"/>
      <c r="S22" s="365"/>
      <c r="T22" s="365"/>
      <c r="U22" s="365"/>
      <c r="V22" s="365"/>
      <c r="W22" s="365"/>
      <c r="X22" s="365"/>
    </row>
    <row r="23" spans="1:24" x14ac:dyDescent="0.3">
      <c r="A23" s="223" t="s">
        <v>692</v>
      </c>
      <c r="C23" s="224"/>
      <c r="D23" s="224"/>
      <c r="E23" s="224"/>
      <c r="F23" s="224"/>
    </row>
    <row r="24" spans="1:24" x14ac:dyDescent="0.3">
      <c r="A24" s="9"/>
      <c r="B24" s="9"/>
      <c r="C24" s="9"/>
      <c r="D24" s="366" t="s">
        <v>363</v>
      </c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</row>
    <row r="25" spans="1:24" ht="15" customHeight="1" x14ac:dyDescent="0.3">
      <c r="A25" s="9"/>
      <c r="B25" s="9"/>
      <c r="C25" s="9"/>
      <c r="D25" s="367" t="s">
        <v>628</v>
      </c>
      <c r="E25" s="367"/>
      <c r="F25" s="368" t="s">
        <v>693</v>
      </c>
      <c r="G25" s="368"/>
      <c r="H25" s="368"/>
      <c r="I25" s="368"/>
      <c r="J25" s="368"/>
      <c r="K25" s="368"/>
      <c r="L25" s="368" t="s">
        <v>364</v>
      </c>
      <c r="M25" s="368"/>
      <c r="N25" s="368"/>
      <c r="O25" s="368"/>
      <c r="P25" s="368"/>
      <c r="Q25" s="368"/>
      <c r="R25" s="367" t="s">
        <v>694</v>
      </c>
      <c r="S25" s="367"/>
      <c r="T25" s="367"/>
      <c r="U25" s="367"/>
      <c r="V25" s="367"/>
      <c r="W25" s="367"/>
    </row>
    <row r="26" spans="1:24" ht="14.25" customHeight="1" x14ac:dyDescent="0.3">
      <c r="A26" s="9"/>
      <c r="B26" s="9"/>
      <c r="C26" s="9"/>
      <c r="D26" s="367"/>
      <c r="E26" s="367"/>
      <c r="F26" s="368"/>
      <c r="G26" s="368"/>
      <c r="H26" s="368"/>
      <c r="I26" s="368"/>
      <c r="J26" s="368"/>
      <c r="K26" s="368"/>
      <c r="L26" s="368"/>
      <c r="M26" s="368"/>
      <c r="N26" s="368"/>
      <c r="O26" s="368"/>
      <c r="P26" s="368"/>
      <c r="Q26" s="368"/>
      <c r="R26" s="367"/>
      <c r="S26" s="367"/>
      <c r="T26" s="367"/>
      <c r="U26" s="367"/>
      <c r="V26" s="367"/>
      <c r="W26" s="367"/>
    </row>
    <row r="27" spans="1:24" x14ac:dyDescent="0.3">
      <c r="A27" s="9"/>
      <c r="B27" s="9"/>
      <c r="C27" s="9"/>
      <c r="D27" s="369" t="str">
        <f>Calibración!C37</f>
        <v>psi</v>
      </c>
      <c r="E27" s="369"/>
      <c r="F27" s="370" t="str">
        <f>Calibración!D37</f>
        <v>psi</v>
      </c>
      <c r="G27" s="371"/>
      <c r="H27" s="371"/>
      <c r="I27" s="371"/>
      <c r="J27" s="371"/>
      <c r="K27" s="372"/>
      <c r="L27" s="370" t="str">
        <f>Calibración!E37</f>
        <v>psi</v>
      </c>
      <c r="M27" s="371"/>
      <c r="N27" s="371"/>
      <c r="O27" s="371"/>
      <c r="P27" s="371"/>
      <c r="Q27" s="372"/>
      <c r="R27" s="370" t="str">
        <f>Calibración!F37</f>
        <v>psi</v>
      </c>
      <c r="S27" s="371"/>
      <c r="T27" s="371"/>
      <c r="U27" s="371"/>
      <c r="V27" s="371"/>
      <c r="W27" s="372"/>
    </row>
    <row r="28" spans="1:24" x14ac:dyDescent="0.3">
      <c r="A28" s="9"/>
      <c r="B28" s="9"/>
      <c r="C28" s="9"/>
      <c r="D28" s="352">
        <f ca="1">Calibración!C38</f>
        <v>6.9374475000000002</v>
      </c>
      <c r="E28" s="352"/>
      <c r="F28" s="353">
        <f ca="1">Calibración!D38</f>
        <v>7</v>
      </c>
      <c r="G28" s="354"/>
      <c r="H28" s="354"/>
      <c r="I28" s="354"/>
      <c r="J28" s="354"/>
      <c r="K28" s="355"/>
      <c r="L28" s="353">
        <f ca="1">Calibración!E38</f>
        <v>-6.2552499999999789E-2</v>
      </c>
      <c r="M28" s="354"/>
      <c r="N28" s="354"/>
      <c r="O28" s="354"/>
      <c r="P28" s="354"/>
      <c r="Q28" s="355"/>
      <c r="R28" s="353">
        <f ca="1">Calibración!F38</f>
        <v>0.31444462655612504</v>
      </c>
      <c r="S28" s="354"/>
      <c r="T28" s="354"/>
      <c r="U28" s="354"/>
      <c r="V28" s="354"/>
      <c r="W28" s="355"/>
    </row>
    <row r="29" spans="1:24" x14ac:dyDescent="0.3">
      <c r="A29" s="9"/>
      <c r="B29" s="9"/>
      <c r="C29" s="9"/>
      <c r="D29" s="352">
        <f ca="1">Calibración!C39</f>
        <v>9.9586176000000002</v>
      </c>
      <c r="E29" s="352"/>
      <c r="F29" s="353">
        <f ca="1">Calibración!D39</f>
        <v>10</v>
      </c>
      <c r="G29" s="354"/>
      <c r="H29" s="354"/>
      <c r="I29" s="354"/>
      <c r="J29" s="354"/>
      <c r="K29" s="355"/>
      <c r="L29" s="353">
        <f ca="1">Calibración!E39</f>
        <v>-4.1382399999999819E-2</v>
      </c>
      <c r="M29" s="354"/>
      <c r="N29" s="354"/>
      <c r="O29" s="354"/>
      <c r="P29" s="354"/>
      <c r="Q29" s="355"/>
      <c r="R29" s="353">
        <f ca="1">Calibración!F39</f>
        <v>0.3029624617203534</v>
      </c>
      <c r="S29" s="354"/>
      <c r="T29" s="354"/>
      <c r="U29" s="354"/>
      <c r="V29" s="354"/>
      <c r="W29" s="355"/>
    </row>
    <row r="30" spans="1:24" x14ac:dyDescent="0.3">
      <c r="A30" s="9"/>
      <c r="B30" s="9"/>
      <c r="C30" s="9"/>
      <c r="D30" s="352">
        <f ca="1">Calibración!C40</f>
        <v>17.942603100000003</v>
      </c>
      <c r="E30" s="352"/>
      <c r="F30" s="353">
        <f ca="1">Calibración!D40</f>
        <v>18</v>
      </c>
      <c r="G30" s="354"/>
      <c r="H30" s="354"/>
      <c r="I30" s="354"/>
      <c r="J30" s="354"/>
      <c r="K30" s="355"/>
      <c r="L30" s="353">
        <f ca="1">Calibración!E40</f>
        <v>-5.7396899999996975E-2</v>
      </c>
      <c r="M30" s="354"/>
      <c r="N30" s="354"/>
      <c r="O30" s="354"/>
      <c r="P30" s="354"/>
      <c r="Q30" s="355"/>
      <c r="R30" s="353">
        <f ca="1">Calibración!F40</f>
        <v>0.30169230724994645</v>
      </c>
      <c r="S30" s="354"/>
      <c r="T30" s="354"/>
      <c r="U30" s="354"/>
      <c r="V30" s="354"/>
      <c r="W30" s="355"/>
    </row>
    <row r="31" spans="1:24" x14ac:dyDescent="0.3">
      <c r="A31" s="9"/>
      <c r="B31" s="9"/>
      <c r="C31" s="9"/>
      <c r="D31" s="352">
        <f ca="1">Calibración!C41</f>
        <v>24.944520900000001</v>
      </c>
      <c r="E31" s="352"/>
      <c r="F31" s="353">
        <f ca="1">Calibración!D41</f>
        <v>25</v>
      </c>
      <c r="G31" s="354"/>
      <c r="H31" s="354"/>
      <c r="I31" s="354"/>
      <c r="J31" s="354"/>
      <c r="K31" s="355"/>
      <c r="L31" s="353">
        <f ca="1">Calibración!E41</f>
        <v>-5.5479099999999448E-2</v>
      </c>
      <c r="M31" s="354"/>
      <c r="N31" s="354"/>
      <c r="O31" s="354"/>
      <c r="P31" s="354"/>
      <c r="Q31" s="355"/>
      <c r="R31" s="353">
        <f ca="1">Calibración!F41</f>
        <v>0.3084262967178707</v>
      </c>
      <c r="S31" s="354"/>
      <c r="T31" s="354"/>
      <c r="U31" s="354"/>
      <c r="V31" s="354"/>
      <c r="W31" s="355"/>
    </row>
    <row r="32" spans="1:24" x14ac:dyDescent="0.3">
      <c r="A32" s="9"/>
      <c r="B32" s="9"/>
      <c r="C32" s="9"/>
      <c r="D32" s="352">
        <f ca="1">Calibración!C42</f>
        <v>34.915131899999992</v>
      </c>
      <c r="E32" s="352"/>
      <c r="F32" s="353">
        <f ca="1">Calibración!D42</f>
        <v>35</v>
      </c>
      <c r="G32" s="354"/>
      <c r="H32" s="354"/>
      <c r="I32" s="354"/>
      <c r="J32" s="354"/>
      <c r="K32" s="355"/>
      <c r="L32" s="353">
        <f ca="1">Calibración!E42</f>
        <v>-8.486810000000844E-2</v>
      </c>
      <c r="M32" s="354"/>
      <c r="N32" s="354"/>
      <c r="O32" s="354"/>
      <c r="P32" s="354"/>
      <c r="Q32" s="355"/>
      <c r="R32" s="353">
        <f ca="1">Calibración!F42</f>
        <v>0.33362408938287968</v>
      </c>
      <c r="S32" s="354"/>
      <c r="T32" s="354"/>
      <c r="U32" s="354"/>
      <c r="V32" s="354"/>
      <c r="W32" s="355"/>
    </row>
    <row r="33" spans="1:23" x14ac:dyDescent="0.3">
      <c r="D33" s="229"/>
      <c r="E33" s="229"/>
      <c r="F33" s="230"/>
      <c r="G33" s="230"/>
      <c r="H33" s="230"/>
      <c r="I33" s="230"/>
      <c r="J33" s="230"/>
      <c r="K33" s="230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x14ac:dyDescent="0.3">
      <c r="A34" s="223" t="s">
        <v>695</v>
      </c>
      <c r="D34" s="229"/>
      <c r="E34" s="229"/>
      <c r="F34" s="230"/>
      <c r="G34" s="230"/>
      <c r="H34" s="230"/>
      <c r="I34" s="230"/>
      <c r="J34" s="230"/>
      <c r="K34" s="230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x14ac:dyDescent="0.3">
      <c r="A35" s="9"/>
      <c r="B35" s="9"/>
      <c r="C35" s="9"/>
      <c r="D35" s="366" t="s">
        <v>363</v>
      </c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6"/>
      <c r="U35" s="366"/>
      <c r="V35" s="366"/>
      <c r="W35" s="366"/>
    </row>
    <row r="36" spans="1:23" ht="15" customHeight="1" x14ac:dyDescent="0.3">
      <c r="A36" s="9"/>
      <c r="B36" s="9"/>
      <c r="C36" s="9"/>
      <c r="D36" s="367" t="s">
        <v>628</v>
      </c>
      <c r="E36" s="367"/>
      <c r="F36" s="368" t="s">
        <v>693</v>
      </c>
      <c r="G36" s="368"/>
      <c r="H36" s="368"/>
      <c r="I36" s="368"/>
      <c r="J36" s="368"/>
      <c r="K36" s="368"/>
      <c r="L36" s="368" t="s">
        <v>364</v>
      </c>
      <c r="M36" s="368"/>
      <c r="N36" s="368"/>
      <c r="O36" s="368"/>
      <c r="P36" s="368"/>
      <c r="Q36" s="368"/>
      <c r="R36" s="367" t="s">
        <v>694</v>
      </c>
      <c r="S36" s="367"/>
      <c r="T36" s="367"/>
      <c r="U36" s="367"/>
      <c r="V36" s="367"/>
      <c r="W36" s="367"/>
    </row>
    <row r="37" spans="1:23" x14ac:dyDescent="0.3">
      <c r="A37" s="9"/>
      <c r="B37" s="9"/>
      <c r="C37" s="9"/>
      <c r="D37" s="367"/>
      <c r="E37" s="367"/>
      <c r="F37" s="368"/>
      <c r="G37" s="368"/>
      <c r="H37" s="368"/>
      <c r="I37" s="368"/>
      <c r="J37" s="368"/>
      <c r="K37" s="368"/>
      <c r="L37" s="368"/>
      <c r="M37" s="368"/>
      <c r="N37" s="368"/>
      <c r="O37" s="368"/>
      <c r="P37" s="368"/>
      <c r="Q37" s="368"/>
      <c r="R37" s="367"/>
      <c r="S37" s="367"/>
      <c r="T37" s="367"/>
      <c r="U37" s="367"/>
      <c r="V37" s="367"/>
      <c r="W37" s="367"/>
    </row>
    <row r="38" spans="1:23" x14ac:dyDescent="0.3">
      <c r="A38" s="9"/>
      <c r="B38" s="9"/>
      <c r="C38" s="9"/>
      <c r="D38" s="369" t="str">
        <f>Calibración!G37</f>
        <v>kPa</v>
      </c>
      <c r="E38" s="369"/>
      <c r="F38" s="370" t="str">
        <f>Calibración!H37</f>
        <v>kPa</v>
      </c>
      <c r="G38" s="371"/>
      <c r="H38" s="371"/>
      <c r="I38" s="371"/>
      <c r="J38" s="371"/>
      <c r="K38" s="372"/>
      <c r="L38" s="369" t="str">
        <f>Calibración!I37</f>
        <v>kPa</v>
      </c>
      <c r="M38" s="369"/>
      <c r="N38" s="369"/>
      <c r="O38" s="369"/>
      <c r="P38" s="369"/>
      <c r="Q38" s="369"/>
      <c r="R38" s="369" t="str">
        <f>Calibración!J37</f>
        <v>kPa</v>
      </c>
      <c r="S38" s="369"/>
      <c r="T38" s="369"/>
      <c r="U38" s="369"/>
      <c r="V38" s="369"/>
      <c r="W38" s="369"/>
    </row>
    <row r="39" spans="1:23" x14ac:dyDescent="0.3">
      <c r="A39" s="9"/>
      <c r="B39" s="9"/>
      <c r="C39" s="9"/>
      <c r="D39" s="356">
        <f ca="1">Calibración!G38</f>
        <v>47.832014712757505</v>
      </c>
      <c r="E39" s="356"/>
      <c r="F39" s="357">
        <f ca="1">Calibración!H38</f>
        <v>48.263299000000004</v>
      </c>
      <c r="G39" s="358"/>
      <c r="H39" s="358"/>
      <c r="I39" s="358"/>
      <c r="J39" s="358"/>
      <c r="K39" s="359"/>
      <c r="L39" s="356">
        <f ca="1">Calibración!I38</f>
        <v>-0.43128428724249857</v>
      </c>
      <c r="M39" s="356"/>
      <c r="N39" s="356"/>
      <c r="O39" s="356"/>
      <c r="P39" s="356"/>
      <c r="Q39" s="356"/>
      <c r="R39" s="356">
        <f ca="1">Calibración!J38</f>
        <v>2.1680192900602293</v>
      </c>
      <c r="S39" s="356"/>
      <c r="T39" s="356"/>
      <c r="U39" s="356"/>
      <c r="V39" s="356"/>
      <c r="W39" s="356"/>
    </row>
    <row r="40" spans="1:23" x14ac:dyDescent="0.3">
      <c r="A40" s="9"/>
      <c r="B40" s="9"/>
      <c r="C40" s="9"/>
      <c r="D40" s="356">
        <f ca="1">Calibración!G39</f>
        <v>68.662248407923201</v>
      </c>
      <c r="E40" s="356"/>
      <c r="F40" s="357">
        <f ca="1">Calibración!H39</f>
        <v>68.947569999999999</v>
      </c>
      <c r="G40" s="358"/>
      <c r="H40" s="358"/>
      <c r="I40" s="358"/>
      <c r="J40" s="358"/>
      <c r="K40" s="359"/>
      <c r="L40" s="356">
        <f ca="1">Calibración!I39</f>
        <v>-0.28532159207679875</v>
      </c>
      <c r="M40" s="356"/>
      <c r="N40" s="356"/>
      <c r="O40" s="356"/>
      <c r="P40" s="356"/>
      <c r="Q40" s="356"/>
      <c r="R40" s="356">
        <f ca="1">Calibración!J39</f>
        <v>2.0888525536836386</v>
      </c>
      <c r="S40" s="356"/>
      <c r="T40" s="356"/>
      <c r="U40" s="356"/>
      <c r="V40" s="356"/>
      <c r="W40" s="356"/>
    </row>
    <row r="41" spans="1:23" x14ac:dyDescent="0.3">
      <c r="A41" s="9"/>
      <c r="B41" s="9"/>
      <c r="C41" s="9"/>
      <c r="D41" s="356">
        <f ca="1">Calibración!G40</f>
        <v>123.70988832194672</v>
      </c>
      <c r="E41" s="356"/>
      <c r="F41" s="357">
        <f ca="1">Calibración!H40</f>
        <v>124.105626</v>
      </c>
      <c r="G41" s="358"/>
      <c r="H41" s="358"/>
      <c r="I41" s="358"/>
      <c r="J41" s="358"/>
      <c r="K41" s="359"/>
      <c r="L41" s="356">
        <f ca="1">Calibración!I40</f>
        <v>-0.39573767805327914</v>
      </c>
      <c r="M41" s="356"/>
      <c r="N41" s="356"/>
      <c r="O41" s="356"/>
      <c r="P41" s="356"/>
      <c r="Q41" s="356"/>
      <c r="R41" s="356">
        <f ca="1">Calibración!J40</f>
        <v>2.0800951472577189</v>
      </c>
      <c r="S41" s="356"/>
      <c r="T41" s="356"/>
      <c r="U41" s="356"/>
      <c r="V41" s="356"/>
      <c r="W41" s="356"/>
    </row>
    <row r="42" spans="1:23" x14ac:dyDescent="0.3">
      <c r="A42" s="9"/>
      <c r="B42" s="9"/>
      <c r="C42" s="9"/>
      <c r="D42" s="356">
        <f ca="1">Calibración!G41</f>
        <v>171.9864100869213</v>
      </c>
      <c r="E42" s="356"/>
      <c r="F42" s="357">
        <f ca="1">Calibración!H41</f>
        <v>172.36892500000002</v>
      </c>
      <c r="G42" s="358"/>
      <c r="H42" s="358"/>
      <c r="I42" s="358"/>
      <c r="J42" s="358"/>
      <c r="K42" s="359"/>
      <c r="L42" s="356">
        <f ca="1">Calibración!I41</f>
        <v>-0.38251491307869623</v>
      </c>
      <c r="M42" s="356"/>
      <c r="N42" s="356"/>
      <c r="O42" s="356"/>
      <c r="P42" s="356"/>
      <c r="Q42" s="356"/>
      <c r="R42" s="356">
        <f ca="1">Calibración!J41</f>
        <v>2.126524368279616</v>
      </c>
      <c r="S42" s="356"/>
      <c r="T42" s="356"/>
      <c r="U42" s="356"/>
      <c r="V42" s="356"/>
      <c r="W42" s="356"/>
    </row>
    <row r="43" spans="1:23" x14ac:dyDescent="0.3">
      <c r="A43" s="9"/>
      <c r="B43" s="9"/>
      <c r="C43" s="9"/>
      <c r="D43" s="356">
        <f ca="1">Calibración!G42</f>
        <v>240.73135007344825</v>
      </c>
      <c r="E43" s="356"/>
      <c r="F43" s="357">
        <f ca="1">Calibración!H42</f>
        <v>241.316495</v>
      </c>
      <c r="G43" s="358"/>
      <c r="H43" s="358"/>
      <c r="I43" s="358"/>
      <c r="J43" s="358"/>
      <c r="K43" s="359"/>
      <c r="L43" s="356">
        <f ca="1">Calibración!I42</f>
        <v>-0.5851449265517582</v>
      </c>
      <c r="M43" s="356"/>
      <c r="N43" s="356"/>
      <c r="O43" s="356"/>
      <c r="P43" s="356"/>
      <c r="Q43" s="356"/>
      <c r="R43" s="356">
        <f ca="1">Calibración!J42</f>
        <v>2.3002570256412356</v>
      </c>
      <c r="S43" s="356"/>
      <c r="T43" s="356"/>
      <c r="U43" s="356"/>
      <c r="V43" s="356"/>
      <c r="W43" s="356"/>
    </row>
    <row r="44" spans="1:23" x14ac:dyDescent="0.3">
      <c r="O44" s="231"/>
    </row>
    <row r="45" spans="1:23" x14ac:dyDescent="0.3">
      <c r="A45" s="223" t="s">
        <v>696</v>
      </c>
      <c r="B45" s="9"/>
      <c r="C45" s="9"/>
      <c r="D45" s="9"/>
      <c r="E45" s="9"/>
      <c r="F45" s="232" t="s">
        <v>367</v>
      </c>
      <c r="H45" s="9"/>
      <c r="I45" s="9"/>
      <c r="J45" s="232" t="str">
        <f>General!I4</f>
        <v>NI-MCPPT-02</v>
      </c>
      <c r="L45" s="9"/>
      <c r="O45" s="223" t="s">
        <v>697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3"/>
      <c r="B46" s="380" t="s">
        <v>698</v>
      </c>
      <c r="C46" s="380"/>
      <c r="D46" s="380"/>
      <c r="E46" s="234">
        <f>CertTempC</f>
        <v>20.25</v>
      </c>
      <c r="F46" s="235" t="s">
        <v>699</v>
      </c>
      <c r="G46" s="236">
        <f>CertTempIncerti</f>
        <v>0.4</v>
      </c>
      <c r="H46" s="233" t="s">
        <v>365</v>
      </c>
      <c r="I46" s="9"/>
      <c r="J46" s="9"/>
      <c r="K46" s="363"/>
      <c r="L46" s="363"/>
      <c r="M46" s="9"/>
      <c r="N46" s="9"/>
      <c r="O46" s="9"/>
      <c r="P46" s="233" t="s">
        <v>733</v>
      </c>
      <c r="Q46" s="9"/>
      <c r="R46" s="9"/>
      <c r="S46" s="9"/>
      <c r="T46" s="381">
        <f>General!I18</f>
        <v>1001</v>
      </c>
      <c r="U46" s="381"/>
      <c r="V46" s="235" t="s">
        <v>700</v>
      </c>
      <c r="W46" s="234">
        <f>CertPresIncert</f>
        <v>2.4700000000000002</v>
      </c>
    </row>
    <row r="47" spans="1:23" x14ac:dyDescent="0.3">
      <c r="A47" s="233"/>
      <c r="B47" s="233" t="s">
        <v>701</v>
      </c>
      <c r="C47" s="233"/>
      <c r="D47" s="233"/>
      <c r="E47" s="234">
        <f>CertHR</f>
        <v>43.125</v>
      </c>
      <c r="F47" s="235" t="s">
        <v>702</v>
      </c>
      <c r="G47" s="236">
        <f>CertHRIncerti</f>
        <v>1.3</v>
      </c>
      <c r="H47" s="235" t="s">
        <v>703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1"/>
    </row>
    <row r="49" spans="1:25" x14ac:dyDescent="0.3">
      <c r="O49" s="231"/>
    </row>
    <row r="50" spans="1:25" x14ac:dyDescent="0.3">
      <c r="O50" s="231"/>
    </row>
    <row r="51" spans="1:25" x14ac:dyDescent="0.3">
      <c r="O51" s="231"/>
    </row>
    <row r="52" spans="1:25" x14ac:dyDescent="0.3">
      <c r="O52" s="231"/>
    </row>
    <row r="53" spans="1:25" x14ac:dyDescent="0.3">
      <c r="O53" s="231"/>
    </row>
    <row r="54" spans="1:25" x14ac:dyDescent="0.3">
      <c r="O54" s="231"/>
    </row>
    <row r="55" spans="1:25" x14ac:dyDescent="0.3">
      <c r="O55" s="231"/>
    </row>
    <row r="56" spans="1:25" x14ac:dyDescent="0.3">
      <c r="A56" s="223" t="s">
        <v>679</v>
      </c>
      <c r="B56" s="9"/>
      <c r="C56" s="224"/>
      <c r="D56" s="225"/>
      <c r="E56" s="225"/>
      <c r="F56" s="225"/>
      <c r="G56" s="9"/>
      <c r="H56" s="9"/>
      <c r="I56" s="9"/>
      <c r="J56" s="9"/>
      <c r="K56" s="9"/>
      <c r="L56" s="9"/>
      <c r="M56" s="9"/>
      <c r="N56" s="361" t="str">
        <f>N8</f>
        <v>NI-MC-P-XXX-ZZZZ</v>
      </c>
      <c r="O56" s="361"/>
      <c r="P56" s="361"/>
      <c r="Q56" s="361"/>
      <c r="R56" s="361"/>
      <c r="S56" s="361"/>
      <c r="T56" s="361"/>
      <c r="U56" s="361"/>
      <c r="V56" s="361"/>
      <c r="W56" s="361"/>
      <c r="X56" s="361"/>
    </row>
    <row r="57" spans="1:25" x14ac:dyDescent="0.3">
      <c r="O57" s="231"/>
    </row>
    <row r="58" spans="1:25" x14ac:dyDescent="0.3">
      <c r="X58" s="9"/>
      <c r="Y58" s="9"/>
    </row>
    <row r="59" spans="1:25" x14ac:dyDescent="0.3">
      <c r="A59" s="223" t="s">
        <v>704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73" t="s">
        <v>1123</v>
      </c>
      <c r="B60" s="373"/>
      <c r="C60" s="373"/>
      <c r="D60" s="373"/>
      <c r="E60" s="373"/>
      <c r="F60" s="373"/>
      <c r="G60" s="373"/>
      <c r="H60" s="373"/>
      <c r="I60" s="373"/>
      <c r="J60" s="373"/>
      <c r="K60" s="373"/>
      <c r="L60" s="373"/>
      <c r="M60" s="373"/>
      <c r="N60" s="373"/>
      <c r="O60" s="373"/>
      <c r="P60" s="373"/>
      <c r="Q60" s="373"/>
      <c r="R60" s="373"/>
      <c r="S60" s="373"/>
      <c r="T60" s="373"/>
      <c r="U60" s="373"/>
      <c r="V60" s="373"/>
      <c r="W60" s="373"/>
      <c r="X60" s="373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3" t="s">
        <v>705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73" t="s">
        <v>706</v>
      </c>
      <c r="B63" s="373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3"/>
      <c r="P63" s="373"/>
      <c r="Q63" s="373"/>
      <c r="R63" s="373"/>
      <c r="S63" s="373"/>
      <c r="T63" s="373"/>
      <c r="U63" s="373"/>
      <c r="V63" s="373"/>
      <c r="W63" s="373"/>
      <c r="X63" s="373"/>
    </row>
    <row r="64" spans="1:25" ht="15" customHeight="1" x14ac:dyDescent="0.3">
      <c r="A64" s="373"/>
      <c r="B64" s="373"/>
      <c r="C64" s="373"/>
      <c r="D64" s="373"/>
      <c r="E64" s="373"/>
      <c r="F64" s="373"/>
      <c r="G64" s="373"/>
      <c r="H64" s="373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</row>
    <row r="65" spans="1:24" ht="15" customHeight="1" x14ac:dyDescent="0.3">
      <c r="A65" s="373"/>
      <c r="B65" s="373"/>
      <c r="C65" s="373"/>
      <c r="D65" s="373"/>
      <c r="E65" s="373"/>
      <c r="F65" s="373"/>
      <c r="G65" s="373"/>
      <c r="H65" s="373"/>
      <c r="I65" s="373"/>
      <c r="J65" s="373"/>
      <c r="K65" s="373"/>
      <c r="L65" s="373"/>
      <c r="M65" s="373"/>
      <c r="N65" s="373"/>
      <c r="O65" s="373"/>
      <c r="P65" s="373"/>
      <c r="Q65" s="373"/>
      <c r="R65" s="373"/>
      <c r="S65" s="373"/>
      <c r="T65" s="373"/>
      <c r="U65" s="373"/>
      <c r="V65" s="373"/>
      <c r="W65" s="373"/>
      <c r="X65" s="373"/>
    </row>
    <row r="66" spans="1:24" x14ac:dyDescent="0.3">
      <c r="A66" s="373"/>
      <c r="B66" s="373"/>
      <c r="C66" s="373"/>
      <c r="D66" s="373"/>
      <c r="E66" s="373"/>
      <c r="F66" s="373"/>
      <c r="G66" s="373"/>
      <c r="H66" s="373"/>
      <c r="I66" s="373"/>
      <c r="J66" s="373"/>
      <c r="K66" s="373"/>
      <c r="L66" s="373"/>
      <c r="M66" s="373"/>
      <c r="N66" s="373"/>
      <c r="O66" s="373"/>
      <c r="P66" s="373"/>
      <c r="Q66" s="373"/>
      <c r="R66" s="373"/>
      <c r="S66" s="373"/>
      <c r="T66" s="373"/>
      <c r="U66" s="373"/>
      <c r="V66" s="373"/>
      <c r="W66" s="373"/>
      <c r="X66" s="373"/>
    </row>
    <row r="67" spans="1:24" x14ac:dyDescent="0.3">
      <c r="A67" s="373"/>
      <c r="B67" s="373"/>
      <c r="C67" s="373"/>
      <c r="D67" s="373"/>
      <c r="E67" s="373"/>
      <c r="F67" s="373"/>
      <c r="G67" s="373"/>
      <c r="H67" s="373"/>
      <c r="I67" s="373"/>
      <c r="J67" s="373"/>
      <c r="K67" s="373"/>
      <c r="L67" s="373"/>
      <c r="M67" s="373"/>
      <c r="N67" s="373"/>
      <c r="O67" s="373"/>
      <c r="P67" s="373"/>
      <c r="Q67" s="373"/>
      <c r="R67" s="373"/>
      <c r="S67" s="373"/>
      <c r="T67" s="373"/>
      <c r="U67" s="373"/>
      <c r="V67" s="373"/>
      <c r="W67" s="373"/>
      <c r="X67" s="373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3" t="s">
        <v>707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74" t="s">
        <v>366</v>
      </c>
      <c r="B70" s="375"/>
      <c r="C70" s="375"/>
      <c r="D70" s="375"/>
      <c r="E70" s="375"/>
      <c r="F70" s="376"/>
      <c r="G70" s="374" t="s">
        <v>4</v>
      </c>
      <c r="H70" s="375"/>
      <c r="I70" s="376"/>
      <c r="J70" s="377" t="s">
        <v>369</v>
      </c>
      <c r="K70" s="378"/>
      <c r="L70" s="378"/>
      <c r="M70" s="378"/>
      <c r="N70" s="379"/>
      <c r="O70" s="374" t="s">
        <v>708</v>
      </c>
      <c r="P70" s="375"/>
      <c r="Q70" s="375"/>
      <c r="R70" s="375"/>
      <c r="S70" s="375"/>
      <c r="T70" s="376"/>
      <c r="U70" s="377" t="s">
        <v>709</v>
      </c>
      <c r="V70" s="378"/>
      <c r="W70" s="378"/>
      <c r="X70" s="379"/>
    </row>
    <row r="71" spans="1:24" x14ac:dyDescent="0.3">
      <c r="A71" s="382"/>
      <c r="B71" s="383"/>
      <c r="C71" s="383"/>
      <c r="D71" s="383"/>
      <c r="E71" s="383"/>
      <c r="F71" s="384"/>
      <c r="G71" s="382"/>
      <c r="H71" s="383"/>
      <c r="I71" s="384"/>
      <c r="J71" s="385"/>
      <c r="K71" s="386"/>
      <c r="L71" s="386"/>
      <c r="M71" s="386"/>
      <c r="N71" s="387"/>
      <c r="O71" s="388"/>
      <c r="P71" s="389"/>
      <c r="Q71" s="389"/>
      <c r="R71" s="389"/>
      <c r="S71" s="389"/>
      <c r="T71" s="390"/>
      <c r="U71" s="385"/>
      <c r="V71" s="386"/>
      <c r="W71" s="386"/>
      <c r="X71" s="387"/>
    </row>
    <row r="72" spans="1:24" ht="15" customHeight="1" x14ac:dyDescent="0.3">
      <c r="A72" s="382"/>
      <c r="B72" s="383"/>
      <c r="C72" s="383"/>
      <c r="D72" s="383"/>
      <c r="E72" s="383"/>
      <c r="F72" s="384"/>
      <c r="G72" s="382"/>
      <c r="H72" s="383"/>
      <c r="I72" s="384"/>
      <c r="J72" s="385"/>
      <c r="K72" s="386"/>
      <c r="L72" s="386"/>
      <c r="M72" s="386"/>
      <c r="N72" s="387"/>
      <c r="O72" s="382"/>
      <c r="P72" s="383"/>
      <c r="Q72" s="383"/>
      <c r="R72" s="383"/>
      <c r="S72" s="383"/>
      <c r="T72" s="384"/>
      <c r="U72" s="385"/>
      <c r="V72" s="386"/>
      <c r="W72" s="386"/>
      <c r="X72" s="387"/>
    </row>
    <row r="73" spans="1:24" ht="15" customHeight="1" x14ac:dyDescent="0.3">
      <c r="A73" s="382"/>
      <c r="B73" s="383"/>
      <c r="C73" s="383"/>
      <c r="D73" s="383"/>
      <c r="E73" s="383"/>
      <c r="F73" s="384"/>
      <c r="G73" s="382"/>
      <c r="H73" s="383"/>
      <c r="I73" s="384"/>
      <c r="J73" s="385"/>
      <c r="K73" s="386"/>
      <c r="L73" s="386"/>
      <c r="M73" s="386"/>
      <c r="N73" s="387"/>
      <c r="O73" s="382"/>
      <c r="P73" s="383"/>
      <c r="Q73" s="383"/>
      <c r="R73" s="383"/>
      <c r="S73" s="383"/>
      <c r="T73" s="384"/>
      <c r="U73" s="385"/>
      <c r="V73" s="386"/>
      <c r="W73" s="386"/>
      <c r="X73" s="387"/>
    </row>
    <row r="74" spans="1:24" ht="15" customHeight="1" x14ac:dyDescent="0.3">
      <c r="A74" s="237"/>
      <c r="B74" s="237"/>
      <c r="C74" s="237"/>
      <c r="D74" s="237"/>
      <c r="E74" s="237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7"/>
      <c r="R74" s="237"/>
      <c r="S74" s="237"/>
      <c r="T74" s="237"/>
      <c r="U74" s="237"/>
      <c r="V74" s="237"/>
      <c r="W74" s="237"/>
      <c r="X74" s="237"/>
    </row>
    <row r="75" spans="1:24" x14ac:dyDescent="0.3">
      <c r="A75" s="223" t="s">
        <v>710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38" t="s">
        <v>711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39" t="s">
        <v>767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73" t="str">
        <f>IF(Calibración!E10="2",Calibración!BJ6,Calibración!BJ7)</f>
        <v>La indicación de la presión de referencia y del equipo corresponden al promedio de 4 mediciones en 2 ciclos ascendentes y descendentes.</v>
      </c>
      <c r="B78" s="373"/>
      <c r="C78" s="373"/>
      <c r="D78" s="373"/>
      <c r="E78" s="373"/>
      <c r="F78" s="373"/>
      <c r="G78" s="373"/>
      <c r="H78" s="373"/>
      <c r="I78" s="373"/>
      <c r="J78" s="373"/>
      <c r="K78" s="373"/>
      <c r="L78" s="373"/>
      <c r="M78" s="373"/>
      <c r="N78" s="373"/>
      <c r="O78" s="373"/>
      <c r="P78" s="373"/>
      <c r="Q78" s="373"/>
      <c r="R78" s="373"/>
      <c r="S78" s="373"/>
      <c r="T78" s="373"/>
      <c r="U78" s="373"/>
      <c r="V78" s="373"/>
      <c r="W78" s="373"/>
      <c r="X78" s="373"/>
    </row>
    <row r="79" spans="1:24" ht="15" customHeight="1" x14ac:dyDescent="0.3">
      <c r="A79" s="373"/>
      <c r="B79" s="373"/>
      <c r="C79" s="373"/>
      <c r="D79" s="373"/>
      <c r="E79" s="373"/>
      <c r="F79" s="373"/>
      <c r="G79" s="373"/>
      <c r="H79" s="373"/>
      <c r="I79" s="373"/>
      <c r="J79" s="373"/>
      <c r="K79" s="373"/>
      <c r="L79" s="373"/>
      <c r="M79" s="373"/>
      <c r="N79" s="373"/>
      <c r="O79" s="373"/>
      <c r="P79" s="373"/>
      <c r="Q79" s="373"/>
      <c r="R79" s="373"/>
      <c r="S79" s="373"/>
      <c r="T79" s="373"/>
      <c r="U79" s="373"/>
      <c r="V79" s="373"/>
      <c r="W79" s="373"/>
      <c r="X79" s="373"/>
    </row>
    <row r="80" spans="1:24" ht="15" customHeight="1" x14ac:dyDescent="0.3">
      <c r="A80" s="238" t="s">
        <v>712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38" t="s">
        <v>713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1106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1107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39" t="s">
        <v>769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91" t="s">
        <v>31</v>
      </c>
      <c r="J89" s="391"/>
      <c r="K89" s="391"/>
      <c r="L89" s="391"/>
      <c r="M89" s="391"/>
      <c r="N89" s="391"/>
      <c r="O89" s="391"/>
      <c r="P89" s="391"/>
      <c r="Y89" s="9"/>
    </row>
    <row r="90" spans="1:25" x14ac:dyDescent="0.3">
      <c r="I90" s="392" t="str">
        <f>IF(I89=[5]Generales!$F$1,[5]Generales!$F$6,[5]Generales!$F$5)</f>
        <v>Director Técnico</v>
      </c>
      <c r="J90" s="392"/>
      <c r="K90" s="392"/>
      <c r="L90" s="392"/>
      <c r="M90" s="392"/>
      <c r="N90" s="392"/>
      <c r="O90" s="392"/>
      <c r="P90" s="392"/>
    </row>
    <row r="91" spans="1:25" x14ac:dyDescent="0.3">
      <c r="I91" s="393" t="s">
        <v>714</v>
      </c>
      <c r="J91" s="393"/>
      <c r="K91" s="393"/>
      <c r="L91" s="393"/>
      <c r="M91" s="393"/>
      <c r="N91" s="393"/>
      <c r="O91" s="393"/>
      <c r="P91" s="393"/>
    </row>
    <row r="92" spans="1:25" x14ac:dyDescent="0.3">
      <c r="I92" s="394" t="s">
        <v>715</v>
      </c>
      <c r="J92" s="394"/>
      <c r="K92" s="394"/>
      <c r="L92" s="394"/>
      <c r="M92" s="394"/>
      <c r="N92" s="394"/>
      <c r="O92" s="394"/>
      <c r="P92" s="394"/>
    </row>
  </sheetData>
  <mergeCells count="104"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16" zoomScale="85" zoomScaleNormal="85" workbookViewId="0">
      <selection activeCell="N18" sqref="N18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396" t="s">
        <v>788</v>
      </c>
      <c r="C2" s="396"/>
      <c r="D2" s="396"/>
      <c r="E2" s="396"/>
      <c r="F2" s="396"/>
      <c r="G2" s="396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397" t="s">
        <v>789</v>
      </c>
      <c r="C4" s="397"/>
      <c r="D4" s="276"/>
      <c r="E4" s="276"/>
      <c r="F4" s="276"/>
      <c r="G4" s="276"/>
      <c r="I4" s="398" t="s">
        <v>790</v>
      </c>
      <c r="J4" s="398"/>
      <c r="K4" s="398" t="s">
        <v>791</v>
      </c>
      <c r="L4" s="398"/>
      <c r="N4" s="17" t="s">
        <v>792</v>
      </c>
      <c r="O4" s="17"/>
    </row>
    <row r="5" spans="2:34" ht="16.2" thickBot="1" x14ac:dyDescent="0.35">
      <c r="B5" s="277" t="s">
        <v>793</v>
      </c>
      <c r="C5" s="278" t="s">
        <v>794</v>
      </c>
      <c r="D5" s="399" t="s">
        <v>795</v>
      </c>
      <c r="E5" s="400"/>
      <c r="F5" s="400"/>
      <c r="G5" s="401"/>
      <c r="I5" s="279" t="s">
        <v>403</v>
      </c>
      <c r="J5" s="279" t="s">
        <v>404</v>
      </c>
      <c r="K5" s="279" t="s">
        <v>403</v>
      </c>
      <c r="L5" s="279" t="s">
        <v>404</v>
      </c>
      <c r="M5" s="279" t="s">
        <v>796</v>
      </c>
      <c r="N5" s="279" t="s">
        <v>797</v>
      </c>
      <c r="O5" s="279" t="s">
        <v>798</v>
      </c>
      <c r="P5" s="279" t="s">
        <v>799</v>
      </c>
      <c r="Q5" s="279" t="s">
        <v>800</v>
      </c>
      <c r="W5" s="395" t="s">
        <v>1510</v>
      </c>
      <c r="X5" s="395"/>
      <c r="Y5" s="395"/>
      <c r="Z5" s="395"/>
      <c r="AA5" s="395"/>
      <c r="AB5" s="395"/>
      <c r="AC5" s="395"/>
      <c r="AD5" s="395"/>
    </row>
    <row r="6" spans="2:34" ht="15" thickBot="1" x14ac:dyDescent="0.35">
      <c r="B6" s="402">
        <v>-82.74</v>
      </c>
      <c r="C6" s="402">
        <v>-0.06</v>
      </c>
      <c r="D6" s="404" t="s">
        <v>1501</v>
      </c>
      <c r="E6" s="401"/>
      <c r="F6" s="399" t="s">
        <v>1502</v>
      </c>
      <c r="G6" s="401"/>
      <c r="I6" s="29">
        <v>-82.74</v>
      </c>
      <c r="J6" s="29">
        <v>-0.06</v>
      </c>
      <c r="K6" s="29">
        <v>0.16</v>
      </c>
      <c r="L6" s="29">
        <v>0.44</v>
      </c>
      <c r="M6" s="280">
        <v>0.72933000000000003</v>
      </c>
      <c r="N6" s="280">
        <v>6.9350000000000002E-3</v>
      </c>
      <c r="O6" s="29"/>
      <c r="P6" s="29"/>
      <c r="Q6" s="280"/>
      <c r="W6" s="303" t="s">
        <v>1502</v>
      </c>
      <c r="X6" s="303"/>
      <c r="Y6" s="303"/>
      <c r="Z6" s="303"/>
      <c r="AA6" s="303"/>
      <c r="AB6" s="303" t="s">
        <v>1511</v>
      </c>
      <c r="AC6" s="303"/>
      <c r="AD6" s="303"/>
    </row>
    <row r="7" spans="2:34" ht="15" thickBot="1" x14ac:dyDescent="0.35">
      <c r="B7" s="403"/>
      <c r="C7" s="403"/>
      <c r="D7" s="399" t="s">
        <v>801</v>
      </c>
      <c r="E7" s="401"/>
      <c r="F7" s="399" t="s">
        <v>802</v>
      </c>
      <c r="G7" s="401"/>
      <c r="I7" s="29">
        <v>0.01</v>
      </c>
      <c r="J7" s="29">
        <v>699.75</v>
      </c>
      <c r="K7" s="29">
        <v>0.17</v>
      </c>
      <c r="L7" s="29">
        <v>0.39</v>
      </c>
      <c r="M7" s="280">
        <v>0.19986999999999999</v>
      </c>
      <c r="N7" s="280">
        <v>3.4981999999999998E-4</v>
      </c>
      <c r="O7" s="29"/>
      <c r="P7" s="29"/>
      <c r="Q7" s="29"/>
      <c r="W7" s="303" t="s">
        <v>1504</v>
      </c>
      <c r="X7" s="303"/>
      <c r="Y7" s="303"/>
      <c r="Z7" s="303"/>
      <c r="AA7" s="303"/>
      <c r="AB7" s="303" t="s">
        <v>1512</v>
      </c>
      <c r="AC7" s="303"/>
      <c r="AD7" s="303"/>
    </row>
    <row r="8" spans="2:34" x14ac:dyDescent="0.3">
      <c r="B8" s="276"/>
      <c r="C8" s="276"/>
      <c r="D8" s="276"/>
      <c r="E8" s="276"/>
      <c r="F8" s="276"/>
      <c r="G8" s="276"/>
      <c r="I8" s="29">
        <v>700</v>
      </c>
      <c r="J8" s="29">
        <v>7000</v>
      </c>
      <c r="K8" s="29">
        <v>26.87</v>
      </c>
      <c r="L8" s="29">
        <v>32.909999999999997</v>
      </c>
      <c r="M8" s="280">
        <v>31.12</v>
      </c>
      <c r="N8" s="280">
        <v>5.128E-4</v>
      </c>
      <c r="O8" s="29"/>
      <c r="P8" s="29"/>
      <c r="Q8" s="29"/>
      <c r="W8" s="303" t="s">
        <v>1505</v>
      </c>
      <c r="X8" s="303"/>
      <c r="Y8" s="303"/>
      <c r="Z8" s="303"/>
      <c r="AA8" s="303"/>
      <c r="AB8" s="303" t="s">
        <v>1513</v>
      </c>
      <c r="AC8" s="303"/>
      <c r="AD8" s="303"/>
    </row>
    <row r="9" spans="2:34" ht="15" thickBot="1" x14ac:dyDescent="0.35">
      <c r="B9" s="397" t="s">
        <v>789</v>
      </c>
      <c r="C9" s="397"/>
      <c r="D9" s="276"/>
      <c r="E9" s="276"/>
      <c r="F9" s="276"/>
      <c r="G9" s="276"/>
      <c r="I9" s="29">
        <v>7001</v>
      </c>
      <c r="J9" s="29">
        <v>34500</v>
      </c>
      <c r="K9" s="29">
        <v>7.43</v>
      </c>
      <c r="L9" s="29">
        <v>17.079999999999998</v>
      </c>
      <c r="M9" s="280">
        <v>9.0002999999999993</v>
      </c>
      <c r="N9" s="280">
        <v>2.3411999999999999E-4</v>
      </c>
      <c r="O9" s="29"/>
      <c r="P9" s="29"/>
      <c r="Q9" s="29"/>
      <c r="W9" s="303" t="s">
        <v>1506</v>
      </c>
      <c r="X9" s="303"/>
      <c r="Y9" s="303"/>
      <c r="Z9" s="303"/>
      <c r="AA9" s="303"/>
      <c r="AB9" s="303" t="s">
        <v>1514</v>
      </c>
      <c r="AC9" s="303"/>
      <c r="AD9" s="303"/>
    </row>
    <row r="10" spans="2:34" ht="15" thickBot="1" x14ac:dyDescent="0.35">
      <c r="B10" s="277" t="s">
        <v>793</v>
      </c>
      <c r="C10" s="278" t="s">
        <v>794</v>
      </c>
      <c r="D10" s="399" t="s">
        <v>795</v>
      </c>
      <c r="E10" s="400"/>
      <c r="F10" s="400"/>
      <c r="G10" s="401"/>
    </row>
    <row r="11" spans="2:34" ht="15" thickBot="1" x14ac:dyDescent="0.35">
      <c r="B11" s="402">
        <v>0.01</v>
      </c>
      <c r="C11" s="402">
        <v>699.75</v>
      </c>
      <c r="D11" s="404" t="s">
        <v>1503</v>
      </c>
      <c r="E11" s="401"/>
      <c r="F11" s="399" t="s">
        <v>1504</v>
      </c>
      <c r="G11" s="401"/>
    </row>
    <row r="12" spans="2:34" ht="15" thickBot="1" x14ac:dyDescent="0.35">
      <c r="B12" s="403"/>
      <c r="C12" s="403"/>
      <c r="D12" s="399" t="s">
        <v>801</v>
      </c>
      <c r="E12" s="401"/>
      <c r="F12" s="399" t="s">
        <v>802</v>
      </c>
      <c r="G12" s="401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397" t="s">
        <v>789</v>
      </c>
      <c r="C14" s="397"/>
      <c r="D14" s="276"/>
      <c r="E14" s="276"/>
      <c r="F14" s="276"/>
      <c r="G14" s="276"/>
      <c r="I14" s="17" t="s">
        <v>792</v>
      </c>
      <c r="J14" s="17"/>
      <c r="K14" s="405" t="s">
        <v>1507</v>
      </c>
      <c r="L14" s="405"/>
      <c r="M14" s="405"/>
      <c r="P14" s="17" t="s">
        <v>792</v>
      </c>
      <c r="Q14" s="17"/>
      <c r="R14" s="405" t="s">
        <v>1508</v>
      </c>
      <c r="S14" s="405"/>
      <c r="T14" s="405"/>
      <c r="W14" s="17" t="s">
        <v>792</v>
      </c>
      <c r="X14" s="17"/>
      <c r="Y14" s="406" t="s">
        <v>1509</v>
      </c>
      <c r="Z14" s="406"/>
      <c r="AA14" s="406"/>
      <c r="AD14" s="17" t="s">
        <v>792</v>
      </c>
      <c r="AE14" s="17"/>
      <c r="AF14" s="406" t="s">
        <v>1506</v>
      </c>
      <c r="AG14" s="406"/>
      <c r="AH14" s="406"/>
    </row>
    <row r="15" spans="2:34" ht="16.2" thickBot="1" x14ac:dyDescent="0.35">
      <c r="B15" s="277" t="s">
        <v>793</v>
      </c>
      <c r="C15" s="278" t="s">
        <v>794</v>
      </c>
      <c r="D15" s="399" t="s">
        <v>795</v>
      </c>
      <c r="E15" s="400"/>
      <c r="F15" s="400"/>
      <c r="G15" s="401"/>
      <c r="I15" s="281" t="s">
        <v>803</v>
      </c>
      <c r="J15" s="282" t="s">
        <v>804</v>
      </c>
      <c r="K15" s="282" t="s">
        <v>805</v>
      </c>
      <c r="L15" s="281" t="s">
        <v>538</v>
      </c>
      <c r="M15" s="281" t="s">
        <v>806</v>
      </c>
      <c r="P15" s="281" t="s">
        <v>803</v>
      </c>
      <c r="Q15" s="282" t="s">
        <v>804</v>
      </c>
      <c r="R15" s="282" t="s">
        <v>805</v>
      </c>
      <c r="S15" s="281" t="s">
        <v>538</v>
      </c>
      <c r="T15" s="281" t="s">
        <v>806</v>
      </c>
      <c r="W15" s="281" t="s">
        <v>803</v>
      </c>
      <c r="X15" s="282" t="s">
        <v>804</v>
      </c>
      <c r="Y15" s="282" t="s">
        <v>805</v>
      </c>
      <c r="Z15" s="281" t="s">
        <v>538</v>
      </c>
      <c r="AA15" s="281" t="s">
        <v>806</v>
      </c>
      <c r="AD15" s="281" t="s">
        <v>803</v>
      </c>
      <c r="AE15" s="282" t="s">
        <v>804</v>
      </c>
      <c r="AF15" s="282" t="s">
        <v>805</v>
      </c>
      <c r="AG15" s="281" t="s">
        <v>538</v>
      </c>
      <c r="AH15" s="281" t="s">
        <v>806</v>
      </c>
    </row>
    <row r="16" spans="2:34" ht="15" thickBot="1" x14ac:dyDescent="0.35">
      <c r="B16" s="402">
        <v>700</v>
      </c>
      <c r="C16" s="402">
        <v>7000</v>
      </c>
      <c r="D16" s="399" t="s">
        <v>807</v>
      </c>
      <c r="E16" s="401"/>
      <c r="F16" s="399" t="s">
        <v>1505</v>
      </c>
      <c r="G16" s="401"/>
      <c r="I16" s="22" t="s">
        <v>808</v>
      </c>
      <c r="J16" s="283">
        <f ca="1">Calibración!G38</f>
        <v>47.832014712757505</v>
      </c>
      <c r="K16" s="284">
        <f ca="1">Calibración!J38</f>
        <v>2.1680192900602293</v>
      </c>
      <c r="L16" s="284">
        <f ca="1">IF(J16=0,0,IF(J16&lt;=$J$6,$M$6+$N$6*J16+$O$6*J16^2+$P$6*J16^3+$Q$6*J16^4,IF(J16&gt;$J$7,$M$8+$N$8*J16+$O$8*J16^2+$P$8*J16^3+$Q$8*J16^4,$M$7+$N$7*J16+$O$7*J16^2+$P$7*J16^3+$Q$7*J16^4)))</f>
        <v>0.21660259538681681</v>
      </c>
      <c r="M16" s="284">
        <f ca="1">IF(J16=0,0,IF(J16&lt;=$J$6+5,$K$6,IF(J16&gt;$J$7+10,$K$8,$K$7)))</f>
        <v>0.17</v>
      </c>
      <c r="P16" s="22" t="s">
        <v>808</v>
      </c>
      <c r="Q16" s="283">
        <f ca="1">Calibración!G38</f>
        <v>47.832014712757505</v>
      </c>
      <c r="R16" s="284">
        <f ca="1">Calibración!J38</f>
        <v>2.1680192900602293</v>
      </c>
      <c r="S16" s="284">
        <f ca="1">IF(Q16=0,0,IF(Q16&lt;=$J$7,$M$7+$N$7*Q16+$O$7*Q16^2+$P$7*Q16^3+$Q$7*Q16^4,IF(Q16&gt;$J$8,$M$9+$N$9*Q16+$O$9*Q16^2+$P$9*Q16^3+$Q$9*Q16^4,$M$8+$N$8*Q16+$O$8*Q16^2+$P$8*Q16^3+$Q$8*Q16^4)))</f>
        <v>0.21660259538681681</v>
      </c>
      <c r="T16" s="284">
        <f ca="1">IF(Q16=0,0,IF(Q16&lt;=$J$7+5,$K$7,IF(Q16&gt;$J$8+10,$K$9,$K$8)))</f>
        <v>0.17</v>
      </c>
      <c r="W16" s="22" t="s">
        <v>808</v>
      </c>
      <c r="X16" s="283">
        <f ca="1">Calibración!G38</f>
        <v>47.832014712757505</v>
      </c>
      <c r="Y16" s="284">
        <f ca="1">Calibración!J38</f>
        <v>2.1680192900602293</v>
      </c>
      <c r="Z16" s="284">
        <f ca="1">IF(X16=0,0,IF(X16&lt;=$J$8,$M$8+$N$8*X16+$O$8*X16^2+$P$8*X16^3+$Q$8*X16^4,IF(X16&gt;$J$9,$M$9+$N$9*X16+$O$9*X16^2+$P$9*X16^3+$Q$9*X16^4,$M$8+$N$8*X16+$O$8*X16^2+$P$8*X16^3+$Q$8*X16^4)))</f>
        <v>31.144528257144703</v>
      </c>
      <c r="AA16" s="284">
        <f ca="1">IF(X16=0,0,IF(X16&lt;=$J$8+5,$K$8,IF(X16&gt;$J$9+10,$K$10,$K$9)))</f>
        <v>26.87</v>
      </c>
      <c r="AD16" s="22" t="s">
        <v>808</v>
      </c>
      <c r="AE16" s="283">
        <f ca="1">Calibración!G38</f>
        <v>47.832014712757505</v>
      </c>
      <c r="AF16" s="284">
        <f ca="1">Calibración!J38</f>
        <v>2.1680192900602293</v>
      </c>
      <c r="AG16" s="284">
        <f ca="1">IF(AE16=0,0,IF(AE16&lt;=$J$8,$M$8+$N$8*AE16+$O$8*AE16^2+$P$8*AE16^3+$Q$8*AE16^4,IF(AE16&gt;$J$9,$M$10+$N$10*AE16+$O$10*AE16^2+$P$10*AE16^3+$Q$10*AE16^4,$M$9+$N$9*AE16+$O$9*AE16^2+$P$9*AE16^3+$Q$9*AE16^4)))</f>
        <v>31.144528257144703</v>
      </c>
      <c r="AH16" s="284">
        <f ca="1">IF(AE16=0,0,IF(AE16&lt;=$J$8+5,$K$9,IF(AE16&gt;$J$9+10,$K$11,$K$10)))</f>
        <v>7.43</v>
      </c>
    </row>
    <row r="17" spans="2:34" ht="15" thickBot="1" x14ac:dyDescent="0.35">
      <c r="B17" s="403"/>
      <c r="C17" s="403"/>
      <c r="D17" s="399" t="s">
        <v>801</v>
      </c>
      <c r="E17" s="401"/>
      <c r="F17" s="399" t="s">
        <v>802</v>
      </c>
      <c r="G17" s="401"/>
      <c r="I17" s="22" t="s">
        <v>809</v>
      </c>
      <c r="J17" s="283">
        <f ca="1">Calibración!G39</f>
        <v>68.662248407923201</v>
      </c>
      <c r="K17" s="284">
        <f ca="1">Calibración!J39</f>
        <v>2.0888525536836386</v>
      </c>
      <c r="L17" s="284">
        <f t="shared" ref="L17:L25" ca="1" si="0">IF(J17=0,0,IF(J17&lt;=$J$6,$M$6+$N$6*J17+$O$6*J17^2+$P$6*J17^3+$Q$6*J17^4,IF(J17&gt;$J$7,$M$8+$N$8*J17+$O$8*J17^2+$P$8*J17^3+$Q$8*J17^4,$M$7+$N$7*J17+$O$7*J17^2+$P$7*J17^3+$Q$7*J17^4)))</f>
        <v>0.2238894277380597</v>
      </c>
      <c r="M17" s="284">
        <f t="shared" ref="M17:M25" ca="1" si="1">IF(J17=0,0,IF(J17&lt;=$J$6+5,$K$6,IF(J17&gt;$J$7+10,$K$8,$K$7)))</f>
        <v>0.17</v>
      </c>
      <c r="P17" s="22" t="s">
        <v>809</v>
      </c>
      <c r="Q17" s="283">
        <f ca="1">Calibración!G39</f>
        <v>68.662248407923201</v>
      </c>
      <c r="R17" s="284">
        <f ca="1">Calibración!J39</f>
        <v>2.0888525536836386</v>
      </c>
      <c r="S17" s="284">
        <f t="shared" ref="S17:S25" ca="1" si="2">IF(Q17=0,0,IF(Q17&lt;=$J$7,$M$7+$N$7*Q17+$O$7*Q17^2+$P$7*Q17^3+$Q$7*Q17^4,IF(Q17&gt;$J$8,$M$9+$N$9*Q17+$O$9*Q17^2+$P$9*Q17^3+$Q$9*Q17^4,$M$8+$N$8*Q17+$O$8*Q17^2+$P$8*Q17^3+$Q$8*Q17^4)))</f>
        <v>0.2238894277380597</v>
      </c>
      <c r="T17" s="284">
        <f t="shared" ref="T17:T25" ca="1" si="3">IF(Q17=0,0,IF(Q17&lt;=$J$7+5,$K$7,IF(Q17&gt;$J$8+10,$K$9,$K$8)))</f>
        <v>0.17</v>
      </c>
      <c r="W17" s="22" t="s">
        <v>809</v>
      </c>
      <c r="X17" s="283">
        <f ca="1">Calibración!G39</f>
        <v>68.662248407923201</v>
      </c>
      <c r="Y17" s="284">
        <f ca="1">Calibración!J39</f>
        <v>2.0888525536836386</v>
      </c>
      <c r="Z17" s="284">
        <f t="shared" ref="Z17:Z25" ca="1" si="4">IF(X17=0,0,IF(X17&lt;=$J$8,$M$8+$N$8*X17+$O$8*X17^2+$P$8*X17^3+$Q$8*X17^4,IF(X17&gt;$J$9,$M$9+$N$9*X17+$O$9*X17^2+$P$9*X17^3+$Q$9*X17^4,$M$8+$N$8*X17+$O$8*X17^2+$P$8*X17^3+$Q$8*X17^4)))</f>
        <v>31.155210000983583</v>
      </c>
      <c r="AA17" s="284">
        <f t="shared" ref="AA17:AA25" ca="1" si="5">IF(X17=0,0,IF(X17&lt;=$J$8+5,$K$8,IF(X17&gt;$J$9+10,$K$10,$K$9)))</f>
        <v>26.87</v>
      </c>
      <c r="AD17" s="22" t="s">
        <v>809</v>
      </c>
      <c r="AE17" s="283">
        <f ca="1">Calibración!G39</f>
        <v>68.662248407923201</v>
      </c>
      <c r="AF17" s="284">
        <f ca="1">Calibración!J39</f>
        <v>2.0888525536836386</v>
      </c>
      <c r="AG17" s="284">
        <f t="shared" ref="AG17:AG25" ca="1" si="6">IF(AE17=0,0,IF(AE17&lt;=$J$8,$M$8+$N$8*AE17+$O$8*AE17^2+$P$8*AE17^3+$Q$8*AE17^4,IF(AE17&gt;$J$9,$M$10+$N$10*AE17+$O$10*AE17^2+$P$10*AE17^3+$Q$10*AE17^4,$M$9+$N$9*AE17+$O$9*AE17^2+$P$9*AE17^3+$Q$9*AE17^4)))</f>
        <v>31.155210000983583</v>
      </c>
      <c r="AH17" s="284">
        <f t="shared" ref="AH17:AH25" ca="1" si="7">IF(AE17=0,0,IF(AE17&lt;=$J$8+5,$K$9,IF(AE17&gt;$J$9+10,$K$11,$K$10)))</f>
        <v>7.43</v>
      </c>
    </row>
    <row r="18" spans="2:34" x14ac:dyDescent="0.3">
      <c r="B18" s="285"/>
      <c r="I18" s="22" t="s">
        <v>810</v>
      </c>
      <c r="J18" s="283">
        <f ca="1">Calibración!G40</f>
        <v>123.70988832194672</v>
      </c>
      <c r="K18" s="284">
        <f ca="1">Calibración!J40</f>
        <v>2.0800951472577189</v>
      </c>
      <c r="L18" s="284">
        <f t="shared" ca="1" si="0"/>
        <v>0.24314619313278341</v>
      </c>
      <c r="M18" s="284">
        <f t="shared" ca="1" si="1"/>
        <v>0.17</v>
      </c>
      <c r="P18" s="22" t="s">
        <v>810</v>
      </c>
      <c r="Q18" s="283">
        <f ca="1">Calibración!G40</f>
        <v>123.70988832194672</v>
      </c>
      <c r="R18" s="284">
        <f ca="1">Calibración!J40</f>
        <v>2.0800951472577189</v>
      </c>
      <c r="S18" s="284">
        <f t="shared" ca="1" si="2"/>
        <v>0.24314619313278341</v>
      </c>
      <c r="T18" s="284">
        <f t="shared" ca="1" si="3"/>
        <v>0.17</v>
      </c>
      <c r="W18" s="22" t="s">
        <v>810</v>
      </c>
      <c r="X18" s="283">
        <f ca="1">Calibración!G40</f>
        <v>123.70988832194672</v>
      </c>
      <c r="Y18" s="284">
        <f ca="1">Calibración!J40</f>
        <v>2.0800951472577189</v>
      </c>
      <c r="Z18" s="284">
        <f t="shared" ca="1" si="4"/>
        <v>31.183438430731496</v>
      </c>
      <c r="AA18" s="284">
        <f t="shared" ca="1" si="5"/>
        <v>26.87</v>
      </c>
      <c r="AD18" s="22" t="s">
        <v>810</v>
      </c>
      <c r="AE18" s="283">
        <f ca="1">Calibración!G40</f>
        <v>123.70988832194672</v>
      </c>
      <c r="AF18" s="284">
        <f ca="1">Calibración!J40</f>
        <v>2.0800951472577189</v>
      </c>
      <c r="AG18" s="284">
        <f t="shared" ca="1" si="6"/>
        <v>31.183438430731496</v>
      </c>
      <c r="AH18" s="284">
        <f t="shared" ca="1" si="7"/>
        <v>7.43</v>
      </c>
    </row>
    <row r="19" spans="2:34" ht="15" thickBot="1" x14ac:dyDescent="0.35">
      <c r="B19" s="397" t="s">
        <v>789</v>
      </c>
      <c r="C19" s="397"/>
      <c r="D19" s="276"/>
      <c r="E19" s="276"/>
      <c r="F19" s="276"/>
      <c r="G19" s="276"/>
      <c r="I19" s="22" t="s">
        <v>811</v>
      </c>
      <c r="J19" s="283">
        <f ca="1">Calibración!G41</f>
        <v>171.9864100869213</v>
      </c>
      <c r="K19" s="284">
        <f ca="1">Calibración!J41</f>
        <v>2.126524368279616</v>
      </c>
      <c r="L19" s="284">
        <f t="shared" ca="1" si="0"/>
        <v>0.26003428597660683</v>
      </c>
      <c r="M19" s="284">
        <f t="shared" ca="1" si="1"/>
        <v>0.17</v>
      </c>
      <c r="P19" s="22" t="s">
        <v>811</v>
      </c>
      <c r="Q19" s="283">
        <f ca="1">Calibración!G41</f>
        <v>171.9864100869213</v>
      </c>
      <c r="R19" s="284">
        <f ca="1">Calibración!J41</f>
        <v>2.126524368279616</v>
      </c>
      <c r="S19" s="284">
        <f t="shared" ca="1" si="2"/>
        <v>0.26003428597660683</v>
      </c>
      <c r="T19" s="284">
        <f t="shared" ca="1" si="3"/>
        <v>0.17</v>
      </c>
      <c r="W19" s="22" t="s">
        <v>811</v>
      </c>
      <c r="X19" s="283">
        <f ca="1">Calibración!G41</f>
        <v>171.9864100869213</v>
      </c>
      <c r="Y19" s="284">
        <f ca="1">Calibración!J41</f>
        <v>2.126524368279616</v>
      </c>
      <c r="Z19" s="284">
        <f t="shared" ca="1" si="4"/>
        <v>31.208194631092574</v>
      </c>
      <c r="AA19" s="284">
        <f t="shared" ca="1" si="5"/>
        <v>26.87</v>
      </c>
      <c r="AD19" s="22" t="s">
        <v>811</v>
      </c>
      <c r="AE19" s="283">
        <f ca="1">Calibración!G41</f>
        <v>171.9864100869213</v>
      </c>
      <c r="AF19" s="284">
        <f ca="1">Calibración!J41</f>
        <v>2.126524368279616</v>
      </c>
      <c r="AG19" s="284">
        <f t="shared" ca="1" si="6"/>
        <v>31.208194631092574</v>
      </c>
      <c r="AH19" s="284">
        <f t="shared" ca="1" si="7"/>
        <v>7.43</v>
      </c>
    </row>
    <row r="20" spans="2:34" ht="15" thickBot="1" x14ac:dyDescent="0.35">
      <c r="B20" s="277" t="s">
        <v>793</v>
      </c>
      <c r="C20" s="278" t="s">
        <v>794</v>
      </c>
      <c r="D20" s="399" t="s">
        <v>795</v>
      </c>
      <c r="E20" s="400"/>
      <c r="F20" s="400"/>
      <c r="G20" s="401"/>
      <c r="I20" s="22" t="s">
        <v>812</v>
      </c>
      <c r="J20" s="283">
        <f ca="1">Calibración!G42</f>
        <v>240.73135007344825</v>
      </c>
      <c r="K20" s="284">
        <f ca="1">Calibración!J42</f>
        <v>2.3002570256412356</v>
      </c>
      <c r="L20" s="284">
        <f t="shared" ca="1" si="0"/>
        <v>0.28408264088269364</v>
      </c>
      <c r="M20" s="284">
        <f t="shared" ca="1" si="1"/>
        <v>0.17</v>
      </c>
      <c r="P20" s="22" t="s">
        <v>812</v>
      </c>
      <c r="Q20" s="283">
        <f ca="1">Calibración!G42</f>
        <v>240.73135007344825</v>
      </c>
      <c r="R20" s="284">
        <f ca="1">Calibración!J42</f>
        <v>2.3002570256412356</v>
      </c>
      <c r="S20" s="284">
        <f t="shared" ca="1" si="2"/>
        <v>0.28408264088269364</v>
      </c>
      <c r="T20" s="284">
        <f t="shared" ca="1" si="3"/>
        <v>0.17</v>
      </c>
      <c r="W20" s="22" t="s">
        <v>812</v>
      </c>
      <c r="X20" s="283">
        <f ca="1">Calibración!G42</f>
        <v>240.73135007344825</v>
      </c>
      <c r="Y20" s="284">
        <f ca="1">Calibración!J42</f>
        <v>2.3002570256412356</v>
      </c>
      <c r="Z20" s="284">
        <f t="shared" ca="1" si="4"/>
        <v>31.243447036317665</v>
      </c>
      <c r="AA20" s="284">
        <f t="shared" ca="1" si="5"/>
        <v>26.87</v>
      </c>
      <c r="AD20" s="22" t="s">
        <v>812</v>
      </c>
      <c r="AE20" s="283">
        <f ca="1">Calibración!G42</f>
        <v>240.73135007344825</v>
      </c>
      <c r="AF20" s="284">
        <f ca="1">Calibración!J42</f>
        <v>2.3002570256412356</v>
      </c>
      <c r="AG20" s="284">
        <f t="shared" ca="1" si="6"/>
        <v>31.243447036317665</v>
      </c>
      <c r="AH20" s="284">
        <f t="shared" ca="1" si="7"/>
        <v>7.43</v>
      </c>
    </row>
    <row r="21" spans="2:34" ht="15" thickBot="1" x14ac:dyDescent="0.35">
      <c r="B21" s="402">
        <v>7001</v>
      </c>
      <c r="C21" s="402">
        <v>34500</v>
      </c>
      <c r="D21" s="399" t="s">
        <v>813</v>
      </c>
      <c r="E21" s="401"/>
      <c r="F21" s="399" t="s">
        <v>1506</v>
      </c>
      <c r="G21" s="401"/>
      <c r="I21" s="22" t="s">
        <v>814</v>
      </c>
      <c r="J21" s="283">
        <f ca="1">Calibración!G43</f>
        <v>365.05143955836047</v>
      </c>
      <c r="K21" s="284">
        <f ca="1">Calibración!J43</f>
        <v>2.1266848742471853</v>
      </c>
      <c r="L21" s="284">
        <f t="shared" ca="1" si="0"/>
        <v>0.32757229458630566</v>
      </c>
      <c r="M21" s="284">
        <f t="shared" ca="1" si="1"/>
        <v>0.17</v>
      </c>
      <c r="P21" s="22" t="s">
        <v>814</v>
      </c>
      <c r="Q21" s="283">
        <f ca="1">Calibración!G43</f>
        <v>365.05143955836047</v>
      </c>
      <c r="R21" s="284">
        <f ca="1">Calibración!J43</f>
        <v>2.1266848742471853</v>
      </c>
      <c r="S21" s="284">
        <f t="shared" ca="1" si="2"/>
        <v>0.32757229458630566</v>
      </c>
      <c r="T21" s="284">
        <f t="shared" ca="1" si="3"/>
        <v>0.17</v>
      </c>
      <c r="W21" s="22" t="s">
        <v>814</v>
      </c>
      <c r="X21" s="283">
        <f ca="1">Calibración!G43</f>
        <v>365.05143955836047</v>
      </c>
      <c r="Y21" s="284">
        <f ca="1">Calibración!J43</f>
        <v>2.1266848742471853</v>
      </c>
      <c r="Z21" s="284">
        <f t="shared" ca="1" si="4"/>
        <v>31.307198378205527</v>
      </c>
      <c r="AA21" s="284">
        <f t="shared" ca="1" si="5"/>
        <v>26.87</v>
      </c>
      <c r="AD21" s="22" t="s">
        <v>814</v>
      </c>
      <c r="AE21" s="283">
        <f ca="1">Calibración!G43</f>
        <v>365.05143955836047</v>
      </c>
      <c r="AF21" s="284">
        <f ca="1">Calibración!J43</f>
        <v>2.1266848742471853</v>
      </c>
      <c r="AG21" s="284">
        <f t="shared" ca="1" si="6"/>
        <v>31.307198378205527</v>
      </c>
      <c r="AH21" s="284">
        <f t="shared" ca="1" si="7"/>
        <v>7.43</v>
      </c>
    </row>
    <row r="22" spans="2:34" ht="15" thickBot="1" x14ac:dyDescent="0.35">
      <c r="B22" s="403"/>
      <c r="C22" s="403"/>
      <c r="D22" s="399" t="s">
        <v>801</v>
      </c>
      <c r="E22" s="401"/>
      <c r="F22" s="399" t="s">
        <v>802</v>
      </c>
      <c r="G22" s="401"/>
      <c r="I22" s="22" t="s">
        <v>815</v>
      </c>
      <c r="J22" s="283">
        <f ca="1">Calibración!G44</f>
        <v>482.18549407062346</v>
      </c>
      <c r="K22" s="284">
        <f ca="1">Calibración!J44</f>
        <v>2.0940380207279761</v>
      </c>
      <c r="L22" s="284">
        <f t="shared" ca="1" si="0"/>
        <v>0.36854812953578547</v>
      </c>
      <c r="M22" s="284">
        <f t="shared" ca="1" si="1"/>
        <v>0.17</v>
      </c>
      <c r="P22" s="22" t="s">
        <v>815</v>
      </c>
      <c r="Q22" s="283">
        <f ca="1">Calibración!G44</f>
        <v>482.18549407062346</v>
      </c>
      <c r="R22" s="284">
        <f ca="1">Calibración!J44</f>
        <v>2.0940380207279761</v>
      </c>
      <c r="S22" s="284">
        <f t="shared" ca="1" si="2"/>
        <v>0.36854812953578547</v>
      </c>
      <c r="T22" s="284">
        <f t="shared" ca="1" si="3"/>
        <v>0.17</v>
      </c>
      <c r="W22" s="22" t="s">
        <v>815</v>
      </c>
      <c r="X22" s="283">
        <f ca="1">Calibración!G44</f>
        <v>482.18549407062346</v>
      </c>
      <c r="Y22" s="284">
        <f ca="1">Calibración!J44</f>
        <v>2.0940380207279761</v>
      </c>
      <c r="Z22" s="284">
        <f t="shared" ca="1" si="4"/>
        <v>31.367264721359415</v>
      </c>
      <c r="AA22" s="284">
        <f t="shared" ca="1" si="5"/>
        <v>26.87</v>
      </c>
      <c r="AD22" s="22" t="s">
        <v>815</v>
      </c>
      <c r="AE22" s="283">
        <f ca="1">Calibración!G44</f>
        <v>482.18549407062346</v>
      </c>
      <c r="AF22" s="284">
        <f ca="1">Calibración!J44</f>
        <v>2.0940380207279761</v>
      </c>
      <c r="AG22" s="284">
        <f t="shared" ca="1" si="6"/>
        <v>31.367264721359415</v>
      </c>
      <c r="AH22" s="284">
        <f t="shared" ca="1" si="7"/>
        <v>7.43</v>
      </c>
    </row>
    <row r="23" spans="2:34" x14ac:dyDescent="0.3">
      <c r="I23" s="22" t="s">
        <v>816</v>
      </c>
      <c r="J23" s="283">
        <f ca="1">Calibración!G45</f>
        <v>1379.5235562385774</v>
      </c>
      <c r="K23" s="284">
        <f ca="1">Calibración!J45</f>
        <v>2.0858876411238176</v>
      </c>
      <c r="L23" s="284">
        <f t="shared" ca="1" si="0"/>
        <v>31.827419679639142</v>
      </c>
      <c r="M23" s="284">
        <f t="shared" ca="1" si="1"/>
        <v>26.87</v>
      </c>
      <c r="P23" s="22" t="s">
        <v>816</v>
      </c>
      <c r="Q23" s="283">
        <f ca="1">Calibración!G45</f>
        <v>1379.5235562385774</v>
      </c>
      <c r="R23" s="284">
        <f ca="1">Calibración!J45</f>
        <v>2.0858876411238176</v>
      </c>
      <c r="S23" s="284">
        <f t="shared" ca="1" si="2"/>
        <v>31.827419679639142</v>
      </c>
      <c r="T23" s="284">
        <f t="shared" ca="1" si="3"/>
        <v>26.87</v>
      </c>
      <c r="W23" s="22" t="s">
        <v>816</v>
      </c>
      <c r="X23" s="283">
        <f ca="1">Calibración!G45</f>
        <v>1379.5235562385774</v>
      </c>
      <c r="Y23" s="284">
        <f ca="1">Calibración!J45</f>
        <v>2.0858876411238176</v>
      </c>
      <c r="Z23" s="284">
        <f t="shared" ca="1" si="4"/>
        <v>31.827419679639142</v>
      </c>
      <c r="AA23" s="284">
        <f t="shared" ca="1" si="5"/>
        <v>26.87</v>
      </c>
      <c r="AD23" s="22" t="s">
        <v>816</v>
      </c>
      <c r="AE23" s="283">
        <f ca="1">Calibración!G45</f>
        <v>1379.5235562385774</v>
      </c>
      <c r="AF23" s="284">
        <f ca="1">Calibración!J45</f>
        <v>2.0858876411238176</v>
      </c>
      <c r="AG23" s="284">
        <f t="shared" ca="1" si="6"/>
        <v>31.827419679639142</v>
      </c>
      <c r="AH23" s="284">
        <f t="shared" ca="1" si="7"/>
        <v>7.43</v>
      </c>
    </row>
    <row r="24" spans="2:34" x14ac:dyDescent="0.3">
      <c r="I24" s="22" t="s">
        <v>817</v>
      </c>
      <c r="J24" s="283" t="str">
        <f ca="1">Calibración!G46</f>
        <v/>
      </c>
      <c r="K24" s="284" t="str">
        <f ca="1">Calibración!J46</f>
        <v/>
      </c>
      <c r="L24" s="284" t="e">
        <f t="shared" ca="1" si="0"/>
        <v>#VALUE!</v>
      </c>
      <c r="M24" s="284">
        <f t="shared" ca="1" si="1"/>
        <v>26.87</v>
      </c>
      <c r="P24" s="22" t="s">
        <v>817</v>
      </c>
      <c r="Q24" s="283" t="str">
        <f ca="1">Calibración!G46</f>
        <v/>
      </c>
      <c r="R24" s="284" t="str">
        <f ca="1">Calibración!J46</f>
        <v/>
      </c>
      <c r="S24" s="284" t="e">
        <f t="shared" ca="1" si="2"/>
        <v>#VALUE!</v>
      </c>
      <c r="T24" s="284">
        <f t="shared" ca="1" si="3"/>
        <v>7.43</v>
      </c>
      <c r="W24" s="22" t="s">
        <v>817</v>
      </c>
      <c r="X24" s="283" t="str">
        <f ca="1">Calibración!G46</f>
        <v/>
      </c>
      <c r="Y24" s="284" t="str">
        <f ca="1">Calibración!J46</f>
        <v/>
      </c>
      <c r="Z24" s="284" t="e">
        <f t="shared" ca="1" si="4"/>
        <v>#VALUE!</v>
      </c>
      <c r="AA24" s="284">
        <f t="shared" ca="1" si="5"/>
        <v>0</v>
      </c>
      <c r="AD24" s="22" t="s">
        <v>817</v>
      </c>
      <c r="AE24" s="283" t="str">
        <f ca="1">Calibración!G46</f>
        <v/>
      </c>
      <c r="AF24" s="284" t="str">
        <f ca="1">Calibración!J46</f>
        <v/>
      </c>
      <c r="AG24" s="284" t="e">
        <f t="shared" ca="1" si="6"/>
        <v>#VALUE!</v>
      </c>
      <c r="AH24" s="284">
        <f t="shared" ca="1" si="7"/>
        <v>0</v>
      </c>
    </row>
    <row r="25" spans="2:34" x14ac:dyDescent="0.3">
      <c r="I25" s="22" t="s">
        <v>818</v>
      </c>
      <c r="J25" s="283" t="str">
        <f ca="1">Calibración!G47</f>
        <v/>
      </c>
      <c r="K25" s="284" t="str">
        <f ca="1">Calibración!J47</f>
        <v/>
      </c>
      <c r="L25" s="284" t="e">
        <f t="shared" ca="1" si="0"/>
        <v>#VALUE!</v>
      </c>
      <c r="M25" s="284">
        <f t="shared" ca="1" si="1"/>
        <v>26.87</v>
      </c>
      <c r="P25" s="22" t="s">
        <v>818</v>
      </c>
      <c r="Q25" s="283" t="str">
        <f ca="1">Calibración!G47</f>
        <v/>
      </c>
      <c r="R25" s="284" t="str">
        <f ca="1">Calibración!J47</f>
        <v/>
      </c>
      <c r="S25" s="284" t="e">
        <f t="shared" ca="1" si="2"/>
        <v>#VALUE!</v>
      </c>
      <c r="T25" s="284">
        <f t="shared" ca="1" si="3"/>
        <v>7.43</v>
      </c>
      <c r="W25" s="22" t="s">
        <v>818</v>
      </c>
      <c r="X25" s="283" t="str">
        <f ca="1">Calibración!G47</f>
        <v/>
      </c>
      <c r="Y25" s="284" t="str">
        <f ca="1">Calibración!J47</f>
        <v/>
      </c>
      <c r="Z25" s="284" t="e">
        <f t="shared" ca="1" si="4"/>
        <v>#VALUE!</v>
      </c>
      <c r="AA25" s="284">
        <f t="shared" ca="1" si="5"/>
        <v>0</v>
      </c>
      <c r="AD25" s="22" t="s">
        <v>818</v>
      </c>
      <c r="AE25" s="283" t="str">
        <f ca="1">Calibración!G47</f>
        <v/>
      </c>
      <c r="AF25" s="284" t="str">
        <f ca="1">Calibración!J47</f>
        <v/>
      </c>
      <c r="AG25" s="284" t="e">
        <f t="shared" ca="1" si="6"/>
        <v>#VALUE!</v>
      </c>
      <c r="AH25" s="284">
        <f t="shared" ca="1" si="7"/>
        <v>0</v>
      </c>
    </row>
    <row r="26" spans="2:34" ht="15" thickBot="1" x14ac:dyDescent="0.35">
      <c r="I26" s="397" t="s">
        <v>789</v>
      </c>
      <c r="J26" s="397"/>
      <c r="P26" s="397" t="s">
        <v>789</v>
      </c>
      <c r="Q26" s="397"/>
      <c r="W26" s="397" t="s">
        <v>789</v>
      </c>
      <c r="X26" s="397"/>
      <c r="AD26" s="397" t="s">
        <v>789</v>
      </c>
      <c r="AE26" s="397"/>
    </row>
    <row r="27" spans="2:34" ht="15" thickBot="1" x14ac:dyDescent="0.35">
      <c r="I27" s="277" t="s">
        <v>793</v>
      </c>
      <c r="J27" s="278" t="s">
        <v>794</v>
      </c>
      <c r="P27" s="277" t="s">
        <v>793</v>
      </c>
      <c r="Q27" s="278" t="s">
        <v>794</v>
      </c>
      <c r="W27" s="277" t="s">
        <v>793</v>
      </c>
      <c r="X27" s="278" t="s">
        <v>794</v>
      </c>
      <c r="AD27" s="277" t="s">
        <v>793</v>
      </c>
      <c r="AE27" s="278" t="s">
        <v>794</v>
      </c>
    </row>
    <row r="28" spans="2:34" x14ac:dyDescent="0.3">
      <c r="I28" s="402">
        <v>-82.74</v>
      </c>
      <c r="J28" s="402">
        <v>-0.06</v>
      </c>
      <c r="P28" s="402">
        <v>0.01</v>
      </c>
      <c r="Q28" s="402">
        <v>699.75</v>
      </c>
      <c r="W28" s="402">
        <v>700</v>
      </c>
      <c r="X28" s="402">
        <v>7000</v>
      </c>
      <c r="AD28" s="402">
        <v>7001</v>
      </c>
      <c r="AE28" s="402">
        <v>34500</v>
      </c>
    </row>
    <row r="29" spans="2:34" ht="15" thickBot="1" x14ac:dyDescent="0.35">
      <c r="I29" s="403"/>
      <c r="J29" s="403"/>
      <c r="P29" s="403"/>
      <c r="Q29" s="403"/>
      <c r="W29" s="403"/>
      <c r="X29" s="403"/>
      <c r="AD29" s="403"/>
      <c r="AE29" s="403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7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07" t="s">
        <v>722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407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3" t="s">
        <v>707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74" t="s">
        <v>366</v>
      </c>
      <c r="B8" s="375"/>
      <c r="C8" s="375"/>
      <c r="D8" s="375"/>
      <c r="E8" s="375"/>
      <c r="F8" s="376"/>
      <c r="G8" s="374" t="s">
        <v>4</v>
      </c>
      <c r="H8" s="375"/>
      <c r="I8" s="376"/>
      <c r="J8" s="377" t="s">
        <v>369</v>
      </c>
      <c r="K8" s="378"/>
      <c r="L8" s="378"/>
      <c r="M8" s="378"/>
      <c r="N8" s="379"/>
      <c r="O8" s="374" t="s">
        <v>708</v>
      </c>
      <c r="P8" s="375"/>
      <c r="Q8" s="375"/>
      <c r="R8" s="375"/>
      <c r="S8" s="375"/>
      <c r="T8" s="376"/>
      <c r="U8" s="377" t="s">
        <v>709</v>
      </c>
      <c r="V8" s="378"/>
      <c r="W8" s="378"/>
      <c r="X8" s="379"/>
    </row>
    <row r="9" spans="1:24" x14ac:dyDescent="0.3">
      <c r="A9" s="382" t="s">
        <v>717</v>
      </c>
      <c r="B9" s="383" t="s">
        <v>717</v>
      </c>
      <c r="C9" s="383" t="s">
        <v>717</v>
      </c>
      <c r="D9" s="383" t="s">
        <v>717</v>
      </c>
      <c r="E9" s="383" t="s">
        <v>717</v>
      </c>
      <c r="F9" s="384" t="s">
        <v>717</v>
      </c>
      <c r="G9" s="382" t="s">
        <v>553</v>
      </c>
      <c r="H9" s="383" t="s">
        <v>553</v>
      </c>
      <c r="I9" s="384" t="s">
        <v>553</v>
      </c>
      <c r="J9" s="385" t="s">
        <v>1115</v>
      </c>
      <c r="K9" s="386" t="s">
        <v>719</v>
      </c>
      <c r="L9" s="386">
        <v>43368</v>
      </c>
      <c r="M9" s="386" t="s">
        <v>718</v>
      </c>
      <c r="N9" s="387" t="s">
        <v>719</v>
      </c>
      <c r="O9" s="382" t="s">
        <v>719</v>
      </c>
      <c r="P9" s="383" t="s">
        <v>719</v>
      </c>
      <c r="Q9" s="383" t="s">
        <v>719</v>
      </c>
      <c r="R9" s="383" t="s">
        <v>719</v>
      </c>
      <c r="S9" s="383" t="s">
        <v>719</v>
      </c>
      <c r="T9" s="384" t="s">
        <v>719</v>
      </c>
      <c r="U9" s="385">
        <v>44096</v>
      </c>
      <c r="V9" s="386" t="s">
        <v>718</v>
      </c>
      <c r="W9" s="386" t="s">
        <v>719</v>
      </c>
      <c r="X9" s="387">
        <v>43368</v>
      </c>
    </row>
    <row r="10" spans="1:24" ht="15" customHeight="1" x14ac:dyDescent="0.3">
      <c r="A10" s="382" t="s">
        <v>717</v>
      </c>
      <c r="B10" s="383" t="s">
        <v>717</v>
      </c>
      <c r="C10" s="383" t="s">
        <v>717</v>
      </c>
      <c r="D10" s="383" t="s">
        <v>717</v>
      </c>
      <c r="E10" s="383" t="s">
        <v>717</v>
      </c>
      <c r="F10" s="384" t="s">
        <v>717</v>
      </c>
      <c r="G10" s="382" t="s">
        <v>559</v>
      </c>
      <c r="H10" s="383" t="s">
        <v>559</v>
      </c>
      <c r="I10" s="384" t="s">
        <v>559</v>
      </c>
      <c r="J10" s="385" t="s">
        <v>1116</v>
      </c>
      <c r="K10" s="386" t="s">
        <v>719</v>
      </c>
      <c r="L10" s="386">
        <v>43369</v>
      </c>
      <c r="M10" s="386" t="s">
        <v>1117</v>
      </c>
      <c r="N10" s="387" t="s">
        <v>719</v>
      </c>
      <c r="O10" s="382" t="s">
        <v>719</v>
      </c>
      <c r="P10" s="383" t="s">
        <v>719</v>
      </c>
      <c r="Q10" s="383" t="s">
        <v>719</v>
      </c>
      <c r="R10" s="383" t="s">
        <v>719</v>
      </c>
      <c r="S10" s="383" t="s">
        <v>719</v>
      </c>
      <c r="T10" s="384" t="s">
        <v>719</v>
      </c>
      <c r="U10" s="385">
        <v>44431</v>
      </c>
      <c r="V10" s="386" t="s">
        <v>1117</v>
      </c>
      <c r="W10" s="386" t="s">
        <v>719</v>
      </c>
      <c r="X10" s="387">
        <v>43369</v>
      </c>
    </row>
    <row r="11" spans="1:24" ht="15" customHeight="1" x14ac:dyDescent="0.3">
      <c r="A11" s="382" t="s">
        <v>569</v>
      </c>
      <c r="B11" s="383" t="s">
        <v>717</v>
      </c>
      <c r="C11" s="383" t="s">
        <v>717</v>
      </c>
      <c r="D11" s="383" t="s">
        <v>717</v>
      </c>
      <c r="E11" s="383" t="s">
        <v>717</v>
      </c>
      <c r="F11" s="384" t="s">
        <v>717</v>
      </c>
      <c r="G11" s="382" t="s">
        <v>560</v>
      </c>
      <c r="H11" s="383" t="s">
        <v>560</v>
      </c>
      <c r="I11" s="384" t="s">
        <v>560</v>
      </c>
      <c r="J11" s="385" t="s">
        <v>765</v>
      </c>
      <c r="K11" s="386" t="s">
        <v>721</v>
      </c>
      <c r="L11" s="386">
        <v>43392</v>
      </c>
      <c r="M11" s="386" t="s">
        <v>720</v>
      </c>
      <c r="N11" s="387" t="s">
        <v>721</v>
      </c>
      <c r="O11" s="382" t="s">
        <v>721</v>
      </c>
      <c r="P11" s="383" t="s">
        <v>721</v>
      </c>
      <c r="Q11" s="383" t="s">
        <v>721</v>
      </c>
      <c r="R11" s="383" t="s">
        <v>721</v>
      </c>
      <c r="S11" s="383" t="s">
        <v>721</v>
      </c>
      <c r="T11" s="384" t="s">
        <v>721</v>
      </c>
      <c r="U11" s="385">
        <v>44243</v>
      </c>
      <c r="V11" s="386" t="s">
        <v>720</v>
      </c>
      <c r="W11" s="386" t="s">
        <v>721</v>
      </c>
      <c r="X11" s="387">
        <v>43392</v>
      </c>
    </row>
    <row r="12" spans="1:24" ht="15" customHeight="1" x14ac:dyDescent="0.3">
      <c r="A12" s="382" t="s">
        <v>729</v>
      </c>
      <c r="B12" s="383" t="s">
        <v>717</v>
      </c>
      <c r="C12" s="383" t="s">
        <v>717</v>
      </c>
      <c r="D12" s="383" t="s">
        <v>717</v>
      </c>
      <c r="E12" s="383" t="s">
        <v>717</v>
      </c>
      <c r="F12" s="384" t="s">
        <v>717</v>
      </c>
      <c r="G12" s="382" t="s">
        <v>727</v>
      </c>
      <c r="H12" s="383" t="s">
        <v>560</v>
      </c>
      <c r="I12" s="384" t="s">
        <v>560</v>
      </c>
      <c r="J12" s="385" t="s">
        <v>1125</v>
      </c>
      <c r="K12" s="386" t="s">
        <v>721</v>
      </c>
      <c r="L12" s="386">
        <v>43393</v>
      </c>
      <c r="M12" s="386" t="s">
        <v>730</v>
      </c>
      <c r="N12" s="387" t="s">
        <v>721</v>
      </c>
      <c r="O12" s="382" t="s">
        <v>721</v>
      </c>
      <c r="P12" s="383" t="s">
        <v>721</v>
      </c>
      <c r="Q12" s="383" t="s">
        <v>721</v>
      </c>
      <c r="R12" s="383" t="s">
        <v>721</v>
      </c>
      <c r="S12" s="383" t="s">
        <v>721</v>
      </c>
      <c r="T12" s="384" t="s">
        <v>721</v>
      </c>
      <c r="U12" s="385">
        <v>44542</v>
      </c>
      <c r="V12" s="386" t="s">
        <v>730</v>
      </c>
      <c r="W12" s="386" t="s">
        <v>721</v>
      </c>
      <c r="X12" s="387">
        <v>43393</v>
      </c>
    </row>
    <row r="13" spans="1:24" x14ac:dyDescent="0.3">
      <c r="A13" s="382" t="s">
        <v>1118</v>
      </c>
      <c r="B13" s="383"/>
      <c r="C13" s="383"/>
      <c r="D13" s="383"/>
      <c r="E13" s="383"/>
      <c r="F13" s="384"/>
      <c r="G13" s="382" t="s">
        <v>375</v>
      </c>
      <c r="H13" s="383" t="s">
        <v>560</v>
      </c>
      <c r="I13" s="384" t="s">
        <v>560</v>
      </c>
      <c r="J13" s="385" t="s">
        <v>1119</v>
      </c>
      <c r="K13" s="386" t="s">
        <v>721</v>
      </c>
      <c r="L13" s="386">
        <v>43394</v>
      </c>
      <c r="M13" s="386" t="s">
        <v>735</v>
      </c>
      <c r="N13" s="387" t="s">
        <v>721</v>
      </c>
      <c r="O13" s="382" t="s">
        <v>721</v>
      </c>
      <c r="P13" s="383" t="s">
        <v>721</v>
      </c>
      <c r="Q13" s="383" t="s">
        <v>721</v>
      </c>
      <c r="R13" s="383" t="s">
        <v>721</v>
      </c>
      <c r="S13" s="383" t="s">
        <v>721</v>
      </c>
      <c r="T13" s="384" t="s">
        <v>721</v>
      </c>
      <c r="U13" s="385">
        <v>44158</v>
      </c>
      <c r="V13" s="386" t="s">
        <v>735</v>
      </c>
      <c r="W13" s="386" t="s">
        <v>721</v>
      </c>
      <c r="X13" s="387">
        <v>43394</v>
      </c>
    </row>
    <row r="14" spans="1:24" x14ac:dyDescent="0.3">
      <c r="A14" s="382" t="s">
        <v>1118</v>
      </c>
      <c r="B14" s="383"/>
      <c r="C14" s="383"/>
      <c r="D14" s="383"/>
      <c r="E14" s="383"/>
      <c r="F14" s="384"/>
      <c r="G14" s="382" t="s">
        <v>377</v>
      </c>
      <c r="H14" s="383" t="s">
        <v>560</v>
      </c>
      <c r="I14" s="384" t="s">
        <v>560</v>
      </c>
      <c r="J14" s="385" t="s">
        <v>1120</v>
      </c>
      <c r="K14" s="386" t="s">
        <v>721</v>
      </c>
      <c r="L14" s="386">
        <v>43394</v>
      </c>
      <c r="M14" s="386" t="s">
        <v>735</v>
      </c>
      <c r="N14" s="387" t="s">
        <v>721</v>
      </c>
      <c r="O14" s="382" t="s">
        <v>721</v>
      </c>
      <c r="P14" s="383" t="s">
        <v>721</v>
      </c>
      <c r="Q14" s="383" t="s">
        <v>721</v>
      </c>
      <c r="R14" s="383" t="s">
        <v>721</v>
      </c>
      <c r="S14" s="383" t="s">
        <v>721</v>
      </c>
      <c r="T14" s="384" t="s">
        <v>721</v>
      </c>
      <c r="U14" s="385">
        <v>44331</v>
      </c>
      <c r="V14" s="386" t="s">
        <v>735</v>
      </c>
      <c r="W14" s="386" t="s">
        <v>721</v>
      </c>
      <c r="X14" s="387">
        <v>43394</v>
      </c>
    </row>
    <row r="15" spans="1:24" x14ac:dyDescent="0.3">
      <c r="A15" s="382" t="s">
        <v>1118</v>
      </c>
      <c r="B15" s="383"/>
      <c r="C15" s="383"/>
      <c r="D15" s="383"/>
      <c r="E15" s="383"/>
      <c r="F15" s="384"/>
      <c r="G15" s="382" t="s">
        <v>379</v>
      </c>
      <c r="H15" s="383" t="s">
        <v>560</v>
      </c>
      <c r="I15" s="384" t="s">
        <v>560</v>
      </c>
      <c r="J15" s="385" t="s">
        <v>1121</v>
      </c>
      <c r="K15" s="386" t="s">
        <v>721</v>
      </c>
      <c r="L15" s="386">
        <v>43394</v>
      </c>
      <c r="M15" s="386" t="s">
        <v>735</v>
      </c>
      <c r="N15" s="387" t="s">
        <v>721</v>
      </c>
      <c r="O15" s="382" t="s">
        <v>721</v>
      </c>
      <c r="P15" s="383" t="s">
        <v>721</v>
      </c>
      <c r="Q15" s="383" t="s">
        <v>721</v>
      </c>
      <c r="R15" s="383" t="s">
        <v>721</v>
      </c>
      <c r="S15" s="383" t="s">
        <v>721</v>
      </c>
      <c r="T15" s="384" t="s">
        <v>721</v>
      </c>
      <c r="U15" s="385">
        <v>44331</v>
      </c>
      <c r="V15" s="386" t="s">
        <v>735</v>
      </c>
      <c r="W15" s="386" t="s">
        <v>721</v>
      </c>
      <c r="X15" s="387">
        <v>43394</v>
      </c>
    </row>
    <row r="16" spans="1:24" x14ac:dyDescent="0.3">
      <c r="A16" s="382" t="s">
        <v>1118</v>
      </c>
      <c r="B16" s="383"/>
      <c r="C16" s="383"/>
      <c r="D16" s="383"/>
      <c r="E16" s="383"/>
      <c r="F16" s="384"/>
      <c r="G16" s="382" t="s">
        <v>579</v>
      </c>
      <c r="H16" s="383" t="s">
        <v>560</v>
      </c>
      <c r="I16" s="384" t="s">
        <v>560</v>
      </c>
      <c r="J16" s="385" t="s">
        <v>1122</v>
      </c>
      <c r="K16" s="386" t="s">
        <v>721</v>
      </c>
      <c r="L16" s="386">
        <v>43394</v>
      </c>
      <c r="M16" s="386" t="s">
        <v>735</v>
      </c>
      <c r="N16" s="387" t="s">
        <v>721</v>
      </c>
      <c r="O16" s="382" t="s">
        <v>721</v>
      </c>
      <c r="P16" s="383" t="s">
        <v>721</v>
      </c>
      <c r="Q16" s="383" t="s">
        <v>721</v>
      </c>
      <c r="R16" s="383" t="s">
        <v>721</v>
      </c>
      <c r="S16" s="383" t="s">
        <v>721</v>
      </c>
      <c r="T16" s="384" t="s">
        <v>721</v>
      </c>
      <c r="U16" s="385">
        <v>44331</v>
      </c>
      <c r="V16" s="386" t="s">
        <v>735</v>
      </c>
      <c r="W16" s="386" t="s">
        <v>721</v>
      </c>
      <c r="X16" s="387">
        <v>43394</v>
      </c>
    </row>
    <row r="17" spans="1:24" x14ac:dyDescent="0.3">
      <c r="A17" s="382" t="s">
        <v>734</v>
      </c>
      <c r="B17" s="383" t="s">
        <v>717</v>
      </c>
      <c r="C17" s="383" t="s">
        <v>717</v>
      </c>
      <c r="D17" s="383" t="s">
        <v>717</v>
      </c>
      <c r="E17" s="383" t="s">
        <v>717</v>
      </c>
      <c r="F17" s="384" t="s">
        <v>717</v>
      </c>
      <c r="G17" s="382" t="s">
        <v>731</v>
      </c>
      <c r="H17" s="383" t="s">
        <v>560</v>
      </c>
      <c r="I17" s="384" t="s">
        <v>560</v>
      </c>
      <c r="J17" s="385" t="s">
        <v>1109</v>
      </c>
      <c r="K17" s="386" t="s">
        <v>721</v>
      </c>
      <c r="L17" s="386">
        <v>43394</v>
      </c>
      <c r="M17" s="386" t="s">
        <v>735</v>
      </c>
      <c r="N17" s="387" t="s">
        <v>721</v>
      </c>
      <c r="O17" s="382" t="s">
        <v>721</v>
      </c>
      <c r="P17" s="383" t="s">
        <v>721</v>
      </c>
      <c r="Q17" s="383" t="s">
        <v>721</v>
      </c>
      <c r="R17" s="383" t="s">
        <v>721</v>
      </c>
      <c r="S17" s="383" t="s">
        <v>721</v>
      </c>
      <c r="T17" s="384" t="s">
        <v>721</v>
      </c>
      <c r="U17" s="385">
        <v>44331</v>
      </c>
      <c r="V17" s="386" t="s">
        <v>735</v>
      </c>
      <c r="W17" s="386" t="s">
        <v>721</v>
      </c>
      <c r="X17" s="387">
        <v>43394</v>
      </c>
    </row>
  </sheetData>
  <mergeCells count="51"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3:F13"/>
    <mergeCell ref="G13:I13"/>
    <mergeCell ref="J13:N13"/>
    <mergeCell ref="O13:T13"/>
    <mergeCell ref="U13:X13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20"/>
  <sheetViews>
    <sheetView topLeftCell="A15" zoomScale="85" zoomScaleNormal="85" workbookViewId="0">
      <selection activeCell="K45" sqref="K4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13" t="s">
        <v>368</v>
      </c>
      <c r="I4" s="414"/>
      <c r="J4" s="413" t="s">
        <v>369</v>
      </c>
      <c r="K4" s="414"/>
      <c r="L4" s="415" t="s">
        <v>526</v>
      </c>
      <c r="M4" s="417" t="s">
        <v>384</v>
      </c>
      <c r="N4" s="418"/>
      <c r="O4" s="418"/>
      <c r="P4" s="419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16"/>
      <c r="M5" s="420"/>
      <c r="N5" s="421"/>
      <c r="O5" s="421"/>
      <c r="P5" s="422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1">
        <v>0.3</v>
      </c>
      <c r="K6" s="131">
        <v>1.3</v>
      </c>
      <c r="L6" s="132">
        <v>45328</v>
      </c>
      <c r="M6" s="133" t="s">
        <v>1515</v>
      </c>
      <c r="N6" s="134"/>
      <c r="O6" s="135"/>
      <c r="P6" s="138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1">
        <v>0.4</v>
      </c>
      <c r="K7" s="131">
        <v>1.3</v>
      </c>
      <c r="L7" s="132">
        <v>44839</v>
      </c>
      <c r="M7" s="130" t="s">
        <v>1516</v>
      </c>
      <c r="N7" s="134"/>
      <c r="O7" s="135"/>
      <c r="P7" s="138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1">
        <v>0.27</v>
      </c>
      <c r="K8" s="131">
        <v>1.3</v>
      </c>
      <c r="L8" s="132">
        <v>45328</v>
      </c>
      <c r="M8" s="130" t="s">
        <v>1517</v>
      </c>
      <c r="N8" s="136"/>
      <c r="O8" s="137"/>
      <c r="P8" s="138"/>
    </row>
    <row r="9" spans="2:23" x14ac:dyDescent="0.3">
      <c r="B9" s="18">
        <v>4</v>
      </c>
      <c r="C9" s="18" t="s">
        <v>579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1">
        <v>0.4</v>
      </c>
      <c r="K9" s="131">
        <v>2.2000000000000002</v>
      </c>
      <c r="L9" s="132">
        <v>44839</v>
      </c>
      <c r="M9" s="130" t="s">
        <v>1518</v>
      </c>
      <c r="N9" s="134"/>
      <c r="O9" s="135"/>
      <c r="P9" s="138"/>
    </row>
    <row r="10" spans="2:23" x14ac:dyDescent="0.3">
      <c r="B10" s="18">
        <v>5</v>
      </c>
      <c r="C10" s="18" t="s">
        <v>731</v>
      </c>
      <c r="D10" s="18" t="s">
        <v>732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1">
        <v>0.42</v>
      </c>
      <c r="K10" s="131">
        <v>1.3</v>
      </c>
      <c r="L10" s="132">
        <v>44839</v>
      </c>
      <c r="M10" s="130" t="s">
        <v>1519</v>
      </c>
      <c r="N10" s="29"/>
      <c r="O10" s="29"/>
      <c r="P10" s="138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556</v>
      </c>
      <c r="E12"/>
      <c r="F12" t="s">
        <v>565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411" t="s">
        <v>383</v>
      </c>
      <c r="I13" s="412"/>
      <c r="J13" s="411" t="s">
        <v>558</v>
      </c>
      <c r="K13" s="412"/>
      <c r="L13" s="411" t="s">
        <v>405</v>
      </c>
      <c r="M13" s="412"/>
      <c r="N13" s="411" t="s">
        <v>46</v>
      </c>
      <c r="O13" s="412"/>
      <c r="P13" s="411" t="s">
        <v>567</v>
      </c>
      <c r="Q13" s="412"/>
      <c r="T13" s="184" t="s">
        <v>598</v>
      </c>
      <c r="U13" s="179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557</v>
      </c>
      <c r="H14" s="24" t="s">
        <v>599</v>
      </c>
      <c r="I14" s="24" t="s">
        <v>600</v>
      </c>
      <c r="J14" s="24" t="s">
        <v>554</v>
      </c>
      <c r="K14" s="24" t="s">
        <v>555</v>
      </c>
      <c r="L14" s="24" t="s">
        <v>403</v>
      </c>
      <c r="M14" s="24" t="s">
        <v>404</v>
      </c>
      <c r="N14" s="24" t="s">
        <v>596</v>
      </c>
      <c r="O14" s="24" t="s">
        <v>595</v>
      </c>
      <c r="P14" s="24" t="s">
        <v>568</v>
      </c>
      <c r="Q14" s="24" t="s">
        <v>566</v>
      </c>
      <c r="R14" s="24" t="s">
        <v>597</v>
      </c>
      <c r="S14" s="24" t="s">
        <v>601</v>
      </c>
      <c r="T14" s="24" t="s">
        <v>602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1523</v>
      </c>
      <c r="D15" s="19" t="s">
        <v>572</v>
      </c>
      <c r="E15" s="21" t="s">
        <v>1524</v>
      </c>
      <c r="F15" s="21" t="s">
        <v>1525</v>
      </c>
      <c r="G15" s="20" t="s">
        <v>562</v>
      </c>
      <c r="H15" s="22">
        <v>0</v>
      </c>
      <c r="I15" s="22">
        <v>50</v>
      </c>
      <c r="J15" s="22"/>
      <c r="K15" s="22"/>
      <c r="L15" s="144">
        <v>0</v>
      </c>
      <c r="M15" s="144">
        <v>5</v>
      </c>
      <c r="N15" s="34">
        <v>0.1</v>
      </c>
      <c r="O15" s="34">
        <v>1E-3</v>
      </c>
      <c r="P15" s="22">
        <v>0.1</v>
      </c>
      <c r="Q15" s="22">
        <v>0.05</v>
      </c>
      <c r="R15" s="34">
        <v>5.0000000000000001E-3</v>
      </c>
      <c r="S15" s="34" t="s">
        <v>1528</v>
      </c>
      <c r="T15" s="34" t="s">
        <v>1528</v>
      </c>
      <c r="U15" s="141">
        <v>45339</v>
      </c>
      <c r="V15" s="158" t="s">
        <v>402</v>
      </c>
      <c r="W15" s="142" t="s">
        <v>1529</v>
      </c>
    </row>
    <row r="16" spans="2:23" ht="28.8" x14ac:dyDescent="0.3">
      <c r="B16" s="32">
        <v>2</v>
      </c>
      <c r="C16" s="19" t="s">
        <v>1526</v>
      </c>
      <c r="D16" s="19" t="s">
        <v>561</v>
      </c>
      <c r="E16" s="21" t="s">
        <v>1527</v>
      </c>
      <c r="F16" s="21" t="s">
        <v>1530</v>
      </c>
      <c r="G16" s="20" t="s">
        <v>562</v>
      </c>
      <c r="H16" s="22">
        <v>-10</v>
      </c>
      <c r="I16" s="22">
        <v>50</v>
      </c>
      <c r="J16" s="22">
        <v>-11.8</v>
      </c>
      <c r="K16" s="22">
        <v>1450</v>
      </c>
      <c r="L16" s="144">
        <v>-11</v>
      </c>
      <c r="M16" s="144">
        <v>1450</v>
      </c>
      <c r="N16" s="34" t="s">
        <v>1528</v>
      </c>
      <c r="O16" s="34">
        <v>0.1</v>
      </c>
      <c r="P16" s="169" t="s">
        <v>482</v>
      </c>
      <c r="Q16" s="22">
        <v>0.05</v>
      </c>
      <c r="R16" s="34">
        <v>5.0000000000000001E-3</v>
      </c>
      <c r="S16" s="34" t="s">
        <v>1528</v>
      </c>
      <c r="T16" s="34" t="s">
        <v>1528</v>
      </c>
      <c r="U16" s="143">
        <v>45349</v>
      </c>
      <c r="V16" s="158" t="s">
        <v>402</v>
      </c>
      <c r="W16" s="142" t="s">
        <v>1531</v>
      </c>
    </row>
    <row r="17" spans="1:23" ht="28.8" x14ac:dyDescent="0.3">
      <c r="B17" s="32">
        <v>3</v>
      </c>
      <c r="C17" s="20" t="s">
        <v>560</v>
      </c>
      <c r="D17" s="20" t="s">
        <v>563</v>
      </c>
      <c r="E17" s="21" t="s">
        <v>382</v>
      </c>
      <c r="F17" s="21" t="s">
        <v>564</v>
      </c>
      <c r="G17" s="20" t="s">
        <v>569</v>
      </c>
      <c r="H17" s="22">
        <v>-10</v>
      </c>
      <c r="I17" s="22">
        <v>50</v>
      </c>
      <c r="J17" s="22">
        <v>-14</v>
      </c>
      <c r="K17" s="22">
        <v>1000</v>
      </c>
      <c r="L17" s="142">
        <v>60</v>
      </c>
      <c r="M17" s="142">
        <v>900</v>
      </c>
      <c r="N17" s="183">
        <v>0.1</v>
      </c>
      <c r="O17" s="22">
        <v>0.1</v>
      </c>
      <c r="P17" s="268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3">
        <v>45349</v>
      </c>
      <c r="V17" s="159" t="s">
        <v>402</v>
      </c>
      <c r="W17" s="142" t="s">
        <v>1520</v>
      </c>
    </row>
    <row r="18" spans="1:23" ht="28.8" x14ac:dyDescent="0.3">
      <c r="B18" s="32">
        <v>4</v>
      </c>
      <c r="C18" s="20" t="s">
        <v>1521</v>
      </c>
      <c r="D18" s="20" t="s">
        <v>570</v>
      </c>
      <c r="E18" s="21" t="s">
        <v>382</v>
      </c>
      <c r="F18" s="21">
        <v>754</v>
      </c>
      <c r="G18" s="20" t="s">
        <v>571</v>
      </c>
      <c r="H18" s="22">
        <v>-10</v>
      </c>
      <c r="I18" s="22">
        <v>50</v>
      </c>
      <c r="J18" s="215">
        <v>0</v>
      </c>
      <c r="K18" s="22">
        <v>10000</v>
      </c>
      <c r="L18" s="214">
        <v>0</v>
      </c>
      <c r="M18" s="22">
        <v>10000</v>
      </c>
      <c r="N18" s="21"/>
      <c r="O18" s="22"/>
      <c r="P18" s="268">
        <v>2.5000000000000001E-2</v>
      </c>
      <c r="Q18" s="268">
        <v>2.5000000000000001E-2</v>
      </c>
      <c r="R18" s="34">
        <v>0</v>
      </c>
      <c r="S18" s="34">
        <v>0</v>
      </c>
      <c r="T18" s="34">
        <v>50</v>
      </c>
      <c r="U18" s="143">
        <v>45377</v>
      </c>
      <c r="V18" s="159" t="s">
        <v>402</v>
      </c>
      <c r="W18" s="142" t="s">
        <v>1522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580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581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577</v>
      </c>
      <c r="K24"/>
      <c r="L24"/>
      <c r="S24" t="s">
        <v>582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575</v>
      </c>
      <c r="F25" s="24" t="s">
        <v>431</v>
      </c>
      <c r="G25" s="24" t="s">
        <v>432</v>
      </c>
      <c r="H25" s="24" t="s">
        <v>576</v>
      </c>
      <c r="I25" s="24" t="s">
        <v>433</v>
      </c>
      <c r="J25" s="61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2" t="str">
        <f>C15</f>
        <v>NI-MCPP-12</v>
      </c>
      <c r="D26" s="39" t="s">
        <v>717</v>
      </c>
      <c r="E26" s="22">
        <v>2E-3</v>
      </c>
      <c r="F26" s="22">
        <v>1E-3</v>
      </c>
      <c r="G26" s="22">
        <v>1.4E-2</v>
      </c>
      <c r="H26" s="22"/>
      <c r="I26" s="22"/>
      <c r="J26" s="59"/>
      <c r="K2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6"/>
    </row>
    <row r="27" spans="1:23" x14ac:dyDescent="0.3">
      <c r="B27" s="56">
        <v>2</v>
      </c>
      <c r="C27" s="173" t="str">
        <f>$C$26</f>
        <v>NI-MCPP-12</v>
      </c>
      <c r="D27" s="40"/>
      <c r="E27" s="317">
        <v>0.5</v>
      </c>
      <c r="F27" s="166">
        <v>1E-3</v>
      </c>
      <c r="G27" s="22">
        <v>1.4E-2</v>
      </c>
      <c r="H27" s="166"/>
      <c r="I27" s="22"/>
      <c r="J27" s="59"/>
      <c r="K2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7"/>
    </row>
    <row r="28" spans="1:23" x14ac:dyDescent="0.3">
      <c r="B28" s="56">
        <v>3</v>
      </c>
      <c r="C28" s="173" t="str">
        <f t="shared" ref="C28:C42" si="0">$C$26</f>
        <v>NI-MCPP-12</v>
      </c>
      <c r="D28" s="40"/>
      <c r="E28" s="317">
        <v>1</v>
      </c>
      <c r="F28" s="166">
        <v>1E-3</v>
      </c>
      <c r="G28" s="22">
        <v>1.4E-2</v>
      </c>
      <c r="H28" s="166"/>
      <c r="I28" s="166"/>
      <c r="J28" s="59"/>
      <c r="K2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8"/>
    </row>
    <row r="29" spans="1:23" x14ac:dyDescent="0.3">
      <c r="B29" s="56">
        <v>4</v>
      </c>
      <c r="C29" s="173" t="str">
        <f t="shared" si="0"/>
        <v>NI-MCPP-12</v>
      </c>
      <c r="D29" s="40"/>
      <c r="E29" s="317">
        <v>1.5</v>
      </c>
      <c r="F29" s="166">
        <v>1E-3</v>
      </c>
      <c r="G29" s="22">
        <v>1.4E-2</v>
      </c>
      <c r="H29" s="166"/>
      <c r="I29" s="166"/>
      <c r="J29" s="59"/>
      <c r="K2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29"/>
    </row>
    <row r="30" spans="1:23" x14ac:dyDescent="0.3">
      <c r="B30" s="164">
        <v>5</v>
      </c>
      <c r="C30" s="173" t="str">
        <f t="shared" si="0"/>
        <v>NI-MCPP-12</v>
      </c>
      <c r="D30" s="40"/>
      <c r="E30" s="35">
        <v>2</v>
      </c>
      <c r="F30" s="22">
        <v>1E-3</v>
      </c>
      <c r="G30" s="22">
        <v>1.4E-2</v>
      </c>
      <c r="H30" s="22"/>
      <c r="I30" s="22"/>
      <c r="J30" s="59"/>
      <c r="K3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0"/>
    </row>
    <row r="31" spans="1:23" x14ac:dyDescent="0.3">
      <c r="B31" s="164">
        <v>6</v>
      </c>
      <c r="C31" s="173" t="str">
        <f t="shared" si="0"/>
        <v>NI-MCPP-12</v>
      </c>
      <c r="D31" s="40"/>
      <c r="E31" s="35">
        <v>3</v>
      </c>
      <c r="F31" s="35">
        <v>0</v>
      </c>
      <c r="G31" s="22">
        <v>1.4E-2</v>
      </c>
      <c r="H31" s="22"/>
      <c r="I31" s="33"/>
      <c r="J31" s="59"/>
      <c r="K3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1"/>
    </row>
    <row r="32" spans="1:23" x14ac:dyDescent="0.3">
      <c r="B32" s="164">
        <v>7</v>
      </c>
      <c r="C32" s="173" t="str">
        <f t="shared" si="0"/>
        <v>NI-MCPP-12</v>
      </c>
      <c r="D32" s="40"/>
      <c r="E32" s="35">
        <v>4</v>
      </c>
      <c r="F32" s="22">
        <v>1E-3</v>
      </c>
      <c r="G32" s="22">
        <v>1.4E-2</v>
      </c>
      <c r="H32" s="22"/>
      <c r="I32" s="22"/>
      <c r="J32" s="59"/>
      <c r="K3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2"/>
    </row>
    <row r="33" spans="1:12" x14ac:dyDescent="0.3">
      <c r="B33" s="164">
        <v>8</v>
      </c>
      <c r="C33" s="173" t="str">
        <f t="shared" si="0"/>
        <v>NI-MCPP-12</v>
      </c>
      <c r="D33" s="40"/>
      <c r="E33" s="317">
        <v>5</v>
      </c>
      <c r="F33" s="317">
        <v>0</v>
      </c>
      <c r="G33" s="22">
        <v>1.4E-2</v>
      </c>
      <c r="H33" s="166"/>
      <c r="I33" s="33"/>
      <c r="J33" s="59"/>
      <c r="K3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3"/>
    </row>
    <row r="34" spans="1:12" x14ac:dyDescent="0.3">
      <c r="B34" s="164">
        <v>9</v>
      </c>
      <c r="C34" s="173" t="str">
        <f t="shared" si="0"/>
        <v>NI-MCPP-12</v>
      </c>
      <c r="D34" s="40"/>
      <c r="E34" s="35">
        <v>5</v>
      </c>
      <c r="F34" s="22">
        <v>-4.0000000000000001E-3</v>
      </c>
      <c r="G34" s="22">
        <v>1.4E-2</v>
      </c>
      <c r="H34" s="22"/>
      <c r="I34" s="33"/>
      <c r="J34" s="59"/>
      <c r="K3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4"/>
    </row>
    <row r="35" spans="1:12" x14ac:dyDescent="0.3">
      <c r="B35" s="164">
        <v>10</v>
      </c>
      <c r="C35" s="173" t="str">
        <f t="shared" si="0"/>
        <v>NI-MCPP-12</v>
      </c>
      <c r="D35" s="40"/>
      <c r="E35" s="35">
        <v>4</v>
      </c>
      <c r="F35" s="22">
        <v>-4.0000000000000001E-3</v>
      </c>
      <c r="G35" s="22">
        <v>1.4E-2</v>
      </c>
      <c r="H35" s="22"/>
      <c r="I35" s="33"/>
      <c r="J35" s="59"/>
      <c r="K3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5"/>
    </row>
    <row r="36" spans="1:12" x14ac:dyDescent="0.3">
      <c r="B36" s="164">
        <v>11</v>
      </c>
      <c r="C36" s="173" t="str">
        <f t="shared" si="0"/>
        <v>NI-MCPP-12</v>
      </c>
      <c r="D36" s="40"/>
      <c r="E36" s="35">
        <v>3</v>
      </c>
      <c r="F36" s="22">
        <v>-4.0000000000000001E-3</v>
      </c>
      <c r="G36" s="22">
        <v>1.4E-2</v>
      </c>
      <c r="H36" s="22"/>
      <c r="I36" s="22"/>
      <c r="J36" s="59"/>
      <c r="K3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6"/>
    </row>
    <row r="37" spans="1:12" x14ac:dyDescent="0.3">
      <c r="B37" s="164">
        <v>12</v>
      </c>
      <c r="C37" s="173" t="str">
        <f t="shared" si="0"/>
        <v>NI-MCPP-12</v>
      </c>
      <c r="D37" s="40"/>
      <c r="E37" s="35">
        <v>2</v>
      </c>
      <c r="F37" s="22">
        <v>-5.0000000000000001E-3</v>
      </c>
      <c r="G37" s="22">
        <v>1.4E-2</v>
      </c>
      <c r="H37" s="22"/>
      <c r="I37" s="33"/>
      <c r="J37" s="59"/>
      <c r="K3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7"/>
    </row>
    <row r="38" spans="1:12" x14ac:dyDescent="0.3">
      <c r="B38" s="164">
        <v>13</v>
      </c>
      <c r="C38" s="173" t="str">
        <f t="shared" si="0"/>
        <v>NI-MCPP-12</v>
      </c>
      <c r="D38" s="40"/>
      <c r="E38" s="35">
        <v>1.5</v>
      </c>
      <c r="F38" s="22">
        <v>-3.0000000000000001E-3</v>
      </c>
      <c r="G38" s="22">
        <v>1.4E-2</v>
      </c>
      <c r="H38" s="22"/>
      <c r="I38" s="33"/>
      <c r="J38" s="59"/>
      <c r="K3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8"/>
    </row>
    <row r="39" spans="1:12" x14ac:dyDescent="0.3">
      <c r="B39" s="164">
        <v>14</v>
      </c>
      <c r="C39" s="173" t="str">
        <f t="shared" si="0"/>
        <v>NI-MCPP-12</v>
      </c>
      <c r="D39" s="40"/>
      <c r="E39" s="35">
        <v>1</v>
      </c>
      <c r="F39" s="22">
        <v>-4.0000000000000001E-3</v>
      </c>
      <c r="G39" s="22">
        <v>1.4E-2</v>
      </c>
      <c r="H39" s="22"/>
      <c r="I39" s="33"/>
      <c r="J39" s="59"/>
      <c r="K3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39"/>
    </row>
    <row r="40" spans="1:12" x14ac:dyDescent="0.3">
      <c r="B40" s="164">
        <v>15</v>
      </c>
      <c r="C40" s="173" t="str">
        <f t="shared" si="0"/>
        <v>NI-MCPP-12</v>
      </c>
      <c r="D40" s="40"/>
      <c r="E40" s="35">
        <v>0.5</v>
      </c>
      <c r="F40" s="22">
        <v>-3.0000000000000001E-3</v>
      </c>
      <c r="G40" s="22">
        <v>1.4E-2</v>
      </c>
      <c r="H40" s="22"/>
      <c r="I40" s="22"/>
      <c r="J40" s="59"/>
      <c r="K4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3" t="str">
        <f t="shared" si="0"/>
        <v>NI-MCPP-12</v>
      </c>
      <c r="D41" s="40"/>
      <c r="E41" s="22">
        <v>2E-3</v>
      </c>
      <c r="F41" s="22">
        <v>1E-3</v>
      </c>
      <c r="G41" s="22">
        <v>1.4E-2</v>
      </c>
      <c r="H41" s="22"/>
      <c r="I41" s="33"/>
      <c r="J41" s="59"/>
      <c r="K4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3" t="str">
        <f t="shared" si="0"/>
        <v>NI-MCPP-12</v>
      </c>
      <c r="D42" s="40"/>
      <c r="E42" s="22"/>
      <c r="F42" s="22"/>
      <c r="G42" s="22"/>
      <c r="H42" s="22"/>
      <c r="I42" s="22"/>
      <c r="J42" s="59"/>
      <c r="K4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4" t="str">
        <f>$C$26</f>
        <v>NI-MCPP-12</v>
      </c>
      <c r="D43" s="41"/>
      <c r="E43" s="160"/>
      <c r="F43" s="161"/>
      <c r="G43" s="42"/>
      <c r="H43" s="42"/>
      <c r="I43" s="42"/>
      <c r="J43" s="60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8">
        <v>1</v>
      </c>
      <c r="C44" s="63" t="str">
        <f>C16</f>
        <v>NI-MCPP-13</v>
      </c>
      <c r="D44" s="40" t="s">
        <v>572</v>
      </c>
      <c r="E44" s="44">
        <v>-11.8</v>
      </c>
      <c r="F44" s="318">
        <v>3.1E-2</v>
      </c>
      <c r="G44" s="35">
        <v>6.3E-2</v>
      </c>
      <c r="H44" s="22"/>
      <c r="I44" s="22"/>
      <c r="J44" s="59"/>
      <c r="K44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4"/>
    </row>
    <row r="45" spans="1:12" x14ac:dyDescent="0.3">
      <c r="B45" s="56">
        <v>2</v>
      </c>
      <c r="C45" s="173" t="str">
        <f>$C$44</f>
        <v>NI-MCPP-13</v>
      </c>
      <c r="D45" s="40" t="s">
        <v>573</v>
      </c>
      <c r="E45" s="44">
        <v>-10</v>
      </c>
      <c r="F45" s="35">
        <v>0.03</v>
      </c>
      <c r="G45" s="35">
        <v>6.3E-2</v>
      </c>
      <c r="H45" s="22"/>
      <c r="I45" s="22"/>
      <c r="J45" s="59"/>
      <c r="K45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5"/>
    </row>
    <row r="46" spans="1:12" x14ac:dyDescent="0.3">
      <c r="B46" s="56">
        <v>3</v>
      </c>
      <c r="C46" s="173" t="str">
        <f t="shared" ref="C46:C66" si="1">$C$44</f>
        <v>NI-MCPP-13</v>
      </c>
      <c r="D46" s="165"/>
      <c r="E46" s="168">
        <v>-6</v>
      </c>
      <c r="F46" s="317">
        <v>0.05</v>
      </c>
      <c r="G46" s="317">
        <v>0.06</v>
      </c>
      <c r="H46" s="166"/>
      <c r="I46" s="166"/>
      <c r="J46" s="167"/>
      <c r="K46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46"/>
    </row>
    <row r="47" spans="1:12" x14ac:dyDescent="0.3">
      <c r="B47" s="56">
        <v>4</v>
      </c>
      <c r="C47" s="173" t="str">
        <f t="shared" si="1"/>
        <v>NI-MCPP-13</v>
      </c>
      <c r="D47" s="40"/>
      <c r="E47" s="44">
        <v>0</v>
      </c>
      <c r="F47" s="35">
        <v>4.0000000000000001E-3</v>
      </c>
      <c r="G47" s="35">
        <v>5.8999999999999997E-2</v>
      </c>
      <c r="H47" s="22"/>
      <c r="I47" s="22"/>
      <c r="J47" s="59"/>
      <c r="K4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3" t="str">
        <f t="shared" si="1"/>
        <v>NI-MCPP-13</v>
      </c>
      <c r="D48" s="165"/>
      <c r="E48" s="168">
        <v>50</v>
      </c>
      <c r="F48" s="317">
        <v>1E-3</v>
      </c>
      <c r="G48" s="317">
        <v>5.8999999999999997E-2</v>
      </c>
      <c r="H48" s="166"/>
      <c r="I48" s="166"/>
      <c r="J48" s="167"/>
      <c r="K4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8"/>
    </row>
    <row r="49" spans="2:12" x14ac:dyDescent="0.3">
      <c r="B49" s="56">
        <v>6</v>
      </c>
      <c r="C49" s="173" t="str">
        <f t="shared" si="1"/>
        <v>NI-MCPP-13</v>
      </c>
      <c r="D49" s="40"/>
      <c r="E49" s="44">
        <v>100</v>
      </c>
      <c r="F49" s="35">
        <v>-0.01</v>
      </c>
      <c r="G49" s="35">
        <v>5.8999999999999997E-2</v>
      </c>
      <c r="H49" s="22"/>
      <c r="I49" s="22"/>
      <c r="J49" s="59"/>
      <c r="K4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2:12" x14ac:dyDescent="0.3">
      <c r="B50" s="56">
        <v>7</v>
      </c>
      <c r="C50" s="173" t="str">
        <f t="shared" si="1"/>
        <v>NI-MCPP-13</v>
      </c>
      <c r="D50" s="165"/>
      <c r="E50" s="168">
        <v>200</v>
      </c>
      <c r="F50" s="317">
        <v>-1.0999999999999999E-2</v>
      </c>
      <c r="G50" s="317">
        <v>6.0999999999999999E-2</v>
      </c>
      <c r="H50" s="166"/>
      <c r="I50" s="166"/>
      <c r="J50" s="167"/>
      <c r="K5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0"/>
    </row>
    <row r="51" spans="2:12" x14ac:dyDescent="0.3">
      <c r="B51" s="56">
        <v>8</v>
      </c>
      <c r="C51" s="173" t="str">
        <f t="shared" si="1"/>
        <v>NI-MCPP-13</v>
      </c>
      <c r="D51" s="40"/>
      <c r="E51" s="44">
        <v>400</v>
      </c>
      <c r="F51" s="35">
        <v>-2.5999999999999999E-2</v>
      </c>
      <c r="G51" s="35">
        <v>0.11</v>
      </c>
      <c r="H51" s="22"/>
      <c r="I51" s="22"/>
      <c r="J51" s="167"/>
      <c r="K5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1"/>
    </row>
    <row r="52" spans="2:12" x14ac:dyDescent="0.3">
      <c r="B52" s="56">
        <v>9</v>
      </c>
      <c r="C52" s="173" t="str">
        <f t="shared" si="1"/>
        <v>NI-MCPP-13</v>
      </c>
      <c r="D52" s="165"/>
      <c r="E52" s="168">
        <v>600</v>
      </c>
      <c r="F52" s="317">
        <v>-0.06</v>
      </c>
      <c r="G52" s="317">
        <v>0.11</v>
      </c>
      <c r="H52" s="166"/>
      <c r="I52" s="166"/>
      <c r="J52" s="167"/>
      <c r="K5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2:12" x14ac:dyDescent="0.3">
      <c r="B53" s="56">
        <v>10</v>
      </c>
      <c r="C53" s="173" t="str">
        <f t="shared" si="1"/>
        <v>NI-MCPP-13</v>
      </c>
      <c r="D53" s="165"/>
      <c r="E53" s="168">
        <v>800</v>
      </c>
      <c r="F53" s="317">
        <v>-0.05</v>
      </c>
      <c r="G53" s="317">
        <v>0.11</v>
      </c>
      <c r="H53" s="166"/>
      <c r="I53" s="166"/>
      <c r="J53" s="167"/>
      <c r="K5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3"/>
    </row>
    <row r="54" spans="2:12" x14ac:dyDescent="0.3">
      <c r="B54" s="56">
        <v>11</v>
      </c>
      <c r="C54" s="173" t="str">
        <f t="shared" si="1"/>
        <v>NI-MCPP-13</v>
      </c>
      <c r="D54" s="40"/>
      <c r="E54" s="44">
        <v>1000</v>
      </c>
      <c r="F54" s="35">
        <v>-0.02</v>
      </c>
      <c r="G54" s="35">
        <v>0.11</v>
      </c>
      <c r="H54" s="22"/>
      <c r="I54" s="22"/>
      <c r="J54" s="59"/>
      <c r="K5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2:12" x14ac:dyDescent="0.3">
      <c r="B55" s="56">
        <v>12</v>
      </c>
      <c r="C55" s="173" t="str">
        <f t="shared" si="1"/>
        <v>NI-MCPP-13</v>
      </c>
      <c r="D55" s="40"/>
      <c r="E55" s="44">
        <v>1450</v>
      </c>
      <c r="F55" s="35">
        <v>-0.02</v>
      </c>
      <c r="G55" s="35">
        <v>0.11</v>
      </c>
      <c r="H55" s="22"/>
      <c r="I55" s="22"/>
      <c r="J55" s="59"/>
      <c r="K5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5"/>
    </row>
    <row r="56" spans="2:12" x14ac:dyDescent="0.3">
      <c r="B56" s="56">
        <v>13</v>
      </c>
      <c r="C56" s="173" t="str">
        <f t="shared" si="1"/>
        <v>NI-MCPP-13</v>
      </c>
      <c r="D56" s="40"/>
      <c r="E56" s="44">
        <v>1450</v>
      </c>
      <c r="F56" s="35">
        <v>-0.06</v>
      </c>
      <c r="G56" s="35">
        <v>0.13</v>
      </c>
      <c r="H56" s="22"/>
      <c r="I56" s="22"/>
      <c r="J56" s="167"/>
      <c r="K5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2:12" x14ac:dyDescent="0.3">
      <c r="B57" s="56">
        <v>14</v>
      </c>
      <c r="C57" s="173" t="str">
        <f t="shared" si="1"/>
        <v>NI-MCPP-13</v>
      </c>
      <c r="D57" s="40"/>
      <c r="E57" s="44">
        <v>1000</v>
      </c>
      <c r="F57" s="35">
        <v>-0.04</v>
      </c>
      <c r="G57" s="35">
        <v>0.12</v>
      </c>
      <c r="H57" s="22"/>
      <c r="I57" s="22"/>
      <c r="J57" s="59"/>
      <c r="K5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7"/>
    </row>
    <row r="58" spans="2:12" x14ac:dyDescent="0.3">
      <c r="B58" s="56">
        <v>15</v>
      </c>
      <c r="C58" s="173" t="str">
        <f>$C$44</f>
        <v>NI-MCPP-13</v>
      </c>
      <c r="D58" s="40"/>
      <c r="E58" s="44">
        <v>800</v>
      </c>
      <c r="F58" s="35">
        <v>0.01</v>
      </c>
      <c r="G58" s="35">
        <v>0.12</v>
      </c>
      <c r="H58" s="22"/>
      <c r="I58" s="22"/>
      <c r="J58" s="59"/>
      <c r="K5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2:12" x14ac:dyDescent="0.3">
      <c r="B59" s="56">
        <v>15</v>
      </c>
      <c r="C59" s="173" t="str">
        <f t="shared" ref="C59:C64" si="2">$C$44</f>
        <v>NI-MCPP-13</v>
      </c>
      <c r="D59" s="40"/>
      <c r="E59" s="44">
        <v>600</v>
      </c>
      <c r="F59" s="35">
        <v>-0.01</v>
      </c>
      <c r="G59" s="35">
        <v>0.12</v>
      </c>
      <c r="H59" s="22"/>
      <c r="I59" s="22"/>
      <c r="J59" s="59"/>
      <c r="K5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2:12" x14ac:dyDescent="0.3">
      <c r="B60" s="56">
        <v>15</v>
      </c>
      <c r="C60" s="173" t="str">
        <f t="shared" si="2"/>
        <v>NI-MCPP-13</v>
      </c>
      <c r="D60" s="40"/>
      <c r="E60" s="44">
        <v>400</v>
      </c>
      <c r="F60" s="35">
        <v>6.8000000000000005E-2</v>
      </c>
      <c r="G60" s="35">
        <v>6.3E-2</v>
      </c>
      <c r="H60" s="22"/>
      <c r="I60" s="22"/>
      <c r="J60" s="59"/>
      <c r="K6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2:12" x14ac:dyDescent="0.3">
      <c r="B61" s="56">
        <v>15</v>
      </c>
      <c r="C61" s="173" t="str">
        <f t="shared" si="2"/>
        <v>NI-MCPP-13</v>
      </c>
      <c r="D61" s="40"/>
      <c r="E61" s="44">
        <v>200</v>
      </c>
      <c r="F61" s="35">
        <v>4.9000000000000002E-2</v>
      </c>
      <c r="G61" s="35">
        <v>6.2E-2</v>
      </c>
      <c r="H61" s="22"/>
      <c r="I61" s="22"/>
      <c r="J61" s="59"/>
      <c r="K6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1"/>
    </row>
    <row r="62" spans="2:12" x14ac:dyDescent="0.3">
      <c r="B62" s="56">
        <v>15</v>
      </c>
      <c r="C62" s="173" t="str">
        <f t="shared" si="2"/>
        <v>NI-MCPP-13</v>
      </c>
      <c r="D62" s="40"/>
      <c r="E62" s="44">
        <v>100</v>
      </c>
      <c r="F62" s="35">
        <v>8.2000000000000003E-2</v>
      </c>
      <c r="G62" s="35">
        <v>5.8000000000000003E-2</v>
      </c>
      <c r="H62" s="22"/>
      <c r="I62" s="22"/>
      <c r="J62" s="59"/>
      <c r="K6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2"/>
    </row>
    <row r="63" spans="2:12" x14ac:dyDescent="0.3">
      <c r="B63" s="56">
        <v>15</v>
      </c>
      <c r="C63" s="173" t="str">
        <f t="shared" si="2"/>
        <v>NI-MCPP-13</v>
      </c>
      <c r="D63" s="40"/>
      <c r="E63" s="44">
        <v>50</v>
      </c>
      <c r="F63" s="35">
        <v>5.7000000000000002E-2</v>
      </c>
      <c r="G63" s="35">
        <v>8.7999999999999995E-2</v>
      </c>
      <c r="H63" s="22"/>
      <c r="I63" s="22"/>
      <c r="J63" s="59"/>
      <c r="K6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3"/>
    </row>
    <row r="64" spans="2:12" x14ac:dyDescent="0.3">
      <c r="B64" s="56">
        <v>15</v>
      </c>
      <c r="C64" s="173" t="str">
        <f t="shared" si="2"/>
        <v>NI-MCPP-13</v>
      </c>
      <c r="D64" s="40"/>
      <c r="E64" s="44">
        <v>0</v>
      </c>
      <c r="F64" s="35">
        <v>1E-3</v>
      </c>
      <c r="G64" s="35">
        <v>0.06</v>
      </c>
      <c r="H64" s="22"/>
      <c r="I64" s="22"/>
      <c r="J64" s="59"/>
      <c r="K6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4"/>
    </row>
    <row r="65" spans="1:12" x14ac:dyDescent="0.3">
      <c r="B65" s="56">
        <v>16</v>
      </c>
      <c r="C65" s="173" t="str">
        <f t="shared" si="1"/>
        <v>NI-MCPP-13</v>
      </c>
      <c r="D65" s="40"/>
      <c r="E65" s="44">
        <v>-6</v>
      </c>
      <c r="F65" s="35">
        <v>-1.4999999999999999E-2</v>
      </c>
      <c r="G65" s="35">
        <v>5.8999999999999997E-2</v>
      </c>
      <c r="H65" s="22"/>
      <c r="I65" s="22"/>
      <c r="J65" s="59"/>
      <c r="K65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5"/>
    </row>
    <row r="66" spans="1:12" x14ac:dyDescent="0.3">
      <c r="B66" s="56">
        <v>17</v>
      </c>
      <c r="C66" s="173" t="str">
        <f t="shared" si="1"/>
        <v>NI-MCPP-13</v>
      </c>
      <c r="D66" s="40"/>
      <c r="E66" s="44">
        <v>-10</v>
      </c>
      <c r="F66" s="35">
        <v>-2.1999999999999999E-2</v>
      </c>
      <c r="G66" s="35">
        <v>6.3E-2</v>
      </c>
      <c r="H66" s="22"/>
      <c r="I66" s="22"/>
      <c r="J66" s="59"/>
      <c r="K66" s="17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6"/>
    </row>
    <row r="67" spans="1:12" ht="15" thickBot="1" x14ac:dyDescent="0.35">
      <c r="B67" s="56">
        <v>18</v>
      </c>
      <c r="C67" s="174" t="str">
        <f>$C$44</f>
        <v>NI-MCPP-13</v>
      </c>
      <c r="D67" s="41"/>
      <c r="E67" s="163">
        <v>-11.8</v>
      </c>
      <c r="F67" s="160">
        <v>9.4E-2</v>
      </c>
      <c r="G67" s="160">
        <v>6.0999999999999999E-2</v>
      </c>
      <c r="H67" s="42"/>
      <c r="I67" s="42"/>
      <c r="J67" s="60"/>
      <c r="K67" s="162" t="str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/>
      </c>
      <c r="L67"/>
    </row>
    <row r="68" spans="1:12" x14ac:dyDescent="0.3">
      <c r="A68" s="36">
        <v>3</v>
      </c>
      <c r="B68" s="58">
        <v>1</v>
      </c>
      <c r="C68" s="63" t="str">
        <f>C17</f>
        <v>NI-MCPP-04</v>
      </c>
      <c r="D68" s="40" t="s">
        <v>574</v>
      </c>
      <c r="E68" s="304">
        <v>-11.8</v>
      </c>
      <c r="F68" s="308">
        <v>4.8000000000000001E-2</v>
      </c>
      <c r="G68" s="312">
        <v>5.8999999999999997E-2</v>
      </c>
      <c r="H68" s="304">
        <v>0</v>
      </c>
      <c r="I68" s="308">
        <v>0</v>
      </c>
      <c r="J68" s="312">
        <v>5.2999999999999999E-2</v>
      </c>
      <c r="K6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8"/>
    </row>
    <row r="69" spans="1:12" x14ac:dyDescent="0.3">
      <c r="B69" s="56">
        <v>2</v>
      </c>
      <c r="C69" s="175" t="str">
        <f>$C$68</f>
        <v>NI-MCPP-04</v>
      </c>
      <c r="D69" s="40" t="s">
        <v>399</v>
      </c>
      <c r="E69" s="305">
        <v>-10</v>
      </c>
      <c r="F69" s="309">
        <v>2.9000000000000001E-2</v>
      </c>
      <c r="G69" s="313">
        <v>5.8999999999999997E-2</v>
      </c>
      <c r="H69" s="305">
        <v>59.9</v>
      </c>
      <c r="I69" s="309">
        <v>0</v>
      </c>
      <c r="J69" s="313">
        <v>5.2999999999999999E-2</v>
      </c>
      <c r="K6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9"/>
    </row>
    <row r="70" spans="1:12" x14ac:dyDescent="0.3">
      <c r="B70" s="56">
        <v>3</v>
      </c>
      <c r="C70" s="175" t="str">
        <f t="shared" ref="C70:C93" si="3">$C$68</f>
        <v>NI-MCPP-04</v>
      </c>
      <c r="D70" s="40"/>
      <c r="E70" s="305">
        <v>-6</v>
      </c>
      <c r="F70" s="309">
        <v>1.7000000000000001E-2</v>
      </c>
      <c r="G70" s="313">
        <v>6.5000000000000002E-2</v>
      </c>
      <c r="H70" s="305">
        <v>79.91</v>
      </c>
      <c r="I70" s="309">
        <v>0</v>
      </c>
      <c r="J70" s="313">
        <v>6.9599999999999995E-2</v>
      </c>
      <c r="K7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70"/>
    </row>
    <row r="71" spans="1:12" x14ac:dyDescent="0.3">
      <c r="B71" s="56">
        <v>4</v>
      </c>
      <c r="C71" s="175" t="str">
        <f t="shared" si="3"/>
        <v>NI-MCPP-04</v>
      </c>
      <c r="D71" s="40"/>
      <c r="E71" s="305">
        <v>0</v>
      </c>
      <c r="F71" s="309">
        <v>3.0000000000000001E-3</v>
      </c>
      <c r="G71" s="313">
        <v>5.8999999999999997E-2</v>
      </c>
      <c r="H71" s="305">
        <v>100.06</v>
      </c>
      <c r="I71" s="309">
        <v>-8.6999999999999994E-3</v>
      </c>
      <c r="J71" s="313">
        <v>7.5399999999999995E-2</v>
      </c>
      <c r="K7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71"/>
    </row>
    <row r="72" spans="1:12" x14ac:dyDescent="0.3">
      <c r="B72" s="56">
        <v>5</v>
      </c>
      <c r="C72" s="175" t="str">
        <f t="shared" si="3"/>
        <v>NI-MCPP-04</v>
      </c>
      <c r="D72" s="40"/>
      <c r="E72" s="306">
        <v>50</v>
      </c>
      <c r="F72" s="310">
        <v>-1.9E-2</v>
      </c>
      <c r="G72" s="313">
        <v>6.3E-2</v>
      </c>
      <c r="H72" s="306">
        <v>159.97</v>
      </c>
      <c r="I72" s="310">
        <v>-4.4000000000000003E-3</v>
      </c>
      <c r="J72" s="313">
        <v>7.5399999999999995E-2</v>
      </c>
      <c r="K7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72"/>
    </row>
    <row r="73" spans="1:12" x14ac:dyDescent="0.3">
      <c r="B73" s="56">
        <v>6</v>
      </c>
      <c r="C73" s="175" t="str">
        <f t="shared" si="3"/>
        <v>NI-MCPP-04</v>
      </c>
      <c r="D73" s="40"/>
      <c r="E73" s="306">
        <v>100</v>
      </c>
      <c r="F73" s="310">
        <v>-1.4999999999999999E-2</v>
      </c>
      <c r="G73" s="313">
        <v>5.8999999999999997E-2</v>
      </c>
      <c r="H73" s="306">
        <v>199.99</v>
      </c>
      <c r="I73" s="310">
        <v>-1.1599999999999999E-2</v>
      </c>
      <c r="J73" s="313">
        <v>0.13200000000000001</v>
      </c>
      <c r="K7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73"/>
    </row>
    <row r="74" spans="1:12" x14ac:dyDescent="0.3">
      <c r="B74" s="56">
        <v>7</v>
      </c>
      <c r="C74" s="175" t="str">
        <f t="shared" si="3"/>
        <v>NI-MCPP-04</v>
      </c>
      <c r="D74" s="40"/>
      <c r="E74" s="306">
        <v>200</v>
      </c>
      <c r="F74" s="310">
        <v>-7.0000000000000001E-3</v>
      </c>
      <c r="G74" s="313">
        <v>0.06</v>
      </c>
      <c r="H74" s="306">
        <v>299.91000000000003</v>
      </c>
      <c r="I74" s="310">
        <v>-2.47E-2</v>
      </c>
      <c r="J74" s="313">
        <v>0.10879999999999999</v>
      </c>
      <c r="K7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74"/>
    </row>
    <row r="75" spans="1:12" x14ac:dyDescent="0.3">
      <c r="B75" s="56">
        <v>8</v>
      </c>
      <c r="C75" s="175" t="str">
        <f t="shared" si="3"/>
        <v>NI-MCPP-04</v>
      </c>
      <c r="D75" s="40"/>
      <c r="E75" s="307">
        <v>400</v>
      </c>
      <c r="F75" s="311">
        <v>-4.2000000000000003E-2</v>
      </c>
      <c r="G75" s="313">
        <v>6.7000000000000004E-2</v>
      </c>
      <c r="H75" s="307">
        <v>399.95</v>
      </c>
      <c r="I75" s="311">
        <v>-5.8000000000000003E-2</v>
      </c>
      <c r="J75" s="313">
        <v>0.21759999999999999</v>
      </c>
      <c r="K7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75"/>
    </row>
    <row r="76" spans="1:12" x14ac:dyDescent="0.3">
      <c r="B76" s="56">
        <v>9</v>
      </c>
      <c r="C76" s="175" t="str">
        <f t="shared" si="3"/>
        <v>NI-MCPP-04</v>
      </c>
      <c r="D76" s="40"/>
      <c r="E76" s="307">
        <v>600</v>
      </c>
      <c r="F76" s="311">
        <v>-0.05</v>
      </c>
      <c r="G76" s="313">
        <v>0.12</v>
      </c>
      <c r="H76" s="307">
        <v>499.87</v>
      </c>
      <c r="I76" s="311">
        <v>-7.2499999999999995E-2</v>
      </c>
      <c r="J76" s="313">
        <v>0.2321</v>
      </c>
      <c r="K7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76"/>
    </row>
    <row r="77" spans="1:12" x14ac:dyDescent="0.3">
      <c r="B77" s="56">
        <v>10</v>
      </c>
      <c r="C77" s="175" t="str">
        <f t="shared" si="3"/>
        <v>NI-MCPP-04</v>
      </c>
      <c r="D77" s="40"/>
      <c r="E77" s="307">
        <v>800</v>
      </c>
      <c r="F77" s="311">
        <v>-0.15</v>
      </c>
      <c r="G77" s="313">
        <v>0.11</v>
      </c>
      <c r="H77" s="307">
        <v>599.77</v>
      </c>
      <c r="I77" s="311">
        <v>-6.1499999999999999E-2</v>
      </c>
      <c r="J77" s="313">
        <v>0.29010000000000002</v>
      </c>
      <c r="K7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1:12" x14ac:dyDescent="0.3">
      <c r="B78" s="56">
        <v>11</v>
      </c>
      <c r="C78" s="175" t="str">
        <f t="shared" si="3"/>
        <v>NI-MCPP-04</v>
      </c>
      <c r="D78" s="40"/>
      <c r="E78" s="307">
        <v>1000</v>
      </c>
      <c r="F78" s="311">
        <v>-0.11</v>
      </c>
      <c r="G78" s="313">
        <v>0.12</v>
      </c>
      <c r="H78" s="307">
        <v>699.79</v>
      </c>
      <c r="I78" s="311">
        <v>-1.95E-2</v>
      </c>
      <c r="J78" s="313">
        <v>0.21759999999999999</v>
      </c>
      <c r="K7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8"/>
    </row>
    <row r="79" spans="1:12" x14ac:dyDescent="0.3">
      <c r="B79" s="56">
        <v>12</v>
      </c>
      <c r="C79" s="175" t="str">
        <f t="shared" si="3"/>
        <v>NI-MCPP-04</v>
      </c>
      <c r="D79" s="40"/>
      <c r="E79" s="307">
        <v>1000</v>
      </c>
      <c r="F79" s="311">
        <v>-0.15</v>
      </c>
      <c r="G79" s="313">
        <v>0.12</v>
      </c>
      <c r="H79" s="307">
        <v>799.68</v>
      </c>
      <c r="I79" s="311">
        <v>-4.3099999999999999E-2</v>
      </c>
      <c r="J79" s="313">
        <v>0.2611</v>
      </c>
      <c r="K7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9"/>
    </row>
    <row r="80" spans="1:12" x14ac:dyDescent="0.3">
      <c r="B80" s="56">
        <v>13</v>
      </c>
      <c r="C80" s="175" t="str">
        <f t="shared" si="3"/>
        <v>NI-MCPP-04</v>
      </c>
      <c r="D80" s="40"/>
      <c r="E80" s="307">
        <v>800</v>
      </c>
      <c r="F80" s="311">
        <v>-0.1</v>
      </c>
      <c r="G80" s="313">
        <v>0.12</v>
      </c>
      <c r="H80" s="307">
        <v>899.75</v>
      </c>
      <c r="I80" s="311">
        <v>-2.3099999999999999E-2</v>
      </c>
      <c r="J80" s="313">
        <v>0.24660000000000001</v>
      </c>
      <c r="K8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80"/>
    </row>
    <row r="81" spans="1:12" x14ac:dyDescent="0.3">
      <c r="B81" s="56">
        <v>14</v>
      </c>
      <c r="C81" s="175" t="str">
        <f t="shared" si="3"/>
        <v>NI-MCPP-04</v>
      </c>
      <c r="D81" s="40"/>
      <c r="E81" s="307">
        <v>600</v>
      </c>
      <c r="F81" s="311">
        <v>-0.06</v>
      </c>
      <c r="G81" s="313">
        <v>0.12</v>
      </c>
      <c r="H81" s="307">
        <v>899.74</v>
      </c>
      <c r="I81" s="311">
        <v>-3.7600000000000001E-2</v>
      </c>
      <c r="J81" s="313">
        <v>0.24660000000000001</v>
      </c>
      <c r="K8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81"/>
    </row>
    <row r="82" spans="1:12" x14ac:dyDescent="0.3">
      <c r="B82" s="56">
        <v>15</v>
      </c>
      <c r="C82" s="175" t="str">
        <f t="shared" si="3"/>
        <v>NI-MCPP-04</v>
      </c>
      <c r="D82" s="40"/>
      <c r="E82" s="307">
        <v>400</v>
      </c>
      <c r="F82" s="311">
        <v>2.1999999999999999E-2</v>
      </c>
      <c r="G82" s="313">
        <v>0.06</v>
      </c>
      <c r="H82" s="307">
        <v>799.66</v>
      </c>
      <c r="I82" s="311">
        <v>-4.7600000000000003E-2</v>
      </c>
      <c r="J82" s="313">
        <v>0.2611</v>
      </c>
      <c r="K8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82"/>
    </row>
    <row r="83" spans="1:12" x14ac:dyDescent="0.3">
      <c r="B83" s="56">
        <v>16</v>
      </c>
      <c r="C83" s="175" t="str">
        <f t="shared" si="3"/>
        <v>NI-MCPP-04</v>
      </c>
      <c r="D83" s="40"/>
      <c r="E83" s="307">
        <v>200</v>
      </c>
      <c r="F83" s="311">
        <v>5.0999999999999997E-2</v>
      </c>
      <c r="G83" s="313">
        <v>5.8999999999999997E-2</v>
      </c>
      <c r="H83" s="307">
        <v>699.76</v>
      </c>
      <c r="I83" s="311">
        <v>-0.13850000000000001</v>
      </c>
      <c r="J83" s="313">
        <v>0.1885</v>
      </c>
      <c r="K8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83"/>
    </row>
    <row r="84" spans="1:12" x14ac:dyDescent="0.3">
      <c r="B84" s="56">
        <v>17</v>
      </c>
      <c r="C84" s="175" t="str">
        <f t="shared" si="3"/>
        <v>NI-MCPP-04</v>
      </c>
      <c r="D84" s="40"/>
      <c r="E84" s="307">
        <v>100</v>
      </c>
      <c r="F84" s="311">
        <v>4.8000000000000001E-2</v>
      </c>
      <c r="G84" s="313">
        <v>5.8000000000000003E-2</v>
      </c>
      <c r="H84" s="307">
        <v>599.75</v>
      </c>
      <c r="I84" s="311">
        <v>-4.0500000000000001E-2</v>
      </c>
      <c r="J84" s="313">
        <v>0.24660000000000001</v>
      </c>
      <c r="K8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84"/>
    </row>
    <row r="85" spans="1:12" x14ac:dyDescent="0.3">
      <c r="B85" s="56">
        <v>18</v>
      </c>
      <c r="C85" s="175" t="str">
        <f t="shared" si="3"/>
        <v>NI-MCPP-04</v>
      </c>
      <c r="D85" s="40"/>
      <c r="E85" s="307">
        <v>50</v>
      </c>
      <c r="F85" s="311">
        <v>1.7999999999999999E-2</v>
      </c>
      <c r="G85" s="313">
        <v>5.8999999999999997E-2</v>
      </c>
      <c r="H85" s="307">
        <v>499.84</v>
      </c>
      <c r="I85" s="311">
        <v>-0.10150000000000001</v>
      </c>
      <c r="J85" s="313">
        <v>0.27560000000000001</v>
      </c>
      <c r="K8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85"/>
    </row>
    <row r="86" spans="1:12" x14ac:dyDescent="0.3">
      <c r="B86" s="56">
        <v>19</v>
      </c>
      <c r="C86" s="175" t="str">
        <f t="shared" si="3"/>
        <v>NI-MCPP-04</v>
      </c>
      <c r="D86" s="40"/>
      <c r="E86" s="307">
        <v>0</v>
      </c>
      <c r="F86" s="311">
        <v>2E-3</v>
      </c>
      <c r="G86" s="313">
        <v>5.8000000000000003E-2</v>
      </c>
      <c r="H86" s="307">
        <v>399.95</v>
      </c>
      <c r="I86" s="311">
        <v>-5.8000000000000003E-2</v>
      </c>
      <c r="J86" s="313">
        <v>0.29010000000000002</v>
      </c>
      <c r="K8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86"/>
    </row>
    <row r="87" spans="1:12" x14ac:dyDescent="0.3">
      <c r="B87" s="56">
        <v>20</v>
      </c>
      <c r="C87" s="175" t="str">
        <f t="shared" si="3"/>
        <v>NI-MCPP-04</v>
      </c>
      <c r="D87" s="40"/>
      <c r="E87" s="307">
        <v>-6</v>
      </c>
      <c r="F87" s="311">
        <v>-2.9000000000000001E-2</v>
      </c>
      <c r="G87" s="313">
        <v>5.8999999999999997E-2</v>
      </c>
      <c r="H87" s="307">
        <v>299.91000000000003</v>
      </c>
      <c r="I87" s="311">
        <v>-2.9000000000000001E-2</v>
      </c>
      <c r="J87" s="313">
        <v>0.27560000000000001</v>
      </c>
      <c r="K8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7"/>
    </row>
    <row r="88" spans="1:12" x14ac:dyDescent="0.3">
      <c r="B88" s="56">
        <v>21</v>
      </c>
      <c r="C88" s="175" t="str">
        <f t="shared" si="3"/>
        <v>NI-MCPP-04</v>
      </c>
      <c r="D88" s="40"/>
      <c r="E88" s="307">
        <v>-10</v>
      </c>
      <c r="F88" s="311">
        <v>-3.2000000000000001E-2</v>
      </c>
      <c r="G88" s="313">
        <v>5.8999999999999997E-2</v>
      </c>
      <c r="H88" s="307">
        <v>199.99</v>
      </c>
      <c r="I88" s="311">
        <v>-1.4500000000000001E-2</v>
      </c>
      <c r="J88" s="313">
        <v>0.2611</v>
      </c>
      <c r="K8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8"/>
    </row>
    <row r="89" spans="1:12" x14ac:dyDescent="0.3">
      <c r="B89" s="56">
        <v>22</v>
      </c>
      <c r="C89" s="175" t="str">
        <f t="shared" si="3"/>
        <v>NI-MCPP-04</v>
      </c>
      <c r="D89" s="40"/>
      <c r="E89" s="305">
        <v>-11.897</v>
      </c>
      <c r="F89" s="309">
        <v>8.5999999999999993E-2</v>
      </c>
      <c r="G89" s="313">
        <v>0.06</v>
      </c>
      <c r="H89" s="305">
        <v>159.97</v>
      </c>
      <c r="I89" s="309">
        <v>0</v>
      </c>
      <c r="J89" s="313">
        <v>0.30459999999999998</v>
      </c>
      <c r="K8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9"/>
    </row>
    <row r="90" spans="1:12" x14ac:dyDescent="0.3">
      <c r="B90" s="56">
        <v>23</v>
      </c>
      <c r="C90" s="175" t="str">
        <f t="shared" si="3"/>
        <v>NI-MCPP-04</v>
      </c>
      <c r="D90" s="40"/>
      <c r="E90" s="35"/>
      <c r="F90" s="35"/>
      <c r="G90" s="269"/>
      <c r="H90" s="306">
        <v>100.09</v>
      </c>
      <c r="I90" s="310">
        <v>1.4500000000000001E-2</v>
      </c>
      <c r="J90" s="313">
        <v>0.33360000000000001</v>
      </c>
      <c r="K9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0"/>
    </row>
    <row r="91" spans="1:12" x14ac:dyDescent="0.3">
      <c r="B91" s="56">
        <v>24</v>
      </c>
      <c r="C91" s="175" t="str">
        <f t="shared" si="3"/>
        <v>NI-MCPP-04</v>
      </c>
      <c r="D91" s="40"/>
      <c r="E91" s="35"/>
      <c r="F91" s="35"/>
      <c r="G91" s="269"/>
      <c r="H91" s="306">
        <v>79.930000000000007</v>
      </c>
      <c r="I91" s="310">
        <v>1.4500000000000001E-2</v>
      </c>
      <c r="J91" s="313">
        <v>0.33360000000000001</v>
      </c>
      <c r="K9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1"/>
    </row>
    <row r="92" spans="1:12" x14ac:dyDescent="0.3">
      <c r="B92" s="56">
        <v>25</v>
      </c>
      <c r="C92" s="175" t="str">
        <f t="shared" si="3"/>
        <v>NI-MCPP-04</v>
      </c>
      <c r="D92" s="40"/>
      <c r="E92" s="35"/>
      <c r="F92" s="35"/>
      <c r="G92" s="269"/>
      <c r="H92" s="306">
        <v>59.92</v>
      </c>
      <c r="I92" s="310">
        <v>2.9000000000000001E-2</v>
      </c>
      <c r="J92" s="313">
        <v>0.34810000000000002</v>
      </c>
      <c r="K9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2"/>
    </row>
    <row r="93" spans="1:12" ht="15" thickBot="1" x14ac:dyDescent="0.35">
      <c r="B93" s="57">
        <v>26</v>
      </c>
      <c r="C93" s="176" t="str">
        <f t="shared" si="3"/>
        <v>NI-MCPP-04</v>
      </c>
      <c r="D93" s="41"/>
      <c r="E93" s="160"/>
      <c r="F93" s="161"/>
      <c r="G93" s="160"/>
      <c r="H93" s="314">
        <v>0.03</v>
      </c>
      <c r="I93" s="315">
        <v>0.03</v>
      </c>
      <c r="J93" s="316">
        <v>5.2999999999999999E-2</v>
      </c>
      <c r="K9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93"/>
    </row>
    <row r="94" spans="1:12" x14ac:dyDescent="0.3">
      <c r="A94" s="36"/>
      <c r="L94"/>
    </row>
    <row r="95" spans="1:12" x14ac:dyDescent="0.3">
      <c r="L95"/>
    </row>
    <row r="96" spans="1:12" ht="15" thickBot="1" x14ac:dyDescent="0.35">
      <c r="L96"/>
    </row>
    <row r="97" spans="4:12" ht="15" thickBot="1" x14ac:dyDescent="0.35">
      <c r="D97" s="408" t="s">
        <v>741</v>
      </c>
      <c r="E97" s="409"/>
      <c r="F97" s="409"/>
      <c r="G97" s="410"/>
      <c r="L97"/>
    </row>
    <row r="98" spans="4:12" x14ac:dyDescent="0.3">
      <c r="D98" s="329" t="s">
        <v>742</v>
      </c>
      <c r="E98" s="330"/>
      <c r="F98" s="330"/>
      <c r="G98" s="331"/>
      <c r="L98"/>
    </row>
    <row r="99" spans="4:12" x14ac:dyDescent="0.3">
      <c r="D99" s="329" t="s">
        <v>743</v>
      </c>
      <c r="E99" s="330"/>
      <c r="F99" s="330"/>
      <c r="G99" s="331"/>
      <c r="L99"/>
    </row>
    <row r="100" spans="4:12" x14ac:dyDescent="0.3">
      <c r="D100" s="329" t="s">
        <v>744</v>
      </c>
      <c r="E100" s="330"/>
      <c r="F100" s="330"/>
      <c r="G100" s="331"/>
      <c r="L100"/>
    </row>
    <row r="101" spans="4:12" x14ac:dyDescent="0.3">
      <c r="D101" s="329" t="s">
        <v>745</v>
      </c>
      <c r="E101" s="330"/>
      <c r="F101" s="330"/>
      <c r="G101" s="331"/>
      <c r="L101"/>
    </row>
    <row r="102" spans="4:12" x14ac:dyDescent="0.3">
      <c r="D102" s="329" t="s">
        <v>746</v>
      </c>
      <c r="E102" s="330"/>
      <c r="F102" s="330"/>
      <c r="G102" s="331"/>
      <c r="L102"/>
    </row>
    <row r="103" spans="4:12" x14ac:dyDescent="0.3">
      <c r="D103" s="329" t="s">
        <v>747</v>
      </c>
      <c r="E103" s="330"/>
      <c r="F103" s="330"/>
      <c r="G103" s="331"/>
    </row>
    <row r="104" spans="4:12" x14ac:dyDescent="0.3">
      <c r="D104" s="329" t="s">
        <v>748</v>
      </c>
      <c r="E104" s="330"/>
      <c r="F104" s="330"/>
      <c r="G104" s="331"/>
    </row>
    <row r="105" spans="4:12" x14ac:dyDescent="0.3">
      <c r="D105" s="329" t="s">
        <v>749</v>
      </c>
      <c r="E105" s="330"/>
      <c r="F105" s="330"/>
      <c r="G105" s="331"/>
    </row>
    <row r="106" spans="4:12" x14ac:dyDescent="0.3">
      <c r="D106" s="329" t="s">
        <v>750</v>
      </c>
      <c r="E106" s="330"/>
      <c r="F106" s="330"/>
      <c r="G106" s="331"/>
    </row>
    <row r="107" spans="4:12" x14ac:dyDescent="0.3">
      <c r="D107" s="329" t="s">
        <v>751</v>
      </c>
      <c r="E107" s="330"/>
      <c r="F107" s="330"/>
      <c r="G107" s="331"/>
    </row>
    <row r="108" spans="4:12" x14ac:dyDescent="0.3">
      <c r="D108" s="329" t="s">
        <v>752</v>
      </c>
      <c r="E108" s="330"/>
      <c r="F108" s="330"/>
      <c r="G108" s="331"/>
    </row>
    <row r="109" spans="4:12" x14ac:dyDescent="0.3">
      <c r="D109" s="329" t="s">
        <v>753</v>
      </c>
      <c r="E109" s="330"/>
      <c r="F109" s="330"/>
      <c r="G109" s="331"/>
    </row>
    <row r="110" spans="4:12" x14ac:dyDescent="0.3">
      <c r="D110" s="329" t="s">
        <v>754</v>
      </c>
      <c r="E110" s="330"/>
      <c r="F110" s="330"/>
      <c r="G110" s="331"/>
    </row>
    <row r="111" spans="4:12" x14ac:dyDescent="0.3">
      <c r="D111" s="329" t="s">
        <v>755</v>
      </c>
      <c r="E111" s="330"/>
      <c r="F111" s="330"/>
      <c r="G111" s="331"/>
    </row>
    <row r="112" spans="4:12" x14ac:dyDescent="0.3">
      <c r="D112" s="329" t="s">
        <v>756</v>
      </c>
      <c r="E112" s="330"/>
      <c r="F112" s="330"/>
      <c r="G112" s="331"/>
    </row>
    <row r="113" spans="4:7" x14ac:dyDescent="0.3">
      <c r="D113" s="329" t="s">
        <v>757</v>
      </c>
      <c r="E113" s="330"/>
      <c r="F113" s="330"/>
      <c r="G113" s="331"/>
    </row>
    <row r="114" spans="4:7" x14ac:dyDescent="0.3">
      <c r="D114" s="329" t="s">
        <v>758</v>
      </c>
      <c r="E114" s="330"/>
      <c r="F114" s="330"/>
      <c r="G114" s="331"/>
    </row>
    <row r="115" spans="4:7" x14ac:dyDescent="0.3">
      <c r="D115" s="329" t="s">
        <v>759</v>
      </c>
      <c r="E115" s="330"/>
      <c r="F115" s="330"/>
      <c r="G115" s="331"/>
    </row>
    <row r="116" spans="4:7" x14ac:dyDescent="0.3">
      <c r="D116" s="329" t="s">
        <v>760</v>
      </c>
      <c r="E116" s="330"/>
      <c r="F116" s="330"/>
      <c r="G116" s="331"/>
    </row>
    <row r="117" spans="4:7" x14ac:dyDescent="0.3">
      <c r="D117" s="329" t="s">
        <v>761</v>
      </c>
      <c r="E117" s="330"/>
      <c r="F117" s="330"/>
      <c r="G117" s="331"/>
    </row>
    <row r="118" spans="4:7" x14ac:dyDescent="0.3">
      <c r="D118" s="329" t="s">
        <v>762</v>
      </c>
      <c r="E118" s="330"/>
      <c r="F118" s="330"/>
      <c r="G118" s="331"/>
    </row>
    <row r="119" spans="4:7" x14ac:dyDescent="0.3">
      <c r="D119" s="329" t="s">
        <v>763</v>
      </c>
      <c r="E119" s="330"/>
      <c r="F119" s="330"/>
      <c r="G119" s="331"/>
    </row>
    <row r="120" spans="4:7" ht="15" thickBot="1" x14ac:dyDescent="0.35">
      <c r="D120" s="332" t="s">
        <v>764</v>
      </c>
      <c r="E120" s="333"/>
      <c r="F120" s="333"/>
      <c r="G120" s="334"/>
    </row>
  </sheetData>
  <sheetProtection algorithmName="SHA-512" hashValue="m5bI7bqDHKgR3i3C8VX9M0ZNjcFWh0nn149aj6hGtMKU42pj0xyGJ0IaThzvbr+t4HEsVo2uJ00nw/DHVCIWmw==" saltValue="g9lyjMP963BGnGYQfvY3vg==" spinCount="100000" sheet="1" objects="1" scenarios="1"/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05:G105"/>
    <mergeCell ref="D106:G106"/>
    <mergeCell ref="D107:G107"/>
    <mergeCell ref="D108:G108"/>
    <mergeCell ref="D109:G109"/>
    <mergeCell ref="D110:G110"/>
    <mergeCell ref="D111:G111"/>
    <mergeCell ref="D117:G117"/>
    <mergeCell ref="D118:G118"/>
    <mergeCell ref="D119:G119"/>
    <mergeCell ref="D120:G120"/>
    <mergeCell ref="D112:G112"/>
    <mergeCell ref="D113:G113"/>
    <mergeCell ref="D114:G114"/>
    <mergeCell ref="D115:G115"/>
    <mergeCell ref="D116:G116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zoomScale="88" zoomScaleNormal="88" workbookViewId="0">
      <selection activeCell="A6" sqref="A6:C33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3" t="s">
        <v>362</v>
      </c>
      <c r="B2" s="423"/>
      <c r="C2" s="423"/>
    </row>
    <row r="3" spans="1:7" x14ac:dyDescent="0.3">
      <c r="A3" s="13"/>
      <c r="B3" s="424" t="s">
        <v>361</v>
      </c>
      <c r="C3" s="424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1127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1128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1129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1130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1131</v>
      </c>
      <c r="B10" s="10" t="s">
        <v>828</v>
      </c>
      <c r="C10" s="10" t="s">
        <v>829</v>
      </c>
      <c r="D10" s="9"/>
      <c r="E10" s="9"/>
      <c r="F10" s="9"/>
      <c r="G10" s="9"/>
    </row>
    <row r="11" spans="1:7" x14ac:dyDescent="0.3">
      <c r="A11" s="10" t="s">
        <v>1132</v>
      </c>
      <c r="B11" s="10" t="s">
        <v>1133</v>
      </c>
      <c r="C11" s="10" t="s">
        <v>830</v>
      </c>
      <c r="D11" s="9"/>
      <c r="E11" s="9"/>
      <c r="F11" s="9"/>
      <c r="G11" s="9"/>
    </row>
    <row r="12" spans="1:7" x14ac:dyDescent="0.3">
      <c r="A12" s="10" t="s">
        <v>1134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1135</v>
      </c>
      <c r="B13" s="10" t="s">
        <v>831</v>
      </c>
      <c r="C13" s="10" t="s">
        <v>832</v>
      </c>
      <c r="D13" s="9"/>
      <c r="E13" s="9"/>
      <c r="F13" s="9"/>
      <c r="G13" s="9"/>
    </row>
    <row r="14" spans="1:7" x14ac:dyDescent="0.3">
      <c r="A14" s="10" t="s">
        <v>1136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1137</v>
      </c>
      <c r="B15" s="10" t="s">
        <v>833</v>
      </c>
      <c r="C15" s="286" t="s">
        <v>834</v>
      </c>
      <c r="D15" s="9"/>
      <c r="E15" s="9"/>
      <c r="F15" s="9"/>
      <c r="G15" s="9"/>
    </row>
    <row r="16" spans="1:7" x14ac:dyDescent="0.3">
      <c r="A16" s="10" t="s">
        <v>1138</v>
      </c>
      <c r="B16" s="10" t="s">
        <v>835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1139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1140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1141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1142</v>
      </c>
      <c r="B20" s="10" t="s">
        <v>836</v>
      </c>
      <c r="C20" s="10" t="s">
        <v>837</v>
      </c>
      <c r="D20" s="9"/>
      <c r="E20" s="9"/>
      <c r="F20" s="9"/>
      <c r="G20" s="9"/>
    </row>
    <row r="21" spans="1:7" x14ac:dyDescent="0.3">
      <c r="A21" s="10" t="s">
        <v>1143</v>
      </c>
      <c r="B21" s="10" t="s">
        <v>340</v>
      </c>
      <c r="C21" s="10" t="s">
        <v>1144</v>
      </c>
      <c r="D21" s="9"/>
      <c r="E21" s="9"/>
      <c r="F21" s="9"/>
      <c r="G21" s="9"/>
    </row>
    <row r="22" spans="1:7" x14ac:dyDescent="0.3">
      <c r="A22" s="10" t="s">
        <v>1145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1146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1147</v>
      </c>
      <c r="B24" s="10" t="s">
        <v>838</v>
      </c>
      <c r="C24" s="10" t="s">
        <v>839</v>
      </c>
      <c r="D24" s="9"/>
      <c r="E24" s="9"/>
      <c r="F24" s="9"/>
      <c r="G24" s="9"/>
    </row>
    <row r="25" spans="1:7" ht="18" customHeight="1" x14ac:dyDescent="0.3">
      <c r="A25" s="10" t="s">
        <v>1148</v>
      </c>
      <c r="B25" s="10" t="s">
        <v>1149</v>
      </c>
      <c r="C25" s="287" t="s">
        <v>1150</v>
      </c>
      <c r="D25" s="9"/>
      <c r="E25" s="9"/>
      <c r="F25" s="9"/>
      <c r="G25" s="9"/>
    </row>
    <row r="26" spans="1:7" x14ac:dyDescent="0.3">
      <c r="A26" s="10" t="s">
        <v>1151</v>
      </c>
      <c r="B26" s="10" t="s">
        <v>840</v>
      </c>
      <c r="C26" s="287" t="s">
        <v>126</v>
      </c>
      <c r="D26" s="9"/>
      <c r="E26" s="9"/>
      <c r="F26" s="9"/>
      <c r="G26" s="9"/>
    </row>
    <row r="27" spans="1:7" x14ac:dyDescent="0.3">
      <c r="A27" s="10" t="s">
        <v>1152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1153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1154</v>
      </c>
      <c r="B29" s="10" t="s">
        <v>841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1155</v>
      </c>
      <c r="B30" s="10" t="s">
        <v>842</v>
      </c>
      <c r="C30" s="10" t="s">
        <v>843</v>
      </c>
      <c r="D30" s="9"/>
      <c r="E30" s="9"/>
      <c r="F30" s="9"/>
      <c r="G30" s="9"/>
    </row>
    <row r="31" spans="1:7" ht="17.25" customHeight="1" x14ac:dyDescent="0.3">
      <c r="A31" s="10" t="s">
        <v>1156</v>
      </c>
      <c r="B31" s="288" t="s">
        <v>844</v>
      </c>
      <c r="C31" s="289" t="s">
        <v>1157</v>
      </c>
      <c r="D31" s="9"/>
      <c r="E31" s="9"/>
      <c r="F31" s="9"/>
      <c r="G31" s="9"/>
    </row>
    <row r="32" spans="1:7" x14ac:dyDescent="0.3">
      <c r="A32" s="10" t="s">
        <v>1158</v>
      </c>
      <c r="B32" s="288" t="s">
        <v>845</v>
      </c>
      <c r="C32" s="289" t="s">
        <v>94</v>
      </c>
      <c r="D32" s="9"/>
      <c r="E32" s="9"/>
      <c r="F32" s="9"/>
      <c r="G32" s="9"/>
    </row>
    <row r="33" spans="1:7" x14ac:dyDescent="0.3">
      <c r="A33" s="10" t="s">
        <v>1159</v>
      </c>
      <c r="B33" s="288" t="s">
        <v>846</v>
      </c>
      <c r="C33" s="289" t="s">
        <v>847</v>
      </c>
      <c r="D33" s="9"/>
      <c r="E33" s="9"/>
      <c r="F33" s="9"/>
      <c r="G33" s="9"/>
    </row>
    <row r="34" spans="1:7" x14ac:dyDescent="0.3">
      <c r="A34" s="10" t="s">
        <v>1160</v>
      </c>
      <c r="B34" s="288" t="s">
        <v>848</v>
      </c>
      <c r="C34" s="289" t="s">
        <v>849</v>
      </c>
      <c r="D34" s="9"/>
      <c r="E34" s="9"/>
      <c r="F34" s="9"/>
      <c r="G34" s="9"/>
    </row>
    <row r="35" spans="1:7" x14ac:dyDescent="0.3">
      <c r="A35" s="10" t="s">
        <v>1161</v>
      </c>
      <c r="B35" s="288" t="s">
        <v>1162</v>
      </c>
      <c r="C35" s="289" t="s">
        <v>1163</v>
      </c>
      <c r="D35" s="9"/>
      <c r="E35" s="9"/>
      <c r="F35" s="9"/>
      <c r="G35" s="9"/>
    </row>
    <row r="36" spans="1:7" x14ac:dyDescent="0.3">
      <c r="A36" s="10" t="s">
        <v>1164</v>
      </c>
      <c r="B36" s="288" t="s">
        <v>1165</v>
      </c>
      <c r="C36" s="289" t="s">
        <v>1166</v>
      </c>
      <c r="D36" s="9"/>
      <c r="E36" s="9"/>
      <c r="F36" s="9"/>
      <c r="G36" s="9"/>
    </row>
    <row r="37" spans="1:7" x14ac:dyDescent="0.3">
      <c r="A37" s="10" t="s">
        <v>1167</v>
      </c>
      <c r="B37" s="288" t="s">
        <v>850</v>
      </c>
      <c r="C37" s="289" t="s">
        <v>851</v>
      </c>
      <c r="D37" s="9"/>
      <c r="E37" s="9"/>
      <c r="F37" s="9"/>
      <c r="G37" s="9"/>
    </row>
    <row r="38" spans="1:7" x14ac:dyDescent="0.3">
      <c r="A38" s="10" t="s">
        <v>1168</v>
      </c>
      <c r="B38" s="288" t="s">
        <v>852</v>
      </c>
      <c r="C38" s="289" t="s">
        <v>853</v>
      </c>
      <c r="D38" s="9"/>
      <c r="E38" s="9"/>
      <c r="F38" s="9"/>
      <c r="G38" s="9"/>
    </row>
    <row r="39" spans="1:7" x14ac:dyDescent="0.3">
      <c r="A39" s="10" t="s">
        <v>1169</v>
      </c>
      <c r="B39" s="10" t="s">
        <v>1170</v>
      </c>
      <c r="C39" s="10" t="s">
        <v>1171</v>
      </c>
      <c r="D39" s="9"/>
      <c r="E39" s="9"/>
      <c r="F39" s="9"/>
      <c r="G39" s="9"/>
    </row>
    <row r="40" spans="1:7" x14ac:dyDescent="0.3">
      <c r="A40" s="10" t="s">
        <v>1172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1173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1174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1175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1176</v>
      </c>
      <c r="B44" s="10" t="s">
        <v>324</v>
      </c>
      <c r="C44" s="10" t="s">
        <v>854</v>
      </c>
      <c r="D44" s="9"/>
      <c r="E44" s="9"/>
      <c r="F44" s="9"/>
      <c r="G44" s="9"/>
    </row>
    <row r="45" spans="1:7" x14ac:dyDescent="0.3">
      <c r="A45" s="10" t="s">
        <v>1177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1178</v>
      </c>
      <c r="B46" s="10" t="s">
        <v>855</v>
      </c>
      <c r="C46" s="10" t="s">
        <v>856</v>
      </c>
      <c r="D46" s="9"/>
      <c r="E46" s="9"/>
      <c r="F46" s="9"/>
      <c r="G46" s="9"/>
    </row>
    <row r="47" spans="1:7" x14ac:dyDescent="0.3">
      <c r="A47" s="10" t="s">
        <v>1179</v>
      </c>
      <c r="B47" s="10" t="s">
        <v>1180</v>
      </c>
      <c r="C47" s="10" t="s">
        <v>857</v>
      </c>
      <c r="D47" s="9"/>
      <c r="E47" s="9"/>
      <c r="F47" s="9"/>
      <c r="G47" s="9"/>
    </row>
    <row r="48" spans="1:7" x14ac:dyDescent="0.3">
      <c r="A48" s="10" t="s">
        <v>1181</v>
      </c>
      <c r="B48" s="10" t="s">
        <v>858</v>
      </c>
      <c r="C48" s="10" t="s">
        <v>859</v>
      </c>
      <c r="D48" s="9"/>
      <c r="E48" s="9"/>
      <c r="F48" s="9"/>
      <c r="G48" s="9"/>
    </row>
    <row r="49" spans="1:7" x14ac:dyDescent="0.3">
      <c r="A49" s="10" t="s">
        <v>1182</v>
      </c>
      <c r="B49" s="10" t="s">
        <v>860</v>
      </c>
      <c r="C49" s="10" t="s">
        <v>861</v>
      </c>
      <c r="D49" s="9"/>
      <c r="E49" s="9"/>
      <c r="F49" s="9"/>
      <c r="G49" s="9"/>
    </row>
    <row r="50" spans="1:7" x14ac:dyDescent="0.3">
      <c r="A50" s="10" t="s">
        <v>1183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1184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1185</v>
      </c>
      <c r="B52" s="10" t="s">
        <v>862</v>
      </c>
      <c r="C52" s="10" t="s">
        <v>863</v>
      </c>
      <c r="D52" s="9"/>
      <c r="E52" s="9"/>
      <c r="F52" s="9"/>
      <c r="G52" s="9"/>
    </row>
    <row r="53" spans="1:7" x14ac:dyDescent="0.3">
      <c r="A53" s="10" t="s">
        <v>1186</v>
      </c>
      <c r="B53" s="10" t="s">
        <v>864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1187</v>
      </c>
      <c r="B54" s="10" t="s">
        <v>865</v>
      </c>
      <c r="C54" s="10" t="s">
        <v>866</v>
      </c>
      <c r="D54" s="9"/>
      <c r="E54" s="9"/>
      <c r="F54" s="9"/>
      <c r="G54" s="9"/>
    </row>
    <row r="55" spans="1:7" x14ac:dyDescent="0.3">
      <c r="A55" s="10" t="s">
        <v>1188</v>
      </c>
      <c r="B55" s="10" t="s">
        <v>867</v>
      </c>
      <c r="C55" s="10" t="s">
        <v>868</v>
      </c>
      <c r="D55" s="9"/>
      <c r="E55" s="9"/>
      <c r="F55" s="9"/>
      <c r="G55" s="9"/>
    </row>
    <row r="56" spans="1:7" x14ac:dyDescent="0.3">
      <c r="A56" s="10" t="s">
        <v>1189</v>
      </c>
      <c r="B56" s="10" t="s">
        <v>869</v>
      </c>
      <c r="C56" s="10" t="s">
        <v>870</v>
      </c>
      <c r="D56" s="9"/>
      <c r="E56" s="9"/>
      <c r="F56" s="9"/>
      <c r="G56" s="9"/>
    </row>
    <row r="57" spans="1:7" x14ac:dyDescent="0.3">
      <c r="A57" s="10" t="s">
        <v>1190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1191</v>
      </c>
      <c r="B58" s="10" t="s">
        <v>871</v>
      </c>
      <c r="C58" s="10" t="s">
        <v>872</v>
      </c>
      <c r="D58" s="9"/>
      <c r="E58" s="9"/>
      <c r="F58" s="9"/>
      <c r="G58" s="9"/>
    </row>
    <row r="59" spans="1:7" x14ac:dyDescent="0.3">
      <c r="A59" s="10" t="s">
        <v>1192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1193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1194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1195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1196</v>
      </c>
      <c r="B63" s="10" t="s">
        <v>873</v>
      </c>
      <c r="C63" s="10" t="s">
        <v>874</v>
      </c>
      <c r="D63" s="9"/>
      <c r="E63" s="9"/>
      <c r="F63" s="9"/>
      <c r="G63" s="9"/>
    </row>
    <row r="64" spans="1:7" x14ac:dyDescent="0.3">
      <c r="A64" s="10" t="s">
        <v>1197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1198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1199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1200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1201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1202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1203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1204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1205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1206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1207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1208</v>
      </c>
      <c r="B75" s="10" t="s">
        <v>875</v>
      </c>
      <c r="C75" s="10" t="s">
        <v>876</v>
      </c>
      <c r="D75" s="9"/>
      <c r="E75" s="9"/>
      <c r="F75" s="9"/>
      <c r="G75" s="9"/>
    </row>
    <row r="76" spans="1:7" x14ac:dyDescent="0.3">
      <c r="A76" s="10" t="s">
        <v>1209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1210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1211</v>
      </c>
      <c r="B78" s="10" t="s">
        <v>877</v>
      </c>
      <c r="C78" s="10" t="s">
        <v>878</v>
      </c>
      <c r="D78" s="9"/>
      <c r="E78" s="9"/>
      <c r="F78" s="9"/>
      <c r="G78" s="9"/>
    </row>
    <row r="79" spans="1:7" x14ac:dyDescent="0.3">
      <c r="A79" s="10" t="s">
        <v>1212</v>
      </c>
      <c r="B79" s="10" t="s">
        <v>1213</v>
      </c>
      <c r="C79" s="10" t="s">
        <v>1214</v>
      </c>
      <c r="D79" s="9"/>
      <c r="E79" s="9"/>
      <c r="F79" s="9"/>
      <c r="G79" s="9"/>
    </row>
    <row r="80" spans="1:7" x14ac:dyDescent="0.3">
      <c r="A80" s="10" t="s">
        <v>1215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1216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1217</v>
      </c>
      <c r="B82" s="10" t="s">
        <v>278</v>
      </c>
      <c r="C82" s="10" t="s">
        <v>879</v>
      </c>
      <c r="D82" s="9"/>
      <c r="E82" s="9"/>
      <c r="F82" s="9"/>
      <c r="G82" s="9"/>
    </row>
    <row r="83" spans="1:7" x14ac:dyDescent="0.3">
      <c r="A83" s="10" t="s">
        <v>1218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1219</v>
      </c>
      <c r="B84" s="10" t="s">
        <v>880</v>
      </c>
      <c r="C84" s="10" t="s">
        <v>881</v>
      </c>
      <c r="D84" s="9"/>
      <c r="E84" s="9"/>
      <c r="F84" s="9"/>
      <c r="G84" s="9"/>
    </row>
    <row r="85" spans="1:7" x14ac:dyDescent="0.3">
      <c r="A85" s="10" t="s">
        <v>1220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1221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1222</v>
      </c>
      <c r="B87" s="10" t="s">
        <v>1223</v>
      </c>
      <c r="C87" s="10" t="s">
        <v>1224</v>
      </c>
      <c r="D87" s="9"/>
      <c r="E87" s="9"/>
      <c r="F87" s="9"/>
      <c r="G87" s="9"/>
    </row>
    <row r="88" spans="1:7" x14ac:dyDescent="0.3">
      <c r="A88" s="10" t="s">
        <v>1225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1226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1227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1228</v>
      </c>
      <c r="B91" s="10" t="s">
        <v>1229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1230</v>
      </c>
      <c r="B92" s="10" t="s">
        <v>882</v>
      </c>
      <c r="C92" s="10" t="s">
        <v>883</v>
      </c>
      <c r="D92" s="9"/>
      <c r="E92" s="9"/>
      <c r="F92" s="9"/>
      <c r="G92" s="9"/>
    </row>
    <row r="93" spans="1:7" x14ac:dyDescent="0.3">
      <c r="A93" s="10" t="s">
        <v>1231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1232</v>
      </c>
      <c r="B94" s="10" t="s">
        <v>884</v>
      </c>
      <c r="C94" s="10" t="s">
        <v>885</v>
      </c>
      <c r="D94" s="9"/>
      <c r="E94" s="9"/>
      <c r="F94" s="9"/>
      <c r="G94" s="9"/>
    </row>
    <row r="95" spans="1:7" x14ac:dyDescent="0.3">
      <c r="A95" s="10" t="s">
        <v>1233</v>
      </c>
      <c r="B95" s="10" t="s">
        <v>886</v>
      </c>
      <c r="C95" s="10" t="s">
        <v>887</v>
      </c>
      <c r="D95" s="9"/>
      <c r="E95" s="9"/>
      <c r="F95" s="9"/>
      <c r="G95" s="9"/>
    </row>
    <row r="96" spans="1:7" x14ac:dyDescent="0.3">
      <c r="A96" s="10" t="s">
        <v>1234</v>
      </c>
      <c r="B96" s="10" t="s">
        <v>888</v>
      </c>
      <c r="C96" s="10" t="s">
        <v>889</v>
      </c>
      <c r="D96" s="9"/>
      <c r="E96" s="9"/>
      <c r="F96" s="9"/>
      <c r="G96" s="9"/>
    </row>
    <row r="97" spans="1:7" x14ac:dyDescent="0.3">
      <c r="A97" s="10" t="s">
        <v>1235</v>
      </c>
      <c r="B97" s="10" t="s">
        <v>1236</v>
      </c>
      <c r="C97" s="10" t="s">
        <v>1237</v>
      </c>
      <c r="D97" s="9"/>
      <c r="E97" s="9"/>
      <c r="F97" s="9"/>
      <c r="G97" s="9"/>
    </row>
    <row r="98" spans="1:7" x14ac:dyDescent="0.3">
      <c r="A98" s="10" t="s">
        <v>1238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1239</v>
      </c>
      <c r="B99" s="10" t="s">
        <v>1240</v>
      </c>
      <c r="C99" s="10" t="s">
        <v>1241</v>
      </c>
      <c r="D99" s="9"/>
      <c r="E99" s="9"/>
      <c r="F99" s="9"/>
      <c r="G99" s="9"/>
    </row>
    <row r="100" spans="1:7" x14ac:dyDescent="0.3">
      <c r="A100" s="10" t="s">
        <v>1242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1243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1244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1245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1246</v>
      </c>
      <c r="B104" s="10" t="s">
        <v>890</v>
      </c>
      <c r="C104" s="10" t="s">
        <v>891</v>
      </c>
      <c r="D104" s="9"/>
      <c r="E104" s="9"/>
      <c r="F104" s="9"/>
      <c r="G104" s="9"/>
    </row>
    <row r="105" spans="1:7" x14ac:dyDescent="0.3">
      <c r="A105" s="10" t="s">
        <v>1247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1248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1249</v>
      </c>
      <c r="B107" s="10" t="s">
        <v>892</v>
      </c>
      <c r="C107" s="10" t="s">
        <v>893</v>
      </c>
      <c r="D107" s="9"/>
      <c r="E107" s="9"/>
      <c r="F107" s="9"/>
      <c r="G107" s="9"/>
    </row>
    <row r="108" spans="1:7" x14ac:dyDescent="0.3">
      <c r="A108" s="10" t="s">
        <v>1250</v>
      </c>
      <c r="B108" s="10" t="s">
        <v>894</v>
      </c>
      <c r="C108" s="10" t="s">
        <v>895</v>
      </c>
      <c r="D108" s="9"/>
      <c r="E108" s="9"/>
      <c r="F108" s="9"/>
      <c r="G108" s="9"/>
    </row>
    <row r="109" spans="1:7" x14ac:dyDescent="0.3">
      <c r="A109" s="10" t="s">
        <v>1251</v>
      </c>
      <c r="B109" s="10" t="s">
        <v>896</v>
      </c>
      <c r="C109" s="10" t="s">
        <v>897</v>
      </c>
      <c r="D109" s="9"/>
      <c r="E109" s="9"/>
      <c r="F109" s="9"/>
      <c r="G109" s="9"/>
    </row>
    <row r="110" spans="1:7" x14ac:dyDescent="0.3">
      <c r="A110" s="10" t="s">
        <v>1252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1253</v>
      </c>
      <c r="B111" s="10" t="s">
        <v>898</v>
      </c>
      <c r="C111" s="10" t="s">
        <v>899</v>
      </c>
      <c r="D111" s="9"/>
      <c r="E111" s="9"/>
      <c r="F111" s="9"/>
      <c r="G111" s="9"/>
    </row>
    <row r="112" spans="1:7" x14ac:dyDescent="0.3">
      <c r="A112" s="10" t="s">
        <v>1254</v>
      </c>
      <c r="B112" s="10" t="s">
        <v>900</v>
      </c>
      <c r="C112" s="10" t="s">
        <v>901</v>
      </c>
      <c r="D112" s="9"/>
      <c r="E112" s="9"/>
      <c r="F112" s="9"/>
      <c r="G112" s="9"/>
    </row>
    <row r="113" spans="1:7" x14ac:dyDescent="0.3">
      <c r="A113" s="10" t="s">
        <v>1255</v>
      </c>
      <c r="B113" s="10" t="s">
        <v>902</v>
      </c>
      <c r="C113" s="10" t="s">
        <v>903</v>
      </c>
      <c r="D113" s="9"/>
      <c r="E113" s="9"/>
      <c r="F113" s="9"/>
      <c r="G113" s="9"/>
    </row>
    <row r="114" spans="1:7" x14ac:dyDescent="0.3">
      <c r="A114" s="10" t="s">
        <v>1256</v>
      </c>
      <c r="B114" s="10" t="s">
        <v>1257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1258</v>
      </c>
      <c r="B115" s="10" t="s">
        <v>904</v>
      </c>
      <c r="C115" s="10" t="s">
        <v>905</v>
      </c>
      <c r="D115" s="9"/>
      <c r="E115" s="9"/>
      <c r="F115" s="9"/>
      <c r="G115" s="9"/>
    </row>
    <row r="116" spans="1:7" x14ac:dyDescent="0.3">
      <c r="A116" s="10" t="s">
        <v>1259</v>
      </c>
      <c r="B116" s="10" t="s">
        <v>1260</v>
      </c>
      <c r="C116" s="10" t="s">
        <v>1261</v>
      </c>
      <c r="D116" s="9"/>
      <c r="E116" s="9"/>
      <c r="F116" s="9"/>
      <c r="G116" s="9"/>
    </row>
    <row r="117" spans="1:7" x14ac:dyDescent="0.3">
      <c r="A117" s="10" t="s">
        <v>1262</v>
      </c>
      <c r="B117" s="10" t="s">
        <v>578</v>
      </c>
      <c r="C117" s="10" t="s">
        <v>906</v>
      </c>
      <c r="D117" s="9"/>
      <c r="E117" s="9"/>
      <c r="F117" s="9"/>
      <c r="G117" s="9"/>
    </row>
    <row r="118" spans="1:7" x14ac:dyDescent="0.3">
      <c r="A118" s="10" t="s">
        <v>1263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1264</v>
      </c>
      <c r="B119" s="9" t="s">
        <v>907</v>
      </c>
      <c r="C119" s="9" t="s">
        <v>908</v>
      </c>
      <c r="D119" s="9"/>
      <c r="E119" s="9"/>
      <c r="F119" s="9"/>
      <c r="G119" s="9"/>
    </row>
    <row r="120" spans="1:7" x14ac:dyDescent="0.3">
      <c r="A120" s="10" t="s">
        <v>1265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1266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1267</v>
      </c>
      <c r="B122" s="10" t="s">
        <v>909</v>
      </c>
      <c r="C122" s="10" t="s">
        <v>910</v>
      </c>
      <c r="D122" s="9"/>
      <c r="E122" s="9"/>
      <c r="F122" s="9"/>
      <c r="G122" s="9"/>
    </row>
    <row r="123" spans="1:7" x14ac:dyDescent="0.3">
      <c r="A123" s="10" t="s">
        <v>1268</v>
      </c>
      <c r="B123" s="10" t="s">
        <v>911</v>
      </c>
      <c r="C123" s="10" t="s">
        <v>912</v>
      </c>
      <c r="D123" s="9"/>
      <c r="E123" s="9"/>
      <c r="F123" s="9"/>
      <c r="G123" s="9"/>
    </row>
    <row r="124" spans="1:7" x14ac:dyDescent="0.3">
      <c r="A124" s="10" t="s">
        <v>1269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1270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1271</v>
      </c>
      <c r="B126" s="10" t="s">
        <v>913</v>
      </c>
      <c r="C126" s="10" t="s">
        <v>914</v>
      </c>
      <c r="D126" s="9"/>
      <c r="E126" s="9"/>
      <c r="F126" s="9"/>
      <c r="G126" s="9"/>
    </row>
    <row r="127" spans="1:7" x14ac:dyDescent="0.3">
      <c r="A127" s="10" t="s">
        <v>1272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1273</v>
      </c>
      <c r="B128" s="10" t="s">
        <v>238</v>
      </c>
      <c r="C128" s="10" t="s">
        <v>915</v>
      </c>
      <c r="D128" s="9"/>
      <c r="E128" s="9"/>
      <c r="F128" s="9"/>
      <c r="G128" s="9"/>
    </row>
    <row r="129" spans="1:7" x14ac:dyDescent="0.3">
      <c r="A129" s="10" t="s">
        <v>1274</v>
      </c>
      <c r="B129" s="10" t="s">
        <v>1275</v>
      </c>
      <c r="C129" s="10" t="s">
        <v>1276</v>
      </c>
      <c r="D129" s="9"/>
      <c r="E129" s="9"/>
      <c r="F129" s="9"/>
      <c r="G129" s="9"/>
    </row>
    <row r="130" spans="1:7" x14ac:dyDescent="0.3">
      <c r="A130" s="10" t="s">
        <v>1277</v>
      </c>
      <c r="B130" s="10" t="s">
        <v>916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1278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1279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1280</v>
      </c>
      <c r="B133" s="10" t="s">
        <v>917</v>
      </c>
      <c r="C133" s="10" t="s">
        <v>918</v>
      </c>
      <c r="D133" s="9"/>
      <c r="E133" s="9"/>
      <c r="F133" s="9"/>
      <c r="G133" s="9"/>
    </row>
    <row r="134" spans="1:7" x14ac:dyDescent="0.3">
      <c r="A134" s="10" t="s">
        <v>1281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1282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1283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1284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1285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1286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1287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1288</v>
      </c>
      <c r="B141" s="10" t="s">
        <v>919</v>
      </c>
      <c r="C141" s="10" t="s">
        <v>920</v>
      </c>
      <c r="D141" s="9"/>
      <c r="E141" s="9"/>
      <c r="F141" s="9"/>
      <c r="G141" s="9"/>
    </row>
    <row r="142" spans="1:7" x14ac:dyDescent="0.3">
      <c r="A142" s="10" t="s">
        <v>1289</v>
      </c>
      <c r="B142" s="10" t="s">
        <v>921</v>
      </c>
      <c r="C142" s="10" t="s">
        <v>922</v>
      </c>
      <c r="D142" s="9"/>
      <c r="E142" s="9"/>
      <c r="F142" s="9"/>
      <c r="G142" s="9"/>
    </row>
    <row r="143" spans="1:7" x14ac:dyDescent="0.3">
      <c r="A143" s="10" t="s">
        <v>1290</v>
      </c>
      <c r="B143" s="9" t="s">
        <v>923</v>
      </c>
      <c r="C143" s="9" t="s">
        <v>924</v>
      </c>
      <c r="D143" s="9"/>
      <c r="E143" s="9"/>
      <c r="F143" s="9"/>
      <c r="G143" s="9"/>
    </row>
    <row r="144" spans="1:7" x14ac:dyDescent="0.3">
      <c r="A144" s="10" t="s">
        <v>1291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1292</v>
      </c>
      <c r="B145" s="10" t="s">
        <v>925</v>
      </c>
      <c r="C145" s="10" t="s">
        <v>926</v>
      </c>
      <c r="D145" s="9"/>
      <c r="E145" s="9"/>
      <c r="F145" s="9"/>
      <c r="G145" s="9"/>
    </row>
    <row r="146" spans="1:7" x14ac:dyDescent="0.3">
      <c r="A146" s="10" t="s">
        <v>1293</v>
      </c>
      <c r="B146" s="10" t="s">
        <v>1294</v>
      </c>
      <c r="C146" s="10" t="s">
        <v>1295</v>
      </c>
      <c r="D146" s="9"/>
      <c r="E146" s="9"/>
      <c r="F146" s="9"/>
      <c r="G146" s="9"/>
    </row>
    <row r="147" spans="1:7" x14ac:dyDescent="0.3">
      <c r="A147" s="10" t="s">
        <v>1296</v>
      </c>
      <c r="B147" s="10" t="s">
        <v>927</v>
      </c>
      <c r="C147" s="10" t="s">
        <v>928</v>
      </c>
      <c r="D147" s="9"/>
      <c r="E147" s="9"/>
      <c r="F147" s="9"/>
      <c r="G147" s="9"/>
    </row>
    <row r="148" spans="1:7" x14ac:dyDescent="0.3">
      <c r="A148" s="10" t="s">
        <v>1297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1298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1299</v>
      </c>
      <c r="B150" s="10" t="s">
        <v>1300</v>
      </c>
      <c r="C150" s="10" t="s">
        <v>1301</v>
      </c>
      <c r="D150" s="9"/>
      <c r="E150" s="9"/>
      <c r="F150" s="9"/>
      <c r="G150" s="9"/>
    </row>
    <row r="151" spans="1:7" x14ac:dyDescent="0.3">
      <c r="A151" s="10" t="s">
        <v>1302</v>
      </c>
      <c r="B151" s="10" t="s">
        <v>929</v>
      </c>
      <c r="C151" s="10" t="s">
        <v>930</v>
      </c>
      <c r="D151" s="9"/>
      <c r="E151" s="9"/>
      <c r="F151" s="9"/>
      <c r="G151" s="9"/>
    </row>
    <row r="152" spans="1:7" x14ac:dyDescent="0.3">
      <c r="A152" s="10" t="s">
        <v>1303</v>
      </c>
      <c r="B152" s="10" t="s">
        <v>931</v>
      </c>
      <c r="C152" s="10" t="s">
        <v>932</v>
      </c>
      <c r="D152" s="9"/>
      <c r="E152" s="9"/>
      <c r="F152" s="9"/>
      <c r="G152" s="9"/>
    </row>
    <row r="153" spans="1:7" x14ac:dyDescent="0.3">
      <c r="A153" s="10" t="s">
        <v>1304</v>
      </c>
      <c r="B153" s="10" t="s">
        <v>933</v>
      </c>
      <c r="C153" s="10" t="s">
        <v>934</v>
      </c>
      <c r="D153" s="9"/>
      <c r="E153" s="9"/>
      <c r="F153" s="9"/>
      <c r="G153" s="9"/>
    </row>
    <row r="154" spans="1:7" x14ac:dyDescent="0.3">
      <c r="A154" s="10" t="s">
        <v>1305</v>
      </c>
      <c r="B154" s="10" t="s">
        <v>1306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1307</v>
      </c>
      <c r="B155" s="10" t="s">
        <v>1308</v>
      </c>
      <c r="C155" s="10" t="s">
        <v>1309</v>
      </c>
      <c r="D155" s="9"/>
      <c r="E155" s="9"/>
      <c r="F155" s="9"/>
      <c r="G155" s="9"/>
    </row>
    <row r="156" spans="1:7" x14ac:dyDescent="0.3">
      <c r="A156" s="10" t="s">
        <v>1310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1311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1312</v>
      </c>
      <c r="B158" s="10" t="s">
        <v>935</v>
      </c>
      <c r="C158" s="10" t="s">
        <v>936</v>
      </c>
      <c r="D158" s="9"/>
      <c r="E158" s="9"/>
      <c r="F158" s="9"/>
      <c r="G158" s="9"/>
    </row>
    <row r="159" spans="1:7" x14ac:dyDescent="0.3">
      <c r="A159" s="10" t="s">
        <v>1313</v>
      </c>
      <c r="B159" s="10" t="s">
        <v>1314</v>
      </c>
      <c r="C159" s="10" t="s">
        <v>1315</v>
      </c>
      <c r="D159" s="9"/>
      <c r="E159" s="9"/>
      <c r="F159" s="9"/>
      <c r="G159" s="9"/>
    </row>
    <row r="160" spans="1:7" x14ac:dyDescent="0.3">
      <c r="A160" s="10" t="s">
        <v>1316</v>
      </c>
      <c r="B160" s="10" t="s">
        <v>1317</v>
      </c>
      <c r="C160" s="10" t="s">
        <v>1318</v>
      </c>
      <c r="D160" s="9"/>
      <c r="E160" s="9"/>
      <c r="F160" s="9"/>
      <c r="G160" s="9"/>
    </row>
    <row r="161" spans="1:7" x14ac:dyDescent="0.3">
      <c r="A161" s="10" t="s">
        <v>1319</v>
      </c>
      <c r="B161" s="10" t="s">
        <v>937</v>
      </c>
      <c r="C161" s="10" t="s">
        <v>938</v>
      </c>
      <c r="D161" s="9"/>
      <c r="E161" s="9"/>
      <c r="F161" s="9"/>
      <c r="G161" s="9"/>
    </row>
    <row r="162" spans="1:7" x14ac:dyDescent="0.3">
      <c r="A162" s="10" t="s">
        <v>1320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1321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1322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1323</v>
      </c>
      <c r="B165" s="10" t="s">
        <v>939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1324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1325</v>
      </c>
      <c r="B167" s="10" t="s">
        <v>940</v>
      </c>
      <c r="C167" s="10" t="s">
        <v>941</v>
      </c>
      <c r="D167" s="9"/>
      <c r="E167" s="9"/>
      <c r="F167" s="9"/>
      <c r="G167" s="9"/>
    </row>
    <row r="168" spans="1:7" x14ac:dyDescent="0.3">
      <c r="A168" s="10" t="s">
        <v>1326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1327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1328</v>
      </c>
      <c r="B170" s="10" t="s">
        <v>942</v>
      </c>
      <c r="C170" s="10" t="s">
        <v>943</v>
      </c>
      <c r="D170" s="9"/>
      <c r="E170" s="9"/>
      <c r="F170" s="9"/>
      <c r="G170" s="9"/>
    </row>
    <row r="171" spans="1:7" x14ac:dyDescent="0.3">
      <c r="A171" s="10" t="s">
        <v>1329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1330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1331</v>
      </c>
      <c r="B173" s="10" t="s">
        <v>1332</v>
      </c>
      <c r="C173" s="10" t="s">
        <v>1333</v>
      </c>
      <c r="D173" s="9"/>
      <c r="E173" s="9"/>
      <c r="F173" s="9"/>
      <c r="G173" s="9"/>
    </row>
    <row r="174" spans="1:7" x14ac:dyDescent="0.3">
      <c r="A174" s="10" t="s">
        <v>1334</v>
      </c>
      <c r="B174" s="10" t="s">
        <v>198</v>
      </c>
      <c r="C174" s="10" t="s">
        <v>944</v>
      </c>
      <c r="D174" s="9"/>
      <c r="E174" s="9"/>
      <c r="F174" s="9"/>
      <c r="G174" s="9"/>
    </row>
    <row r="175" spans="1:7" x14ac:dyDescent="0.3">
      <c r="A175" s="10" t="s">
        <v>1335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1336</v>
      </c>
      <c r="B176" s="10" t="s">
        <v>945</v>
      </c>
      <c r="C176" s="10" t="s">
        <v>946</v>
      </c>
      <c r="D176" s="9"/>
      <c r="E176" s="9"/>
      <c r="F176" s="9"/>
      <c r="G176" s="9"/>
    </row>
    <row r="177" spans="1:8" x14ac:dyDescent="0.3">
      <c r="A177" s="10" t="s">
        <v>1337</v>
      </c>
      <c r="B177" s="10" t="s">
        <v>947</v>
      </c>
      <c r="C177" s="10" t="s">
        <v>948</v>
      </c>
      <c r="D177" s="9"/>
      <c r="E177" s="9"/>
      <c r="F177" s="9"/>
      <c r="G177" s="9"/>
    </row>
    <row r="178" spans="1:8" x14ac:dyDescent="0.3">
      <c r="A178" s="10" t="s">
        <v>1338</v>
      </c>
      <c r="B178" s="10" t="s">
        <v>949</v>
      </c>
      <c r="C178" s="10" t="s">
        <v>950</v>
      </c>
      <c r="D178" s="9"/>
      <c r="E178" s="9"/>
      <c r="F178" s="9"/>
      <c r="G178" s="9"/>
    </row>
    <row r="179" spans="1:8" x14ac:dyDescent="0.3">
      <c r="A179" s="10" t="s">
        <v>1339</v>
      </c>
      <c r="B179" s="10" t="s">
        <v>951</v>
      </c>
      <c r="C179" s="10" t="s">
        <v>952</v>
      </c>
      <c r="D179" s="9"/>
      <c r="E179" s="9"/>
      <c r="F179" s="9"/>
      <c r="G179" s="9"/>
    </row>
    <row r="180" spans="1:8" x14ac:dyDescent="0.3">
      <c r="A180" s="10" t="s">
        <v>1340</v>
      </c>
      <c r="B180" s="10" t="s">
        <v>953</v>
      </c>
      <c r="C180" s="10" t="s">
        <v>954</v>
      </c>
      <c r="D180" s="9"/>
      <c r="E180" s="9"/>
      <c r="F180" s="9"/>
      <c r="G180" s="9"/>
    </row>
    <row r="181" spans="1:8" x14ac:dyDescent="0.3">
      <c r="A181" s="10" t="s">
        <v>1341</v>
      </c>
      <c r="B181" s="10" t="s">
        <v>955</v>
      </c>
      <c r="C181" s="10" t="s">
        <v>956</v>
      </c>
      <c r="D181" s="9"/>
      <c r="E181" s="9"/>
      <c r="F181" s="9"/>
      <c r="G181" s="9"/>
    </row>
    <row r="182" spans="1:8" x14ac:dyDescent="0.3">
      <c r="A182" s="10" t="s">
        <v>1342</v>
      </c>
      <c r="B182" s="10" t="s">
        <v>957</v>
      </c>
      <c r="C182" s="10" t="s">
        <v>958</v>
      </c>
      <c r="D182" s="9"/>
      <c r="E182" s="9"/>
      <c r="F182" s="9"/>
      <c r="G182" s="9"/>
    </row>
    <row r="183" spans="1:8" x14ac:dyDescent="0.3">
      <c r="A183" s="10" t="s">
        <v>1343</v>
      </c>
      <c r="B183" s="10" t="s">
        <v>1344</v>
      </c>
      <c r="C183" s="10" t="s">
        <v>1345</v>
      </c>
      <c r="D183" s="9"/>
      <c r="E183" s="9"/>
      <c r="F183" s="9"/>
      <c r="G183" s="9"/>
    </row>
    <row r="184" spans="1:8" x14ac:dyDescent="0.3">
      <c r="A184" s="10" t="s">
        <v>1346</v>
      </c>
      <c r="B184" s="10" t="s">
        <v>1347</v>
      </c>
      <c r="C184" s="10" t="s">
        <v>1348</v>
      </c>
      <c r="D184" s="9"/>
      <c r="E184" s="9"/>
      <c r="F184" s="9"/>
      <c r="G184" s="9"/>
    </row>
    <row r="185" spans="1:8" x14ac:dyDescent="0.3">
      <c r="A185" s="10" t="s">
        <v>1349</v>
      </c>
      <c r="B185" s="10" t="s">
        <v>1126</v>
      </c>
      <c r="C185" s="10" t="s">
        <v>1124</v>
      </c>
      <c r="D185" s="9"/>
      <c r="E185" s="9"/>
      <c r="F185" s="9"/>
      <c r="G185" s="9"/>
    </row>
    <row r="186" spans="1:8" x14ac:dyDescent="0.3">
      <c r="A186" s="10" t="s">
        <v>1350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1351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1352</v>
      </c>
      <c r="B188" s="10" t="s">
        <v>959</v>
      </c>
      <c r="C188" s="10" t="s">
        <v>960</v>
      </c>
      <c r="D188" s="9"/>
      <c r="E188" s="9"/>
      <c r="F188" s="9"/>
      <c r="G188" s="9"/>
    </row>
    <row r="189" spans="1:8" x14ac:dyDescent="0.3">
      <c r="A189" s="10" t="s">
        <v>1353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1354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1355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1356</v>
      </c>
      <c r="B192" s="290" t="s">
        <v>1357</v>
      </c>
      <c r="C192" s="287" t="s">
        <v>1358</v>
      </c>
      <c r="D192" s="9"/>
      <c r="E192" s="9"/>
      <c r="F192" s="9"/>
      <c r="G192" s="9"/>
      <c r="H192" s="9"/>
    </row>
    <row r="193" spans="1:8" x14ac:dyDescent="0.3">
      <c r="A193" s="10" t="s">
        <v>1359</v>
      </c>
      <c r="B193" s="10" t="s">
        <v>185</v>
      </c>
      <c r="C193" s="10" t="s">
        <v>1360</v>
      </c>
      <c r="D193" s="9"/>
      <c r="E193" s="9"/>
      <c r="F193" s="9"/>
      <c r="G193" s="9"/>
      <c r="H193" s="9"/>
    </row>
    <row r="194" spans="1:8" x14ac:dyDescent="0.3">
      <c r="A194" s="10" t="s">
        <v>1361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1362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1363</v>
      </c>
      <c r="B196" s="10" t="s">
        <v>961</v>
      </c>
      <c r="C196" s="10" t="s">
        <v>962</v>
      </c>
      <c r="D196" s="9"/>
      <c r="E196" s="9"/>
      <c r="F196" s="9"/>
      <c r="G196" s="9"/>
      <c r="H196" s="9"/>
    </row>
    <row r="197" spans="1:8" x14ac:dyDescent="0.3">
      <c r="A197" s="10" t="s">
        <v>1364</v>
      </c>
      <c r="B197" s="10" t="s">
        <v>963</v>
      </c>
      <c r="C197" s="10" t="s">
        <v>964</v>
      </c>
      <c r="D197" s="9"/>
      <c r="E197" s="9"/>
      <c r="F197" s="9"/>
      <c r="G197" s="9"/>
      <c r="H197" s="9"/>
    </row>
    <row r="198" spans="1:8" x14ac:dyDescent="0.3">
      <c r="A198" s="10" t="s">
        <v>1365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1366</v>
      </c>
      <c r="B199" s="10" t="s">
        <v>1367</v>
      </c>
      <c r="C199" s="10" t="s">
        <v>1368</v>
      </c>
      <c r="D199" s="9"/>
      <c r="E199" s="9"/>
      <c r="F199" s="9"/>
      <c r="G199" s="9"/>
      <c r="H199" s="9"/>
    </row>
    <row r="200" spans="1:8" x14ac:dyDescent="0.3">
      <c r="A200" s="10" t="s">
        <v>1369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1370</v>
      </c>
      <c r="B201" s="10" t="s">
        <v>965</v>
      </c>
      <c r="C201" s="10" t="s">
        <v>966</v>
      </c>
      <c r="D201" s="9"/>
      <c r="E201" s="9"/>
      <c r="F201" s="9"/>
      <c r="G201" s="9"/>
      <c r="H201" s="9"/>
    </row>
    <row r="202" spans="1:8" x14ac:dyDescent="0.3">
      <c r="A202" s="10" t="s">
        <v>1371</v>
      </c>
      <c r="B202" s="10" t="s">
        <v>967</v>
      </c>
      <c r="C202" s="10" t="s">
        <v>966</v>
      </c>
      <c r="D202" s="9"/>
      <c r="E202" s="9"/>
      <c r="F202" s="9"/>
      <c r="G202" s="9"/>
      <c r="H202" s="9"/>
    </row>
    <row r="203" spans="1:8" x14ac:dyDescent="0.3">
      <c r="A203" s="10" t="s">
        <v>1372</v>
      </c>
      <c r="B203" s="10" t="s">
        <v>1373</v>
      </c>
      <c r="C203" s="10" t="s">
        <v>1374</v>
      </c>
      <c r="D203" s="9"/>
      <c r="E203" s="9"/>
      <c r="F203" s="9"/>
      <c r="G203" s="9"/>
      <c r="H203" s="9"/>
    </row>
    <row r="204" spans="1:8" x14ac:dyDescent="0.3">
      <c r="A204" s="10" t="s">
        <v>1375</v>
      </c>
      <c r="B204" s="10" t="s">
        <v>968</v>
      </c>
      <c r="C204" s="10" t="s">
        <v>969</v>
      </c>
      <c r="D204" s="9"/>
      <c r="E204" s="9"/>
      <c r="F204" s="9"/>
      <c r="G204" s="9"/>
      <c r="H204" s="9"/>
    </row>
    <row r="205" spans="1:8" x14ac:dyDescent="0.3">
      <c r="A205" s="10" t="s">
        <v>1376</v>
      </c>
      <c r="B205" s="10" t="s">
        <v>970</v>
      </c>
      <c r="C205" s="10" t="s">
        <v>971</v>
      </c>
      <c r="D205" s="9"/>
      <c r="E205" s="9"/>
      <c r="F205" s="9"/>
      <c r="G205" s="9"/>
      <c r="H205" s="9"/>
    </row>
    <row r="206" spans="1:8" x14ac:dyDescent="0.3">
      <c r="A206" s="10" t="s">
        <v>1377</v>
      </c>
      <c r="B206" s="10" t="s">
        <v>972</v>
      </c>
      <c r="C206" s="10" t="s">
        <v>973</v>
      </c>
      <c r="D206" s="9"/>
      <c r="E206" s="9"/>
      <c r="F206" s="9"/>
      <c r="G206" s="9"/>
      <c r="H206" s="9"/>
    </row>
    <row r="207" spans="1:8" x14ac:dyDescent="0.3">
      <c r="A207" s="10" t="s">
        <v>1378</v>
      </c>
      <c r="B207" s="10" t="s">
        <v>974</v>
      </c>
      <c r="C207" s="10" t="s">
        <v>975</v>
      </c>
      <c r="D207" s="9"/>
      <c r="E207" s="9"/>
      <c r="F207" s="9"/>
      <c r="G207" s="9"/>
      <c r="H207" s="9"/>
    </row>
    <row r="208" spans="1:8" x14ac:dyDescent="0.3">
      <c r="A208" s="10" t="s">
        <v>1379</v>
      </c>
      <c r="B208" s="10" t="s">
        <v>976</v>
      </c>
      <c r="C208" s="10" t="s">
        <v>977</v>
      </c>
      <c r="D208" s="9"/>
      <c r="E208" s="9"/>
      <c r="F208" s="9"/>
      <c r="G208" s="9"/>
      <c r="H208" s="9"/>
    </row>
    <row r="209" spans="1:8" x14ac:dyDescent="0.3">
      <c r="A209" s="10" t="s">
        <v>1380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1381</v>
      </c>
      <c r="B210" s="10" t="s">
        <v>978</v>
      </c>
      <c r="C210" s="10" t="s">
        <v>979</v>
      </c>
      <c r="D210" s="9"/>
      <c r="E210" s="9"/>
      <c r="F210" s="9"/>
      <c r="G210" s="9"/>
      <c r="H210" s="9"/>
    </row>
    <row r="211" spans="1:8" x14ac:dyDescent="0.3">
      <c r="A211" s="10" t="s">
        <v>1382</v>
      </c>
      <c r="B211" s="10" t="s">
        <v>980</v>
      </c>
      <c r="C211" s="10" t="s">
        <v>981</v>
      </c>
      <c r="D211" s="9"/>
      <c r="E211" s="9"/>
      <c r="F211" s="9"/>
      <c r="G211" s="9"/>
      <c r="H211" s="9"/>
    </row>
    <row r="212" spans="1:8" x14ac:dyDescent="0.3">
      <c r="A212" s="10" t="s">
        <v>1383</v>
      </c>
      <c r="B212" s="10" t="s">
        <v>982</v>
      </c>
      <c r="C212" s="10" t="s">
        <v>983</v>
      </c>
      <c r="D212" s="9"/>
      <c r="E212" s="9"/>
      <c r="F212" s="9"/>
      <c r="G212" s="9"/>
      <c r="H212" s="9"/>
    </row>
    <row r="213" spans="1:8" x14ac:dyDescent="0.3">
      <c r="A213" s="10" t="s">
        <v>1384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1385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1386</v>
      </c>
      <c r="B215" s="10" t="s">
        <v>984</v>
      </c>
      <c r="C215" s="10" t="s">
        <v>985</v>
      </c>
      <c r="D215" s="9"/>
      <c r="E215" s="9"/>
      <c r="F215" s="9"/>
      <c r="G215" s="9"/>
      <c r="H215" s="9"/>
    </row>
    <row r="216" spans="1:8" x14ac:dyDescent="0.3">
      <c r="A216" s="10" t="s">
        <v>1387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1388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1389</v>
      </c>
      <c r="B218" s="10" t="s">
        <v>986</v>
      </c>
      <c r="C218" s="10" t="s">
        <v>987</v>
      </c>
      <c r="D218" s="9"/>
      <c r="E218" s="9"/>
      <c r="F218" s="9"/>
      <c r="G218" s="9"/>
      <c r="H218" s="9"/>
    </row>
    <row r="219" spans="1:8" x14ac:dyDescent="0.3">
      <c r="A219" s="10" t="s">
        <v>1390</v>
      </c>
      <c r="B219" s="10" t="s">
        <v>988</v>
      </c>
      <c r="C219" s="10" t="s">
        <v>989</v>
      </c>
      <c r="D219" s="9"/>
      <c r="E219" s="9"/>
      <c r="F219" s="9"/>
      <c r="G219" s="9"/>
      <c r="H219" s="9"/>
    </row>
    <row r="220" spans="1:8" x14ac:dyDescent="0.3">
      <c r="A220" s="10" t="s">
        <v>1391</v>
      </c>
      <c r="B220" s="10" t="s">
        <v>990</v>
      </c>
      <c r="C220" s="10" t="s">
        <v>991</v>
      </c>
      <c r="D220" s="9"/>
      <c r="E220" s="9"/>
      <c r="F220" s="9"/>
      <c r="G220" s="9"/>
      <c r="H220" s="9"/>
    </row>
    <row r="221" spans="1:8" x14ac:dyDescent="0.3">
      <c r="A221" s="10" t="s">
        <v>1392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1393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1394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1395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1396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1397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1398</v>
      </c>
      <c r="B227" s="10" t="s">
        <v>993</v>
      </c>
      <c r="C227" s="10" t="s">
        <v>994</v>
      </c>
      <c r="D227" s="9"/>
      <c r="E227" s="9"/>
      <c r="F227" s="9"/>
      <c r="G227" s="9"/>
      <c r="H227" s="9"/>
    </row>
    <row r="228" spans="1:8" x14ac:dyDescent="0.3">
      <c r="A228" s="10" t="s">
        <v>1399</v>
      </c>
      <c r="B228" s="10" t="s">
        <v>995</v>
      </c>
      <c r="C228" s="10" t="s">
        <v>996</v>
      </c>
      <c r="D228" s="9"/>
      <c r="E228" s="9"/>
      <c r="F228" s="9"/>
      <c r="G228" s="9"/>
      <c r="H228" s="9"/>
    </row>
    <row r="229" spans="1:8" x14ac:dyDescent="0.3">
      <c r="A229" s="10" t="s">
        <v>1400</v>
      </c>
      <c r="B229" s="9" t="s">
        <v>997</v>
      </c>
      <c r="C229" s="10" t="s">
        <v>998</v>
      </c>
      <c r="D229" s="9"/>
      <c r="E229" s="9"/>
      <c r="F229" s="9"/>
      <c r="G229" s="9"/>
      <c r="H229" s="9"/>
    </row>
    <row r="230" spans="1:8" x14ac:dyDescent="0.3">
      <c r="A230" s="10" t="s">
        <v>1401</v>
      </c>
      <c r="B230" s="9" t="s">
        <v>999</v>
      </c>
      <c r="C230" s="10" t="s">
        <v>1000</v>
      </c>
      <c r="D230" s="9"/>
      <c r="E230" s="9"/>
      <c r="F230" s="9"/>
      <c r="G230" s="9"/>
      <c r="H230" s="9"/>
    </row>
    <row r="231" spans="1:8" x14ac:dyDescent="0.3">
      <c r="A231" s="10" t="s">
        <v>1402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1403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1404</v>
      </c>
      <c r="B233" s="9" t="s">
        <v>1001</v>
      </c>
      <c r="C233" s="291" t="s">
        <v>1002</v>
      </c>
      <c r="D233" s="9"/>
      <c r="E233" s="9"/>
      <c r="F233" s="9"/>
      <c r="G233" s="9"/>
      <c r="H233" s="9"/>
    </row>
    <row r="234" spans="1:8" x14ac:dyDescent="0.3">
      <c r="A234" s="10" t="s">
        <v>1405</v>
      </c>
      <c r="B234" s="10" t="s">
        <v>1003</v>
      </c>
      <c r="C234" s="10" t="s">
        <v>1004</v>
      </c>
      <c r="D234" s="9"/>
      <c r="E234" s="9"/>
      <c r="F234" s="9"/>
      <c r="G234" s="9"/>
      <c r="H234" s="9"/>
    </row>
    <row r="235" spans="1:8" x14ac:dyDescent="0.3">
      <c r="A235" s="10" t="s">
        <v>1406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1407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1408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1409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1410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1411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1412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1413</v>
      </c>
      <c r="B242" s="10" t="s">
        <v>1414</v>
      </c>
      <c r="C242" s="10" t="s">
        <v>1415</v>
      </c>
      <c r="D242" s="9"/>
      <c r="E242" s="9"/>
      <c r="F242" s="9"/>
      <c r="G242" s="9"/>
      <c r="H242" s="9"/>
    </row>
    <row r="243" spans="1:8" x14ac:dyDescent="0.3">
      <c r="A243" s="10" t="s">
        <v>1416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1417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1418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1419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1420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1421</v>
      </c>
      <c r="B248" s="10" t="s">
        <v>1005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1422</v>
      </c>
      <c r="B249" s="10" t="s">
        <v>1006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1423</v>
      </c>
      <c r="B250" s="10" t="s">
        <v>1007</v>
      </c>
      <c r="C250" s="10" t="s">
        <v>1008</v>
      </c>
      <c r="D250" s="9"/>
      <c r="E250" s="9"/>
      <c r="F250" s="9"/>
      <c r="G250" s="9"/>
      <c r="H250" s="9"/>
    </row>
    <row r="251" spans="1:8" x14ac:dyDescent="0.3">
      <c r="A251" s="10" t="s">
        <v>1424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1425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1426</v>
      </c>
      <c r="B253" s="10" t="s">
        <v>1009</v>
      </c>
      <c r="C253" s="10" t="s">
        <v>1010</v>
      </c>
      <c r="D253" s="9"/>
      <c r="E253" s="9"/>
      <c r="F253" s="9"/>
      <c r="G253" s="9"/>
      <c r="H253" s="9"/>
    </row>
    <row r="254" spans="1:8" x14ac:dyDescent="0.3">
      <c r="A254" s="10" t="s">
        <v>1427</v>
      </c>
      <c r="B254" s="10" t="s">
        <v>1011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1428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1429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1430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1431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1432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1433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1434</v>
      </c>
      <c r="B261" t="s">
        <v>1012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1435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1436</v>
      </c>
      <c r="B263" s="10" t="s">
        <v>1437</v>
      </c>
      <c r="C263" s="10" t="s">
        <v>1438</v>
      </c>
      <c r="D263" s="9"/>
      <c r="E263" s="9"/>
      <c r="F263" s="9"/>
      <c r="G263" s="9"/>
      <c r="H263" s="9"/>
    </row>
    <row r="264" spans="1:8" x14ac:dyDescent="0.3">
      <c r="A264" s="10" t="s">
        <v>1439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1440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1441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1442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1443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1444</v>
      </c>
      <c r="B269" s="10" t="s">
        <v>1013</v>
      </c>
      <c r="C269" s="10" t="s">
        <v>1014</v>
      </c>
      <c r="D269" s="9"/>
      <c r="E269" s="9"/>
      <c r="F269" s="9"/>
      <c r="G269" s="9"/>
      <c r="H269" s="9"/>
    </row>
    <row r="270" spans="1:8" x14ac:dyDescent="0.3">
      <c r="A270" s="10" t="s">
        <v>1445</v>
      </c>
      <c r="B270" s="10" t="s">
        <v>1446</v>
      </c>
      <c r="C270" s="10" t="s">
        <v>1447</v>
      </c>
      <c r="D270" s="9"/>
      <c r="E270" s="9"/>
      <c r="F270" s="9"/>
      <c r="G270" s="9"/>
      <c r="H270" s="9"/>
    </row>
    <row r="271" spans="1:8" x14ac:dyDescent="0.3">
      <c r="A271" s="10" t="s">
        <v>1448</v>
      </c>
      <c r="B271" s="10" t="s">
        <v>1449</v>
      </c>
      <c r="C271" s="10" t="s">
        <v>1450</v>
      </c>
      <c r="D271" s="9"/>
      <c r="E271" s="9"/>
      <c r="F271" s="9"/>
      <c r="G271" s="9"/>
      <c r="H271" s="9"/>
    </row>
    <row r="272" spans="1:8" x14ac:dyDescent="0.3">
      <c r="A272" s="10" t="s">
        <v>1451</v>
      </c>
      <c r="B272" s="10" t="s">
        <v>1452</v>
      </c>
      <c r="C272" s="10" t="s">
        <v>1015</v>
      </c>
      <c r="D272" s="9"/>
      <c r="E272" s="9"/>
      <c r="F272" s="9"/>
      <c r="G272" s="9"/>
      <c r="H272" s="9"/>
    </row>
    <row r="273" spans="1:8" x14ac:dyDescent="0.3">
      <c r="A273" s="10" t="s">
        <v>1453</v>
      </c>
      <c r="B273" s="10" t="s">
        <v>1454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1455</v>
      </c>
      <c r="B274" s="10" t="s">
        <v>1016</v>
      </c>
      <c r="C274" s="10" t="s">
        <v>1017</v>
      </c>
      <c r="D274" s="9"/>
      <c r="E274" s="9"/>
      <c r="F274" s="9"/>
      <c r="G274" s="9"/>
      <c r="H274" s="9"/>
    </row>
    <row r="275" spans="1:8" x14ac:dyDescent="0.3">
      <c r="A275" s="10" t="s">
        <v>1456</v>
      </c>
      <c r="B275" s="10" t="s">
        <v>1018</v>
      </c>
      <c r="C275" s="10" t="s">
        <v>1019</v>
      </c>
      <c r="D275" s="9"/>
      <c r="E275" s="9"/>
      <c r="F275" s="9"/>
      <c r="G275" s="9"/>
      <c r="H275" s="9"/>
    </row>
    <row r="276" spans="1:8" x14ac:dyDescent="0.3">
      <c r="A276" s="10" t="s">
        <v>1457</v>
      </c>
      <c r="B276" s="10" t="s">
        <v>100</v>
      </c>
      <c r="C276" s="10" t="s">
        <v>1458</v>
      </c>
      <c r="D276" s="9"/>
      <c r="E276" s="9"/>
      <c r="F276" s="9"/>
      <c r="G276" s="9"/>
      <c r="H276" s="9"/>
    </row>
    <row r="277" spans="1:8" x14ac:dyDescent="0.3">
      <c r="A277" s="10" t="s">
        <v>1459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1460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1461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1462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1463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1464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1465</v>
      </c>
      <c r="B283" s="292" t="s">
        <v>1020</v>
      </c>
      <c r="C283" s="10" t="s">
        <v>1021</v>
      </c>
      <c r="D283" s="9"/>
      <c r="E283" s="9"/>
      <c r="F283" s="9"/>
      <c r="G283" s="9"/>
      <c r="H283" s="9"/>
    </row>
    <row r="284" spans="1:8" x14ac:dyDescent="0.3">
      <c r="A284" s="10" t="s">
        <v>1466</v>
      </c>
      <c r="B284" s="292" t="s">
        <v>1022</v>
      </c>
      <c r="C284" s="10" t="s">
        <v>1023</v>
      </c>
      <c r="D284" s="9"/>
      <c r="E284" s="9"/>
      <c r="F284" s="9"/>
      <c r="G284" s="9"/>
      <c r="H284" s="9"/>
    </row>
    <row r="285" spans="1:8" x14ac:dyDescent="0.3">
      <c r="A285" s="10" t="s">
        <v>1467</v>
      </c>
      <c r="B285" s="292" t="s">
        <v>1024</v>
      </c>
      <c r="C285" s="10" t="s">
        <v>1025</v>
      </c>
      <c r="D285" s="9"/>
      <c r="E285" s="9"/>
      <c r="F285" s="9"/>
      <c r="G285" s="9"/>
      <c r="H285" s="9"/>
    </row>
    <row r="286" spans="1:8" x14ac:dyDescent="0.3">
      <c r="A286" s="10" t="s">
        <v>1468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1469</v>
      </c>
      <c r="B287" s="10" t="s">
        <v>1470</v>
      </c>
      <c r="C287" s="10" t="s">
        <v>1471</v>
      </c>
      <c r="D287" s="9"/>
      <c r="E287" s="9"/>
      <c r="F287" s="9"/>
      <c r="G287" s="9"/>
      <c r="H287" s="9"/>
    </row>
    <row r="288" spans="1:8" x14ac:dyDescent="0.3">
      <c r="A288" s="10" t="s">
        <v>1472</v>
      </c>
      <c r="B288" s="10" t="s">
        <v>1026</v>
      </c>
      <c r="C288" s="10" t="s">
        <v>1027</v>
      </c>
      <c r="D288" s="9"/>
      <c r="E288" s="9"/>
      <c r="F288" s="9"/>
      <c r="G288" s="9"/>
      <c r="H288" s="9"/>
    </row>
    <row r="289" spans="1:8" x14ac:dyDescent="0.3">
      <c r="A289" s="10" t="s">
        <v>1473</v>
      </c>
      <c r="B289" s="10" t="s">
        <v>1474</v>
      </c>
      <c r="C289" s="10" t="s">
        <v>1475</v>
      </c>
      <c r="D289" s="9"/>
      <c r="E289" s="9"/>
      <c r="F289" s="9"/>
      <c r="G289" s="9"/>
      <c r="H289" s="9"/>
    </row>
    <row r="290" spans="1:8" x14ac:dyDescent="0.3">
      <c r="A290" s="10" t="s">
        <v>1476</v>
      </c>
      <c r="B290" s="10" t="s">
        <v>1028</v>
      </c>
      <c r="C290" s="10" t="s">
        <v>1029</v>
      </c>
      <c r="D290" s="9"/>
      <c r="E290" s="9"/>
      <c r="F290" s="9"/>
      <c r="G290" s="9"/>
      <c r="H290" s="9"/>
    </row>
    <row r="291" spans="1:8" x14ac:dyDescent="0.3">
      <c r="A291" s="10" t="s">
        <v>1477</v>
      </c>
      <c r="B291" s="10" t="s">
        <v>1030</v>
      </c>
      <c r="C291" s="10" t="s">
        <v>1031</v>
      </c>
      <c r="D291" s="9"/>
      <c r="E291" s="9"/>
      <c r="F291" s="9"/>
      <c r="G291" s="9"/>
      <c r="H291" s="9"/>
    </row>
    <row r="292" spans="1:8" x14ac:dyDescent="0.3">
      <c r="A292" s="10" t="s">
        <v>1478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1479</v>
      </c>
      <c r="B293" s="10" t="s">
        <v>1032</v>
      </c>
      <c r="C293" s="10" t="s">
        <v>905</v>
      </c>
      <c r="D293" s="9"/>
      <c r="E293" s="9"/>
      <c r="F293" s="9"/>
      <c r="G293" s="9"/>
      <c r="H293" s="9"/>
    </row>
    <row r="294" spans="1:8" x14ac:dyDescent="0.3">
      <c r="A294" s="10" t="s">
        <v>1480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1481</v>
      </c>
      <c r="B295" s="9" t="s">
        <v>1482</v>
      </c>
      <c r="C295" s="10" t="s">
        <v>1483</v>
      </c>
      <c r="D295" s="9"/>
      <c r="E295" s="9"/>
      <c r="F295" s="9"/>
      <c r="G295" s="9"/>
      <c r="H295" s="9"/>
    </row>
    <row r="296" spans="1:8" x14ac:dyDescent="0.3">
      <c r="A296" s="10" t="s">
        <v>1484</v>
      </c>
      <c r="B296" s="9" t="s">
        <v>1033</v>
      </c>
      <c r="C296" s="10" t="s">
        <v>1034</v>
      </c>
      <c r="D296" s="9"/>
      <c r="E296" s="9"/>
      <c r="F296" s="9"/>
      <c r="G296" s="9"/>
      <c r="H296" s="9"/>
    </row>
    <row r="297" spans="1:8" x14ac:dyDescent="0.3">
      <c r="A297" s="10" t="s">
        <v>1485</v>
      </c>
      <c r="B297" s="9" t="s">
        <v>1486</v>
      </c>
      <c r="C297" s="10" t="s">
        <v>1487</v>
      </c>
      <c r="D297" s="9"/>
      <c r="E297" s="9"/>
      <c r="F297" s="9"/>
      <c r="G297" s="9"/>
      <c r="H297" s="9"/>
    </row>
    <row r="298" spans="1:8" x14ac:dyDescent="0.3">
      <c r="A298" s="10" t="s">
        <v>1488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1489</v>
      </c>
      <c r="B299" s="11" t="s">
        <v>1035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1490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1491</v>
      </c>
      <c r="B301" s="10" t="s">
        <v>1036</v>
      </c>
      <c r="C301" s="10" t="s">
        <v>1037</v>
      </c>
      <c r="D301" s="9"/>
      <c r="E301" s="9"/>
      <c r="F301" s="9"/>
      <c r="G301" s="9"/>
      <c r="H301" s="9"/>
    </row>
    <row r="302" spans="1:8" x14ac:dyDescent="0.3">
      <c r="A302" s="10" t="s">
        <v>1492</v>
      </c>
      <c r="B302" s="10" t="s">
        <v>1038</v>
      </c>
      <c r="C302" s="10" t="s">
        <v>1039</v>
      </c>
      <c r="D302" s="9"/>
      <c r="E302" s="9"/>
      <c r="F302" s="9"/>
      <c r="G302" s="9"/>
      <c r="H302" s="9"/>
    </row>
    <row r="303" spans="1:8" x14ac:dyDescent="0.3">
      <c r="A303" s="10" t="s">
        <v>1493</v>
      </c>
      <c r="B303" s="10" t="s">
        <v>1040</v>
      </c>
      <c r="C303" s="10" t="s">
        <v>1041</v>
      </c>
      <c r="D303" s="9"/>
      <c r="E303" s="9"/>
      <c r="F303" s="9"/>
      <c r="G303" s="9"/>
      <c r="H303" s="9"/>
    </row>
    <row r="304" spans="1:8" x14ac:dyDescent="0.3">
      <c r="A304" s="10" t="s">
        <v>1494</v>
      </c>
      <c r="B304" s="10" t="s">
        <v>1042</v>
      </c>
      <c r="C304" s="10" t="s">
        <v>1043</v>
      </c>
      <c r="D304" s="9"/>
      <c r="E304" s="9"/>
      <c r="F304" s="9"/>
      <c r="G304" s="9"/>
      <c r="H304" s="9"/>
    </row>
    <row r="305" spans="1:8" x14ac:dyDescent="0.3">
      <c r="A305" s="10" t="s">
        <v>1495</v>
      </c>
      <c r="B305" s="10" t="s">
        <v>1496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1497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1498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1499</v>
      </c>
      <c r="B308" s="10" t="s">
        <v>1044</v>
      </c>
      <c r="C308" s="10" t="s">
        <v>1045</v>
      </c>
      <c r="D308" s="9"/>
      <c r="E308" s="9"/>
      <c r="F308" s="9"/>
      <c r="G308" s="9"/>
      <c r="H308" s="9"/>
    </row>
    <row r="309" spans="1:8" x14ac:dyDescent="0.3">
      <c r="A309" s="10" t="s">
        <v>1046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1047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1048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1049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1050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1051</v>
      </c>
      <c r="B314" s="10" t="s">
        <v>1052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1053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1054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1055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1056</v>
      </c>
      <c r="B318" s="10" t="s">
        <v>1057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1058</v>
      </c>
      <c r="B319" s="10" t="s">
        <v>1059</v>
      </c>
      <c r="C319" s="10" t="s">
        <v>830</v>
      </c>
      <c r="D319" s="9"/>
      <c r="E319" s="9"/>
      <c r="F319" s="9"/>
      <c r="G319" s="9"/>
      <c r="H319" s="9"/>
    </row>
    <row r="320" spans="1:8" x14ac:dyDescent="0.3">
      <c r="A320" s="10" t="s">
        <v>1060</v>
      </c>
      <c r="B320" s="10" t="s">
        <v>1061</v>
      </c>
      <c r="C320" s="10" t="s">
        <v>1062</v>
      </c>
      <c r="D320" s="9"/>
      <c r="E320" s="9"/>
      <c r="F320" s="9"/>
      <c r="G320" s="9"/>
      <c r="H320" s="9"/>
    </row>
    <row r="321" spans="1:8" x14ac:dyDescent="0.3">
      <c r="A321" s="10" t="s">
        <v>1063</v>
      </c>
      <c r="B321" s="10" t="s">
        <v>1064</v>
      </c>
      <c r="C321" s="10" t="s">
        <v>1065</v>
      </c>
      <c r="D321" s="9"/>
      <c r="E321" s="9"/>
      <c r="F321" s="9"/>
      <c r="G321" s="9"/>
      <c r="H321" s="9"/>
    </row>
    <row r="322" spans="1:8" x14ac:dyDescent="0.3">
      <c r="A322" s="10" t="s">
        <v>1066</v>
      </c>
      <c r="B322" s="290" t="s">
        <v>1067</v>
      </c>
      <c r="C322" s="286" t="s">
        <v>1068</v>
      </c>
      <c r="D322" s="9"/>
      <c r="E322" s="9"/>
      <c r="F322" s="9"/>
      <c r="G322" s="9"/>
      <c r="H322" s="9"/>
    </row>
    <row r="323" spans="1:8" x14ac:dyDescent="0.3">
      <c r="A323" s="10" t="s">
        <v>1069</v>
      </c>
      <c r="B323" s="290" t="s">
        <v>1070</v>
      </c>
      <c r="C323" s="286" t="s">
        <v>1071</v>
      </c>
      <c r="D323" s="9"/>
      <c r="E323" s="9"/>
      <c r="F323" s="9"/>
      <c r="G323" s="9"/>
      <c r="H323" s="9"/>
    </row>
    <row r="324" spans="1:8" x14ac:dyDescent="0.3">
      <c r="A324" s="10" t="s">
        <v>1072</v>
      </c>
      <c r="B324" s="290" t="s">
        <v>1073</v>
      </c>
      <c r="C324" s="286" t="s">
        <v>1074</v>
      </c>
      <c r="D324" s="9"/>
      <c r="E324" s="9"/>
      <c r="F324" s="9"/>
      <c r="G324" s="9"/>
      <c r="H324" s="9"/>
    </row>
    <row r="325" spans="1:8" x14ac:dyDescent="0.3">
      <c r="A325" s="10" t="s">
        <v>1075</v>
      </c>
      <c r="B325" s="290" t="s">
        <v>1076</v>
      </c>
      <c r="C325" s="286" t="s">
        <v>1077</v>
      </c>
      <c r="D325" s="9"/>
      <c r="E325" s="9"/>
      <c r="F325" s="9"/>
      <c r="G325" s="9"/>
      <c r="H325" s="9"/>
    </row>
    <row r="326" spans="1:8" x14ac:dyDescent="0.3">
      <c r="A326" s="10" t="s">
        <v>1078</v>
      </c>
      <c r="B326" s="10" t="s">
        <v>59</v>
      </c>
      <c r="C326" s="10" t="s">
        <v>1079</v>
      </c>
      <c r="D326" s="9"/>
      <c r="E326" s="9"/>
      <c r="F326" s="9"/>
      <c r="G326" s="9"/>
      <c r="H326" s="9"/>
    </row>
    <row r="327" spans="1:8" x14ac:dyDescent="0.3">
      <c r="A327" s="10" t="s">
        <v>1080</v>
      </c>
      <c r="B327" s="10" t="s">
        <v>58</v>
      </c>
      <c r="C327" s="10" t="s">
        <v>1081</v>
      </c>
      <c r="D327" s="9"/>
      <c r="E327" s="9"/>
      <c r="F327" s="9"/>
      <c r="G327" s="9"/>
      <c r="H327" s="9"/>
    </row>
    <row r="328" spans="1:8" x14ac:dyDescent="0.3">
      <c r="A328" s="10" t="s">
        <v>1082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1083</v>
      </c>
      <c r="B329" s="10" t="s">
        <v>1084</v>
      </c>
      <c r="C329" s="293" t="s">
        <v>1085</v>
      </c>
      <c r="D329" s="9"/>
      <c r="E329" s="9"/>
      <c r="F329" s="9"/>
      <c r="G329" s="9"/>
      <c r="H329" s="9"/>
    </row>
    <row r="330" spans="1:8" x14ac:dyDescent="0.3">
      <c r="A330" s="10" t="s">
        <v>1086</v>
      </c>
      <c r="B330" s="10" t="s">
        <v>1087</v>
      </c>
      <c r="C330" s="293" t="s">
        <v>1088</v>
      </c>
      <c r="D330" s="9"/>
      <c r="E330" s="9"/>
      <c r="F330" s="9"/>
      <c r="G330" s="9"/>
      <c r="H330" s="9"/>
    </row>
    <row r="331" spans="1:8" x14ac:dyDescent="0.3">
      <c r="A331" s="10" t="s">
        <v>1089</v>
      </c>
      <c r="B331" s="10" t="s">
        <v>1090</v>
      </c>
      <c r="C331" s="293" t="s">
        <v>1091</v>
      </c>
      <c r="D331" s="9"/>
      <c r="E331" s="9"/>
      <c r="F331" s="9"/>
      <c r="G331" s="9"/>
      <c r="H331" s="9"/>
    </row>
    <row r="332" spans="1:8" x14ac:dyDescent="0.3">
      <c r="A332" s="10" t="s">
        <v>1092</v>
      </c>
      <c r="B332" s="10" t="s">
        <v>55</v>
      </c>
      <c r="C332" s="10" t="s">
        <v>54</v>
      </c>
    </row>
    <row r="333" spans="1:8" x14ac:dyDescent="0.3">
      <c r="A333" s="10" t="s">
        <v>1093</v>
      </c>
      <c r="B333" s="10" t="s">
        <v>1094</v>
      </c>
      <c r="C333" s="10" t="s">
        <v>1000</v>
      </c>
    </row>
    <row r="334" spans="1:8" x14ac:dyDescent="0.3">
      <c r="A334" s="10" t="s">
        <v>1095</v>
      </c>
      <c r="B334" s="10" t="s">
        <v>1096</v>
      </c>
      <c r="C334" s="10" t="s">
        <v>1097</v>
      </c>
    </row>
    <row r="335" spans="1:8" x14ac:dyDescent="0.3">
      <c r="A335" s="10" t="s">
        <v>1098</v>
      </c>
      <c r="B335" s="10" t="s">
        <v>1099</v>
      </c>
      <c r="C335" s="10" t="s">
        <v>1100</v>
      </c>
    </row>
    <row r="336" spans="1:8" x14ac:dyDescent="0.3">
      <c r="A336" s="10" t="s">
        <v>1101</v>
      </c>
      <c r="B336" s="10" t="s">
        <v>53</v>
      </c>
      <c r="C336" s="10" t="s">
        <v>52</v>
      </c>
    </row>
    <row r="337" spans="1:3" x14ac:dyDescent="0.3">
      <c r="A337" s="10" t="s">
        <v>1102</v>
      </c>
      <c r="B337" s="10" t="s">
        <v>1103</v>
      </c>
      <c r="C337" s="10" t="s">
        <v>1104</v>
      </c>
    </row>
    <row r="338" spans="1:3" x14ac:dyDescent="0.3">
      <c r="A338" s="10" t="s">
        <v>1105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2025-03-20T04:49:01Z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