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F17B42B5-12E3-4CD7-B276-B79EA0CCFFEB}" xr6:coauthVersionLast="47" xr6:coauthVersionMax="47" xr10:uidLastSave="{00000000-0000-0000-0000-000000000000}"/>
  <bookViews>
    <workbookView xWindow="-108" yWindow="-108" windowWidth="23256" windowHeight="12456" tabRatio="887" activeTab="1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tblCompU[]</definedName>
    <definedName name="tblComp_U">tblCompU[]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6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1" i="14" s="1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6" i="10"/>
  <c r="E5" i="10"/>
  <c r="E4" i="10"/>
  <c r="I4" i="10"/>
  <c r="I15" i="2"/>
  <c r="I14" i="2"/>
  <c r="G47" i="11" s="1"/>
  <c r="I10" i="2"/>
  <c r="I9" i="2"/>
  <c r="G80" i="14" s="1"/>
  <c r="I5" i="2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3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W16" i="10"/>
  <c r="W17" i="10"/>
  <c r="D40" i="10" s="1"/>
  <c r="W18" i="10"/>
  <c r="D41" i="10" s="1"/>
  <c r="F31" i="14" s="1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W25" i="10"/>
  <c r="D48" i="10" s="1"/>
  <c r="W26" i="10"/>
  <c r="D49" i="10" s="1"/>
  <c r="W27" i="10"/>
  <c r="W28" i="10"/>
  <c r="W29" i="10"/>
  <c r="D52" i="10" s="1"/>
  <c r="T16" i="10"/>
  <c r="T17" i="10"/>
  <c r="T18" i="10"/>
  <c r="T19" i="10"/>
  <c r="T20" i="10"/>
  <c r="T21" i="10"/>
  <c r="T22" i="10"/>
  <c r="U22" i="10" s="1"/>
  <c r="V22" i="10" s="1"/>
  <c r="T23" i="10"/>
  <c r="Z23" i="10" s="1"/>
  <c r="T24" i="10"/>
  <c r="Z24" i="10" s="1"/>
  <c r="T25" i="10"/>
  <c r="Z25" i="10" s="1"/>
  <c r="T26" i="10"/>
  <c r="Z26" i="10" s="1"/>
  <c r="T27" i="10"/>
  <c r="T28" i="10"/>
  <c r="Z28" i="10" s="1"/>
  <c r="T29" i="10"/>
  <c r="T15" i="10"/>
  <c r="T6" i="10"/>
  <c r="W6" i="10" s="1"/>
  <c r="T7" i="10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F37" i="10" s="1"/>
  <c r="R27" i="11" s="1"/>
  <c r="E3" i="10"/>
  <c r="O29" i="10" s="1"/>
  <c r="N20" i="14"/>
  <c r="F44" i="9"/>
  <c r="E11" i="9"/>
  <c r="E13" i="9"/>
  <c r="E9" i="9"/>
  <c r="E15" i="9"/>
  <c r="E12" i="9"/>
  <c r="U35" i="10"/>
  <c r="C61" i="8"/>
  <c r="C78" i="8" s="1"/>
  <c r="K78" i="8" s="1"/>
  <c r="C44" i="8"/>
  <c r="C46" i="8" s="1"/>
  <c r="C26" i="8"/>
  <c r="C43" i="8" s="1"/>
  <c r="K43" i="8" s="1"/>
  <c r="K44" i="8"/>
  <c r="K53" i="8"/>
  <c r="K46" i="8"/>
  <c r="K48" i="8"/>
  <c r="K50" i="8"/>
  <c r="K33" i="8"/>
  <c r="K27" i="8"/>
  <c r="K36" i="8"/>
  <c r="K28" i="8"/>
  <c r="K29" i="8"/>
  <c r="K30" i="8"/>
  <c r="K32" i="8"/>
  <c r="O12" i="9"/>
  <c r="P12" i="9"/>
  <c r="N11" i="9"/>
  <c r="K61" i="8" l="1"/>
  <c r="C50" i="8"/>
  <c r="G46" i="11"/>
  <c r="C48" i="8"/>
  <c r="C55" i="8"/>
  <c r="C84" i="8"/>
  <c r="K84" i="8" s="1"/>
  <c r="I13" i="2"/>
  <c r="E47" i="11" s="1"/>
  <c r="C71" i="8"/>
  <c r="K71" i="8" s="1"/>
  <c r="C60" i="8"/>
  <c r="K60" i="8" s="1"/>
  <c r="C72" i="8"/>
  <c r="K72" i="8" s="1"/>
  <c r="C82" i="8"/>
  <c r="K82" i="8" s="1"/>
  <c r="C32" i="8"/>
  <c r="C28" i="8"/>
  <c r="C56" i="8"/>
  <c r="K56" i="8" s="1"/>
  <c r="C54" i="8"/>
  <c r="K54" i="8" s="1"/>
  <c r="C27" i="8"/>
  <c r="C52" i="8"/>
  <c r="K52" i="8" s="1"/>
  <c r="C53" i="8"/>
  <c r="C85" i="8"/>
  <c r="C67" i="8"/>
  <c r="K67" i="8" s="1"/>
  <c r="C64" i="8"/>
  <c r="K64" i="8" s="1"/>
  <c r="C86" i="8"/>
  <c r="K37" i="10"/>
  <c r="AI47" i="10"/>
  <c r="AC5" i="9"/>
  <c r="E37" i="10"/>
  <c r="L27" i="14" s="1"/>
  <c r="AI2" i="10"/>
  <c r="AI58" i="10"/>
  <c r="C37" i="10"/>
  <c r="D27" i="11" s="1"/>
  <c r="AI14" i="10"/>
  <c r="AB33" i="10"/>
  <c r="X5" i="10"/>
  <c r="D37" i="10"/>
  <c r="F27" i="11" s="1"/>
  <c r="AI25" i="10"/>
  <c r="D8" i="10"/>
  <c r="V5" i="10" s="1"/>
  <c r="W5" i="10"/>
  <c r="I8" i="2"/>
  <c r="AB15" i="10" s="1"/>
  <c r="C11" i="10"/>
  <c r="S13" i="10"/>
  <c r="W33" i="10"/>
  <c r="P6" i="10"/>
  <c r="C45" i="8"/>
  <c r="K45" i="8" s="1"/>
  <c r="C51" i="8"/>
  <c r="H46" i="10"/>
  <c r="F72" i="14" s="1"/>
  <c r="H38" i="10"/>
  <c r="F39" i="11" s="1"/>
  <c r="C83" i="8"/>
  <c r="K83" i="8" s="1"/>
  <c r="C58" i="8"/>
  <c r="K58" i="8" s="1"/>
  <c r="C49" i="8"/>
  <c r="K49" i="8" s="1"/>
  <c r="C47" i="8"/>
  <c r="K47" i="8" s="1"/>
  <c r="H50" i="10"/>
  <c r="E7" i="10"/>
  <c r="Q28" i="10" s="1"/>
  <c r="H52" i="10"/>
  <c r="Y23" i="10"/>
  <c r="Y22" i="10"/>
  <c r="U23" i="10"/>
  <c r="F30" i="11"/>
  <c r="F30" i="14"/>
  <c r="U24" i="10"/>
  <c r="H45" i="10"/>
  <c r="F71" i="14" s="1"/>
  <c r="D38" i="10"/>
  <c r="F28" i="11" s="1"/>
  <c r="D46" i="10"/>
  <c r="F36" i="14" s="1"/>
  <c r="Y24" i="10"/>
  <c r="U26" i="10"/>
  <c r="V26" i="10" s="1"/>
  <c r="O24" i="10"/>
  <c r="P26" i="10"/>
  <c r="D50" i="10"/>
  <c r="G81" i="14"/>
  <c r="C73" i="8"/>
  <c r="K73" i="8" s="1"/>
  <c r="C79" i="8"/>
  <c r="K79" i="8" s="1"/>
  <c r="O18" i="10"/>
  <c r="I18" i="2"/>
  <c r="C75" i="8"/>
  <c r="K75" i="8" s="1"/>
  <c r="C66" i="8"/>
  <c r="K66" i="8" s="1"/>
  <c r="C80" i="8"/>
  <c r="K80" i="8" s="1"/>
  <c r="C62" i="8"/>
  <c r="K62" i="8" s="1"/>
  <c r="N20" i="11"/>
  <c r="L11" i="10"/>
  <c r="P16" i="10"/>
  <c r="H16" i="9" s="1"/>
  <c r="AF61" i="10" a="1"/>
  <c r="AL61" i="10" s="1"/>
  <c r="H47" i="10"/>
  <c r="F73" i="14" s="1"/>
  <c r="F31" i="11"/>
  <c r="O23" i="10"/>
  <c r="P5" i="10"/>
  <c r="R27" i="14"/>
  <c r="C70" i="8"/>
  <c r="K70" i="8" s="1"/>
  <c r="C63" i="8"/>
  <c r="K63" i="8" s="1"/>
  <c r="C65" i="8"/>
  <c r="K65" i="8" s="1"/>
  <c r="C59" i="8"/>
  <c r="K59" i="8" s="1"/>
  <c r="O21" i="10"/>
  <c r="C68" i="8"/>
  <c r="K68" i="8" s="1"/>
  <c r="C69" i="8"/>
  <c r="K69" i="8" s="1"/>
  <c r="C81" i="8"/>
  <c r="K81" i="8" s="1"/>
  <c r="C76" i="8"/>
  <c r="K76" i="8" s="1"/>
  <c r="C77" i="8"/>
  <c r="K77" i="8" s="1"/>
  <c r="C74" i="8"/>
  <c r="K74" i="8" s="1"/>
  <c r="C57" i="8"/>
  <c r="AI36" i="10"/>
  <c r="H48" i="10"/>
  <c r="Y6" i="10"/>
  <c r="Y26" i="10"/>
  <c r="P4" i="10"/>
  <c r="Y25" i="10"/>
  <c r="U25" i="10"/>
  <c r="V25" i="10" s="1"/>
  <c r="Z22" i="10"/>
  <c r="U28" i="10"/>
  <c r="V28" i="10" s="1"/>
  <c r="Y28" i="10"/>
  <c r="P30" i="9"/>
  <c r="X22" i="10"/>
  <c r="G45" i="10"/>
  <c r="D71" i="14" s="1"/>
  <c r="C45" i="10"/>
  <c r="D35" i="14" s="1"/>
  <c r="F32" i="14"/>
  <c r="F32" i="11"/>
  <c r="AF39" i="10" a="1"/>
  <c r="AF50" i="10" a="1"/>
  <c r="AF28" i="10" a="1"/>
  <c r="AF5" i="10" a="1"/>
  <c r="D51" i="10"/>
  <c r="H51" i="10"/>
  <c r="D47" i="10"/>
  <c r="F37" i="14" s="1"/>
  <c r="H43" i="10"/>
  <c r="F69" i="14" s="1"/>
  <c r="D43" i="10"/>
  <c r="F33" i="14" s="1"/>
  <c r="D39" i="10"/>
  <c r="H39" i="10"/>
  <c r="C33" i="8"/>
  <c r="C31" i="8"/>
  <c r="C29" i="8"/>
  <c r="C38" i="8"/>
  <c r="C40" i="8"/>
  <c r="K40" i="8" s="1"/>
  <c r="C42" i="8"/>
  <c r="K42" i="8" s="1"/>
  <c r="C36" i="8"/>
  <c r="C35" i="8"/>
  <c r="C39" i="8"/>
  <c r="Y7" i="10"/>
  <c r="W7" i="10"/>
  <c r="X7" i="10"/>
  <c r="AF17" i="10" a="1"/>
  <c r="Z27" i="10"/>
  <c r="Y27" i="10"/>
  <c r="U27" i="10"/>
  <c r="V27" i="10" s="1"/>
  <c r="Z29" i="10"/>
  <c r="Y29" i="10"/>
  <c r="U29" i="10"/>
  <c r="V29" i="10" s="1"/>
  <c r="C41" i="8"/>
  <c r="K41" i="8" s="1"/>
  <c r="C30" i="8"/>
  <c r="C37" i="8"/>
  <c r="C34" i="8"/>
  <c r="O17" i="10"/>
  <c r="O26" i="10"/>
  <c r="P17" i="10"/>
  <c r="I16" i="9" s="1"/>
  <c r="O19" i="10"/>
  <c r="P29" i="10"/>
  <c r="P27" i="10"/>
  <c r="P21" i="10"/>
  <c r="M16" i="9" s="1"/>
  <c r="P20" i="10"/>
  <c r="L16" i="9" s="1"/>
  <c r="P23" i="10"/>
  <c r="O16" i="9" s="1"/>
  <c r="P24" i="10"/>
  <c r="P16" i="9" s="1"/>
  <c r="O25" i="10"/>
  <c r="O15" i="10"/>
  <c r="O27" i="10"/>
  <c r="P15" i="10"/>
  <c r="G16" i="9" s="1"/>
  <c r="O20" i="10"/>
  <c r="P25" i="10"/>
  <c r="O16" i="10"/>
  <c r="P18" i="10"/>
  <c r="J16" i="9" s="1"/>
  <c r="P28" i="10"/>
  <c r="P19" i="10"/>
  <c r="K16" i="9" s="1"/>
  <c r="O28" i="10"/>
  <c r="O22" i="10"/>
  <c r="P22" i="10"/>
  <c r="N16" i="9" s="1"/>
  <c r="H42" i="10"/>
  <c r="H40" i="10"/>
  <c r="H41" i="10"/>
  <c r="X6" i="10"/>
  <c r="H49" i="10"/>
  <c r="H44" i="10"/>
  <c r="F70" i="14" s="1"/>
  <c r="P11" i="9"/>
  <c r="O11" i="9"/>
  <c r="O10" i="9"/>
  <c r="P10" i="9"/>
  <c r="N12" i="9"/>
  <c r="N10" i="9"/>
  <c r="J23" i="15" l="1"/>
  <c r="X23" i="15"/>
  <c r="Q23" i="15"/>
  <c r="AE23" i="15"/>
  <c r="E81" i="14"/>
  <c r="AB21" i="10"/>
  <c r="AA17" i="10"/>
  <c r="AB24" i="10"/>
  <c r="P3" i="10"/>
  <c r="P7" i="10" s="1"/>
  <c r="AB28" i="10"/>
  <c r="AB16" i="10"/>
  <c r="AB20" i="10"/>
  <c r="E46" i="11"/>
  <c r="AB27" i="10"/>
  <c r="D27" i="14"/>
  <c r="AB29" i="10"/>
  <c r="E80" i="14"/>
  <c r="AB17" i="10"/>
  <c r="AB26" i="10"/>
  <c r="AB18" i="10"/>
  <c r="AB23" i="10"/>
  <c r="AB22" i="10"/>
  <c r="AB25" i="10"/>
  <c r="AB19" i="10"/>
  <c r="Q21" i="10"/>
  <c r="Q26" i="10"/>
  <c r="Q20" i="10"/>
  <c r="G11" i="10"/>
  <c r="Q23" i="10"/>
  <c r="Q17" i="10"/>
  <c r="Q27" i="10"/>
  <c r="Q16" i="10"/>
  <c r="K11" i="10"/>
  <c r="Q29" i="10"/>
  <c r="Q18" i="10"/>
  <c r="Q25" i="10"/>
  <c r="Q24" i="10"/>
  <c r="Q19" i="10"/>
  <c r="Q15" i="10"/>
  <c r="Q22" i="10"/>
  <c r="V7" i="10"/>
  <c r="U6" i="10"/>
  <c r="L27" i="11"/>
  <c r="U7" i="10"/>
  <c r="V6" i="10"/>
  <c r="U5" i="10"/>
  <c r="AC3" i="9"/>
  <c r="AC6" i="9" s="1"/>
  <c r="O14" i="9" s="1"/>
  <c r="AD3" i="9"/>
  <c r="AD6" i="9" s="1"/>
  <c r="P14" i="9" s="1"/>
  <c r="P32" i="9" s="1"/>
  <c r="AB3" i="9"/>
  <c r="AB6" i="9" s="1"/>
  <c r="N14" i="9" s="1"/>
  <c r="F27" i="14"/>
  <c r="N18" i="9"/>
  <c r="O18" i="9"/>
  <c r="P18" i="9"/>
  <c r="P36" i="9" s="1"/>
  <c r="F64" i="14"/>
  <c r="AA47" i="10"/>
  <c r="O9" i="9"/>
  <c r="O15" i="9"/>
  <c r="O17" i="9"/>
  <c r="O45" i="9" s="1"/>
  <c r="O47" i="9" s="1"/>
  <c r="O13" i="9"/>
  <c r="N17" i="9"/>
  <c r="N15" i="9"/>
  <c r="N13" i="9"/>
  <c r="N9" i="9"/>
  <c r="AH61" i="10"/>
  <c r="AJ61" i="10"/>
  <c r="V23" i="10"/>
  <c r="AI61" i="10"/>
  <c r="AF61" i="10"/>
  <c r="AN61" i="10"/>
  <c r="AM61" i="10"/>
  <c r="AG61" i="10"/>
  <c r="AO61" i="10"/>
  <c r="AK61" i="10"/>
  <c r="P29" i="9"/>
  <c r="V24" i="10"/>
  <c r="F28" i="14"/>
  <c r="P15" i="9"/>
  <c r="P33" i="9" s="1"/>
  <c r="P9" i="9"/>
  <c r="P27" i="9" s="1"/>
  <c r="P28" i="9"/>
  <c r="P13" i="9"/>
  <c r="P31" i="9" s="1"/>
  <c r="P17" i="9"/>
  <c r="P35" i="9" s="1"/>
  <c r="X26" i="10"/>
  <c r="G49" i="10"/>
  <c r="C49" i="10"/>
  <c r="F49" i="10" s="1"/>
  <c r="J49" i="10" s="1"/>
  <c r="U51" i="10"/>
  <c r="AA28" i="10"/>
  <c r="AA23" i="10"/>
  <c r="T46" i="11"/>
  <c r="T80" i="14"/>
  <c r="BA7" i="10"/>
  <c r="G51" i="10"/>
  <c r="C51" i="10"/>
  <c r="X28" i="10"/>
  <c r="E51" i="10" s="1"/>
  <c r="X25" i="10"/>
  <c r="G48" i="10"/>
  <c r="C48" i="10"/>
  <c r="X29" i="10"/>
  <c r="C52" i="10"/>
  <c r="G52" i="10"/>
  <c r="F41" i="11"/>
  <c r="F66" i="14"/>
  <c r="Z50" i="10"/>
  <c r="Z51" i="10"/>
  <c r="U43" i="10"/>
  <c r="AB40" i="10"/>
  <c r="AC49" i="10"/>
  <c r="AA45" i="10"/>
  <c r="AC43" i="10"/>
  <c r="F29" i="14"/>
  <c r="F29" i="11"/>
  <c r="AM5" i="10"/>
  <c r="AI5" i="10"/>
  <c r="AG5" i="10"/>
  <c r="AO5" i="10"/>
  <c r="AJ5" i="10"/>
  <c r="AH5" i="10"/>
  <c r="AF5" i="10"/>
  <c r="AK5" i="10"/>
  <c r="AL5" i="10"/>
  <c r="AN5" i="10"/>
  <c r="N7" i="9"/>
  <c r="N25" i="9" s="1"/>
  <c r="K45" i="10"/>
  <c r="F45" i="10"/>
  <c r="F43" i="11"/>
  <c r="F68" i="14"/>
  <c r="AA49" i="10"/>
  <c r="AC47" i="10"/>
  <c r="V51" i="10"/>
  <c r="W46" i="10"/>
  <c r="W37" i="10"/>
  <c r="W40" i="10"/>
  <c r="AA44" i="10"/>
  <c r="AA51" i="10"/>
  <c r="Z43" i="10"/>
  <c r="AB37" i="10"/>
  <c r="AA43" i="10"/>
  <c r="Z39" i="10"/>
  <c r="AC38" i="10"/>
  <c r="AO28" i="10"/>
  <c r="AL28" i="10"/>
  <c r="AK28" i="10"/>
  <c r="AH28" i="10"/>
  <c r="AM28" i="10"/>
  <c r="AF28" i="10"/>
  <c r="AI28" i="10"/>
  <c r="AG28" i="10"/>
  <c r="AN28" i="10"/>
  <c r="AJ28" i="10"/>
  <c r="AA25" i="10"/>
  <c r="T39" i="10"/>
  <c r="X27" i="10"/>
  <c r="G50" i="10"/>
  <c r="C50" i="10"/>
  <c r="AB43" i="10"/>
  <c r="AB49" i="10"/>
  <c r="Z41" i="10"/>
  <c r="Z46" i="10"/>
  <c r="Z49" i="10"/>
  <c r="AA40" i="10"/>
  <c r="Z48" i="10"/>
  <c r="AC39" i="10"/>
  <c r="AC40" i="10"/>
  <c r="AA41" i="10"/>
  <c r="AB51" i="10"/>
  <c r="AC46" i="10"/>
  <c r="T51" i="10"/>
  <c r="W44" i="10"/>
  <c r="V49" i="10"/>
  <c r="U37" i="10"/>
  <c r="T50" i="10"/>
  <c r="V39" i="10"/>
  <c r="U42" i="10"/>
  <c r="T44" i="10"/>
  <c r="U39" i="10"/>
  <c r="U41" i="10"/>
  <c r="T41" i="10"/>
  <c r="W39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5" i="10"/>
  <c r="AC51" i="10"/>
  <c r="Z37" i="10"/>
  <c r="V46" i="10"/>
  <c r="T46" i="10"/>
  <c r="U40" i="10"/>
  <c r="U45" i="10"/>
  <c r="T38" i="10"/>
  <c r="Z40" i="10"/>
  <c r="AC45" i="10"/>
  <c r="V42" i="10"/>
  <c r="V38" i="10"/>
  <c r="T37" i="10"/>
  <c r="V37" i="10"/>
  <c r="AB47" i="10"/>
  <c r="AB42" i="10"/>
  <c r="W51" i="10"/>
  <c r="W45" i="10"/>
  <c r="W42" i="10"/>
  <c r="U46" i="10"/>
  <c r="U47" i="10"/>
  <c r="Z47" i="10"/>
  <c r="W48" i="10"/>
  <c r="W50" i="10"/>
  <c r="T49" i="10"/>
  <c r="V50" i="10"/>
  <c r="AA38" i="10"/>
  <c r="W49" i="10"/>
  <c r="AA46" i="10"/>
  <c r="AC37" i="10"/>
  <c r="AA26" i="10"/>
  <c r="AA21" i="10"/>
  <c r="AA18" i="10"/>
  <c r="AA27" i="10"/>
  <c r="AA19" i="10"/>
  <c r="AA24" i="10"/>
  <c r="AA16" i="10"/>
  <c r="AA20" i="10"/>
  <c r="AB41" i="10"/>
  <c r="AB50" i="10"/>
  <c r="V40" i="10"/>
  <c r="T47" i="10"/>
  <c r="V47" i="10"/>
  <c r="W43" i="10"/>
  <c r="AA50" i="10"/>
  <c r="AC42" i="10"/>
  <c r="Z38" i="10"/>
  <c r="AA48" i="10"/>
  <c r="AA39" i="10"/>
  <c r="AA42" i="10"/>
  <c r="AB38" i="10"/>
  <c r="V44" i="10"/>
  <c r="AJ50" i="10"/>
  <c r="AF50" i="10"/>
  <c r="AO50" i="10"/>
  <c r="AI50" i="10"/>
  <c r="AM50" i="10"/>
  <c r="AG50" i="10"/>
  <c r="AH50" i="10"/>
  <c r="AL50" i="10"/>
  <c r="AN50" i="10"/>
  <c r="AK50" i="10"/>
  <c r="AA22" i="10"/>
  <c r="AA29" i="10"/>
  <c r="AA37" i="10"/>
  <c r="W47" i="10"/>
  <c r="F42" i="11"/>
  <c r="F67" i="14"/>
  <c r="P34" i="9"/>
  <c r="AB48" i="10"/>
  <c r="AC41" i="10"/>
  <c r="W38" i="10"/>
  <c r="T40" i="10"/>
  <c r="U44" i="10"/>
  <c r="AM17" i="10"/>
  <c r="AK17" i="10"/>
  <c r="AF17" i="10"/>
  <c r="AN17" i="10"/>
  <c r="AJ17" i="10"/>
  <c r="AH17" i="10"/>
  <c r="AI17" i="10"/>
  <c r="AL17" i="10"/>
  <c r="AG17" i="10"/>
  <c r="AO17" i="10"/>
  <c r="AB45" i="10"/>
  <c r="AB46" i="10"/>
  <c r="AB39" i="10"/>
  <c r="AC44" i="10"/>
  <c r="AC50" i="10"/>
  <c r="Z44" i="10"/>
  <c r="Z42" i="10"/>
  <c r="AB44" i="10"/>
  <c r="AC48" i="10"/>
  <c r="F40" i="11"/>
  <c r="F65" i="14"/>
  <c r="AM39" i="10"/>
  <c r="AF39" i="10"/>
  <c r="AK39" i="10"/>
  <c r="AO39" i="10"/>
  <c r="AL39" i="10"/>
  <c r="AJ39" i="10"/>
  <c r="AG39" i="10"/>
  <c r="AI39" i="10"/>
  <c r="AN39" i="10"/>
  <c r="AH39" i="10"/>
  <c r="AA15" i="10"/>
  <c r="I45" i="10"/>
  <c r="L71" i="14" s="1"/>
  <c r="E45" i="10"/>
  <c r="L35" i="14" s="1"/>
  <c r="J45" i="10" l="1"/>
  <c r="AF23" i="15" s="1"/>
  <c r="R35" i="14"/>
  <c r="AH23" i="15"/>
  <c r="AG23" i="15"/>
  <c r="S23" i="15"/>
  <c r="T23" i="15"/>
  <c r="Z23" i="15"/>
  <c r="AA23" i="15"/>
  <c r="L23" i="15"/>
  <c r="M23" i="15"/>
  <c r="O32" i="9" a="1"/>
  <c r="O32" i="9" s="1"/>
  <c r="O30" i="9" a="1"/>
  <c r="O30" i="9" s="1"/>
  <c r="N35" i="9" a="1"/>
  <c r="N35" i="9" s="1"/>
  <c r="O27" i="9" a="1"/>
  <c r="O27" i="9" s="1"/>
  <c r="O35" i="9" a="1"/>
  <c r="O35" i="9" s="1"/>
  <c r="O36" i="9" a="1"/>
  <c r="O36" i="9" s="1"/>
  <c r="O34" i="9" a="1"/>
  <c r="O34" i="9" s="1"/>
  <c r="O33" i="9" a="1"/>
  <c r="O33" i="9" s="1"/>
  <c r="O28" i="9" a="1"/>
  <c r="O28" i="9" s="1"/>
  <c r="O31" i="9" a="1"/>
  <c r="O31" i="9" s="1"/>
  <c r="O29" i="9" a="1"/>
  <c r="O29" i="9" s="1"/>
  <c r="O19" i="9"/>
  <c r="F54" i="9" s="1"/>
  <c r="F64" i="9" s="1"/>
  <c r="G64" i="9" s="1"/>
  <c r="N27" i="9" a="1"/>
  <c r="N27" i="9" s="1"/>
  <c r="N36" i="9" a="1"/>
  <c r="N36" i="9" s="1"/>
  <c r="N32" i="9" a="1"/>
  <c r="N32" i="9" s="1"/>
  <c r="N28" i="9" a="1"/>
  <c r="N28" i="9" s="1"/>
  <c r="N34" i="9" a="1"/>
  <c r="N34" i="9" s="1"/>
  <c r="K49" i="10"/>
  <c r="N33" i="9" a="1"/>
  <c r="N33" i="9" s="1"/>
  <c r="N19" i="9"/>
  <c r="F53" i="9" s="1"/>
  <c r="N45" i="9"/>
  <c r="N47" i="9" s="1"/>
  <c r="N30" i="9" a="1"/>
  <c r="N30" i="9" s="1"/>
  <c r="N29" i="9" a="1"/>
  <c r="N29" i="9" s="1"/>
  <c r="N31" i="9" a="1"/>
  <c r="N31" i="9" s="1"/>
  <c r="P45" i="9"/>
  <c r="P47" i="9" s="1"/>
  <c r="G46" i="10"/>
  <c r="D72" i="14" s="1"/>
  <c r="C46" i="10"/>
  <c r="D36" i="14" s="1"/>
  <c r="X23" i="10"/>
  <c r="I51" i="10"/>
  <c r="X24" i="10"/>
  <c r="C47" i="10"/>
  <c r="D37" i="14" s="1"/>
  <c r="G47" i="10"/>
  <c r="D73" i="14" s="1"/>
  <c r="I49" i="10"/>
  <c r="E49" i="10"/>
  <c r="P19" i="9"/>
  <c r="F55" i="9" s="1"/>
  <c r="F48" i="10"/>
  <c r="J48" i="10" s="1"/>
  <c r="K48" i="10"/>
  <c r="K51" i="10"/>
  <c r="F51" i="10"/>
  <c r="J51" i="10" s="1"/>
  <c r="I48" i="10"/>
  <c r="E48" i="10"/>
  <c r="W53" i="10" a="1"/>
  <c r="W53" i="10" s="1"/>
  <c r="U53" i="10" a="1"/>
  <c r="U53" i="10" s="1"/>
  <c r="V53" i="10" a="1"/>
  <c r="V53" i="10" s="1"/>
  <c r="V52" i="10"/>
  <c r="AG19" i="10" s="1"/>
  <c r="E50" i="10"/>
  <c r="I50" i="10"/>
  <c r="AB52" i="10"/>
  <c r="AI41" i="10" s="1"/>
  <c r="AA53" i="10" a="1"/>
  <c r="AA53" i="10" s="1"/>
  <c r="P37" i="9"/>
  <c r="F52" i="10"/>
  <c r="J52" i="10" s="1"/>
  <c r="K52" i="10"/>
  <c r="AC53" i="10" a="1"/>
  <c r="AC53" i="10" s="1"/>
  <c r="AB53" i="10" a="1"/>
  <c r="AB53" i="10" s="1"/>
  <c r="K50" i="10"/>
  <c r="F50" i="10"/>
  <c r="J50" i="10" s="1"/>
  <c r="I52" i="10"/>
  <c r="E52" i="10"/>
  <c r="K23" i="15" l="1"/>
  <c r="Y23" i="15"/>
  <c r="R23" i="15"/>
  <c r="R71" i="14"/>
  <c r="J24" i="15"/>
  <c r="X24" i="15"/>
  <c r="Q24" i="15"/>
  <c r="AE24" i="15"/>
  <c r="J25" i="15"/>
  <c r="X25" i="15"/>
  <c r="AE25" i="15"/>
  <c r="Q25" i="15"/>
  <c r="AL6" i="10"/>
  <c r="AL21" i="10" s="1"/>
  <c r="AJ31" i="10"/>
  <c r="AI8" i="10"/>
  <c r="AL30" i="10"/>
  <c r="AL19" i="10"/>
  <c r="AI31" i="10"/>
  <c r="AM7" i="10"/>
  <c r="AG6" i="10"/>
  <c r="AG21" i="10" s="1"/>
  <c r="AN6" i="10"/>
  <c r="AN21" i="10" s="1"/>
  <c r="AH32" i="10"/>
  <c r="AO18" i="10"/>
  <c r="AK7" i="10"/>
  <c r="AI30" i="10"/>
  <c r="AG8" i="10"/>
  <c r="AH31" i="10"/>
  <c r="AK19" i="10"/>
  <c r="AM42" i="10"/>
  <c r="AK8" i="10"/>
  <c r="AI32" i="10"/>
  <c r="AF8" i="10"/>
  <c r="AG31" i="10"/>
  <c r="AK20" i="10"/>
  <c r="AL42" i="10"/>
  <c r="AO32" i="10"/>
  <c r="AK42" i="10"/>
  <c r="AM9" i="10"/>
  <c r="AL29" i="10"/>
  <c r="AJ32" i="10"/>
  <c r="AG42" i="10"/>
  <c r="AM8" i="10"/>
  <c r="AL32" i="10"/>
  <c r="AI29" i="10"/>
  <c r="AK18" i="10"/>
  <c r="AH8" i="10"/>
  <c r="AK29" i="10"/>
  <c r="AF7" i="10"/>
  <c r="AG30" i="10"/>
  <c r="AH19" i="10"/>
  <c r="AO8" i="10"/>
  <c r="AM31" i="10"/>
  <c r="AM6" i="10"/>
  <c r="AM21" i="10" s="1"/>
  <c r="AL9" i="10"/>
  <c r="AL31" i="10"/>
  <c r="AJ29" i="10"/>
  <c r="AH6" i="10"/>
  <c r="AH21" i="10" s="1"/>
  <c r="AL8" i="10"/>
  <c r="AJ8" i="10"/>
  <c r="AF32" i="10"/>
  <c r="AI6" i="10"/>
  <c r="AI21" i="10" s="1"/>
  <c r="AK30" i="10"/>
  <c r="AH18" i="10"/>
  <c r="AO7" i="10"/>
  <c r="AM32" i="10"/>
  <c r="AH9" i="10"/>
  <c r="AL7" i="10"/>
  <c r="AJ30" i="10"/>
  <c r="AN20" i="10"/>
  <c r="AH7" i="10"/>
  <c r="AF9" i="10"/>
  <c r="AN42" i="10"/>
  <c r="AN19" i="10"/>
  <c r="AN9" i="10"/>
  <c r="AF6" i="10"/>
  <c r="AF21" i="10" s="1"/>
  <c r="AJ9" i="10"/>
  <c r="AF29" i="10"/>
  <c r="AH51" i="10"/>
  <c r="AL18" i="10"/>
  <c r="AI9" i="10"/>
  <c r="AN8" i="10"/>
  <c r="AK32" i="10"/>
  <c r="AG7" i="10"/>
  <c r="AH29" i="10"/>
  <c r="AO20" i="10"/>
  <c r="AK6" i="10"/>
  <c r="AK21" i="10" s="1"/>
  <c r="AM30" i="10"/>
  <c r="AG29" i="10"/>
  <c r="AM29" i="10"/>
  <c r="AJ6" i="10"/>
  <c r="AJ21" i="10" s="1"/>
  <c r="AF31" i="10"/>
  <c r="AN18" i="10"/>
  <c r="AJ7" i="10"/>
  <c r="AF30" i="10"/>
  <c r="AL20" i="10"/>
  <c r="AI7" i="10"/>
  <c r="AN7" i="10"/>
  <c r="AK31" i="10"/>
  <c r="AG9" i="10"/>
  <c r="AH30" i="10"/>
  <c r="AO19" i="10"/>
  <c r="AK9" i="10"/>
  <c r="AN32" i="10"/>
  <c r="O37" i="9"/>
  <c r="N37" i="9"/>
  <c r="F63" i="9"/>
  <c r="G63" i="9" s="1"/>
  <c r="F65" i="9"/>
  <c r="G65" i="9" s="1"/>
  <c r="E46" i="10"/>
  <c r="L36" i="14" s="1"/>
  <c r="I46" i="10"/>
  <c r="L72" i="14" s="1"/>
  <c r="K46" i="10"/>
  <c r="F46" i="10"/>
  <c r="O7" i="9"/>
  <c r="O25" i="9" s="1"/>
  <c r="P7" i="9"/>
  <c r="P25" i="9" s="1"/>
  <c r="F47" i="10"/>
  <c r="K47" i="10"/>
  <c r="I47" i="10"/>
  <c r="L73" i="14" s="1"/>
  <c r="E47" i="10"/>
  <c r="L37" i="14" s="1"/>
  <c r="AG32" i="10"/>
  <c r="AH20" i="10"/>
  <c r="AO9" i="10"/>
  <c r="AO30" i="10"/>
  <c r="AN30" i="10"/>
  <c r="AO31" i="10"/>
  <c r="AN31" i="10"/>
  <c r="AO52" i="10"/>
  <c r="AG41" i="10"/>
  <c r="AO6" i="10"/>
  <c r="AO21" i="10" s="1"/>
  <c r="AO29" i="10"/>
  <c r="AN29" i="10"/>
  <c r="AO51" i="10"/>
  <c r="AH52" i="10"/>
  <c r="AK40" i="10"/>
  <c r="AG40" i="10"/>
  <c r="AI54" i="10"/>
  <c r="AL51" i="10"/>
  <c r="AJ52" i="10"/>
  <c r="AM52" i="10"/>
  <c r="AN54" i="10"/>
  <c r="AM41" i="10"/>
  <c r="AL41" i="10"/>
  <c r="AN43" i="10"/>
  <c r="AF51" i="10"/>
  <c r="AG52" i="10"/>
  <c r="AK54" i="10"/>
  <c r="AI19" i="10"/>
  <c r="AF43" i="10"/>
  <c r="AJ43" i="10"/>
  <c r="AH42" i="10"/>
  <c r="AM18" i="10"/>
  <c r="AJ20" i="10"/>
  <c r="AO40" i="10"/>
  <c r="AI42" i="10"/>
  <c r="AO54" i="10"/>
  <c r="AH54" i="10"/>
  <c r="AK41" i="10"/>
  <c r="AG43" i="10"/>
  <c r="AI52" i="10"/>
  <c r="AL53" i="10"/>
  <c r="AJ51" i="10"/>
  <c r="AM54" i="10"/>
  <c r="AN51" i="10"/>
  <c r="AF54" i="10"/>
  <c r="AG51" i="10"/>
  <c r="AK52" i="10"/>
  <c r="AF18" i="10"/>
  <c r="AI20" i="10"/>
  <c r="AF40" i="10"/>
  <c r="AJ41" i="10"/>
  <c r="AH40" i="10"/>
  <c r="AM20" i="10"/>
  <c r="AG18" i="10"/>
  <c r="AO41" i="10"/>
  <c r="AI43" i="10"/>
  <c r="AO53" i="10"/>
  <c r="AH53" i="10"/>
  <c r="AK43" i="10"/>
  <c r="AI51" i="10"/>
  <c r="AL54" i="10"/>
  <c r="AJ54" i="10"/>
  <c r="AM53" i="10"/>
  <c r="AN53" i="10"/>
  <c r="AM43" i="10"/>
  <c r="AL43" i="10"/>
  <c r="AN41" i="10"/>
  <c r="AF53" i="10"/>
  <c r="AG53" i="10"/>
  <c r="AK51" i="10"/>
  <c r="AF19" i="10"/>
  <c r="AI18" i="10"/>
  <c r="AF41" i="10"/>
  <c r="AJ40" i="10"/>
  <c r="AH43" i="10"/>
  <c r="AJ18" i="10"/>
  <c r="AG20" i="10"/>
  <c r="AO42" i="10"/>
  <c r="AL65" i="10"/>
  <c r="AN64" i="10"/>
  <c r="AF63" i="10"/>
  <c r="AJ62" i="10"/>
  <c r="AM65" i="10"/>
  <c r="AH65" i="10"/>
  <c r="AG65" i="10"/>
  <c r="AO63" i="10"/>
  <c r="AI62" i="10"/>
  <c r="AK63" i="10"/>
  <c r="AL62" i="10"/>
  <c r="AN62" i="10"/>
  <c r="AF65" i="10"/>
  <c r="AJ65" i="10"/>
  <c r="AM64" i="10"/>
  <c r="AH62" i="10"/>
  <c r="AG63" i="10"/>
  <c r="AL64" i="10"/>
  <c r="AN65" i="10"/>
  <c r="AF62" i="10"/>
  <c r="AJ64" i="10"/>
  <c r="AM62" i="10"/>
  <c r="AH63" i="10"/>
  <c r="AG62" i="10"/>
  <c r="AO62" i="10"/>
  <c r="AI63" i="10"/>
  <c r="AK64" i="10"/>
  <c r="AO64" i="10"/>
  <c r="AK62" i="10"/>
  <c r="AL63" i="10"/>
  <c r="AN63" i="10"/>
  <c r="AF64" i="10"/>
  <c r="AJ63" i="10"/>
  <c r="AM63" i="10"/>
  <c r="AH64" i="10"/>
  <c r="AG64" i="10"/>
  <c r="AO65" i="10"/>
  <c r="AI64" i="10"/>
  <c r="AK65" i="10"/>
  <c r="AI65" i="10"/>
  <c r="AI53" i="10"/>
  <c r="AL52" i="10"/>
  <c r="AJ53" i="10"/>
  <c r="AM51" i="10"/>
  <c r="AN52" i="10"/>
  <c r="AM40" i="10"/>
  <c r="AL40" i="10"/>
  <c r="AN40" i="10"/>
  <c r="AF52" i="10"/>
  <c r="AG54" i="10"/>
  <c r="AK53" i="10"/>
  <c r="AF20" i="10"/>
  <c r="AF42" i="10"/>
  <c r="AJ42" i="10"/>
  <c r="AH41" i="10"/>
  <c r="AM19" i="10"/>
  <c r="AJ19" i="10"/>
  <c r="AO43" i="10"/>
  <c r="AI40" i="10"/>
  <c r="J46" i="10" l="1"/>
  <c r="R72" i="14" s="1"/>
  <c r="R36" i="14"/>
  <c r="J47" i="10"/>
  <c r="Y25" i="15" s="1"/>
  <c r="R37" i="14"/>
  <c r="S25" i="15"/>
  <c r="T25" i="15"/>
  <c r="AG25" i="15"/>
  <c r="AH25" i="15"/>
  <c r="Z25" i="15"/>
  <c r="AA25" i="15"/>
  <c r="L25" i="15"/>
  <c r="M25" i="15"/>
  <c r="AG24" i="15"/>
  <c r="AH24" i="15"/>
  <c r="S24" i="15"/>
  <c r="T24" i="15"/>
  <c r="Z24" i="15"/>
  <c r="AA24" i="15"/>
  <c r="L24" i="15"/>
  <c r="M24" i="15"/>
  <c r="AF11" i="10"/>
  <c r="AL22" i="10"/>
  <c r="AJ11" i="10"/>
  <c r="AG11" i="10"/>
  <c r="AN11" i="10"/>
  <c r="AI11" i="10"/>
  <c r="AO22" i="10"/>
  <c r="AH22" i="10"/>
  <c r="AG33" i="10"/>
  <c r="AL33" i="10"/>
  <c r="AF33" i="10"/>
  <c r="AK22" i="10"/>
  <c r="AH11" i="10"/>
  <c r="AK33" i="10"/>
  <c r="AL11" i="10"/>
  <c r="AM11" i="10"/>
  <c r="AH33" i="10"/>
  <c r="AN22" i="10"/>
  <c r="AJ33" i="10"/>
  <c r="AI33" i="10"/>
  <c r="AM33" i="10"/>
  <c r="AK11" i="10"/>
  <c r="AM22" i="10"/>
  <c r="AJ22" i="10"/>
  <c r="AF55" i="10"/>
  <c r="AN33" i="10"/>
  <c r="AO55" i="10"/>
  <c r="AO33" i="10"/>
  <c r="AO11" i="10"/>
  <c r="AL55" i="10"/>
  <c r="AM66" i="10"/>
  <c r="AL66" i="10"/>
  <c r="AN55" i="10"/>
  <c r="AJ66" i="10"/>
  <c r="AG22" i="10"/>
  <c r="AI44" i="10"/>
  <c r="AH44" i="10"/>
  <c r="U17" i="10" s="1"/>
  <c r="V17" i="10" s="1"/>
  <c r="AN66" i="10"/>
  <c r="AG44" i="10"/>
  <c r="AG66" i="10"/>
  <c r="AF44" i="10"/>
  <c r="AO44" i="10"/>
  <c r="AJ44" i="10"/>
  <c r="AK55" i="10"/>
  <c r="AL44" i="10"/>
  <c r="AM55" i="10"/>
  <c r="AO66" i="10"/>
  <c r="AI55" i="10"/>
  <c r="AK44" i="10"/>
  <c r="AI22" i="10"/>
  <c r="AM44" i="10"/>
  <c r="AJ55" i="10"/>
  <c r="AH66" i="10"/>
  <c r="AF66" i="10"/>
  <c r="AF22" i="10"/>
  <c r="AN44" i="10"/>
  <c r="AI66" i="10"/>
  <c r="AK66" i="10"/>
  <c r="AG55" i="10"/>
  <c r="AH55" i="10"/>
  <c r="I11" i="9"/>
  <c r="R24" i="15" l="1"/>
  <c r="Y24" i="15"/>
  <c r="AF24" i="15"/>
  <c r="AF25" i="15"/>
  <c r="R25" i="15"/>
  <c r="K24" i="15"/>
  <c r="K25" i="15"/>
  <c r="R73" i="14"/>
  <c r="U19" i="10"/>
  <c r="V19" i="10" s="1"/>
  <c r="U15" i="10"/>
  <c r="V15" i="10" s="1"/>
  <c r="Y20" i="10"/>
  <c r="U16" i="10"/>
  <c r="V16" i="10" s="1"/>
  <c r="Z16" i="10"/>
  <c r="Y15" i="10"/>
  <c r="Z17" i="10"/>
  <c r="Y21" i="10"/>
  <c r="U18" i="10"/>
  <c r="Z20" i="10"/>
  <c r="Y17" i="10"/>
  <c r="Z15" i="10"/>
  <c r="Z19" i="10"/>
  <c r="Z21" i="10"/>
  <c r="U21" i="10"/>
  <c r="Z18" i="10"/>
  <c r="U20" i="10"/>
  <c r="Y16" i="10"/>
  <c r="Y19" i="10"/>
  <c r="Y18" i="10"/>
  <c r="G40" i="10"/>
  <c r="X17" i="10"/>
  <c r="C40" i="10"/>
  <c r="M11" i="9"/>
  <c r="J10" i="9"/>
  <c r="L11" i="9"/>
  <c r="K12" i="9"/>
  <c r="L10" i="9"/>
  <c r="H10" i="9"/>
  <c r="M12" i="9"/>
  <c r="H11" i="9"/>
  <c r="L12" i="9"/>
  <c r="G12" i="9"/>
  <c r="I12" i="9"/>
  <c r="G11" i="9"/>
  <c r="J11" i="9"/>
  <c r="J12" i="9"/>
  <c r="K10" i="9"/>
  <c r="I10" i="9"/>
  <c r="M10" i="9"/>
  <c r="H12" i="9"/>
  <c r="G10" i="9"/>
  <c r="K11" i="9"/>
  <c r="L13" i="9" l="1"/>
  <c r="Z3" i="9"/>
  <c r="Z6" i="9" s="1"/>
  <c r="L14" i="9" s="1"/>
  <c r="L17" i="9"/>
  <c r="L45" i="9" s="1"/>
  <c r="L47" i="9" s="1"/>
  <c r="L18" i="9"/>
  <c r="L9" i="9"/>
  <c r="L15" i="9"/>
  <c r="J18" i="15"/>
  <c r="X18" i="15"/>
  <c r="Q18" i="15"/>
  <c r="AE18" i="15"/>
  <c r="X3" i="9"/>
  <c r="X6" i="9" s="1"/>
  <c r="J14" i="9" s="1"/>
  <c r="W3" i="9"/>
  <c r="W6" i="9" s="1"/>
  <c r="I14" i="9" s="1"/>
  <c r="V3" i="9"/>
  <c r="V6" i="9" s="1"/>
  <c r="H14" i="9" s="1"/>
  <c r="Y3" i="9"/>
  <c r="Y6" i="9" s="1"/>
  <c r="K14" i="9" s="1"/>
  <c r="AA3" i="9"/>
  <c r="AA6" i="9" s="1"/>
  <c r="M14" i="9" s="1"/>
  <c r="U3" i="9"/>
  <c r="U6" i="9" s="1"/>
  <c r="G14" i="9" s="1"/>
  <c r="G18" i="9"/>
  <c r="G9" i="9"/>
  <c r="G17" i="9"/>
  <c r="G45" i="9" s="1"/>
  <c r="G47" i="9" s="1"/>
  <c r="G13" i="9"/>
  <c r="G15" i="9"/>
  <c r="M13" i="9"/>
  <c r="M18" i="9"/>
  <c r="M17" i="9"/>
  <c r="M9" i="9"/>
  <c r="M15" i="9"/>
  <c r="H18" i="9"/>
  <c r="K18" i="9"/>
  <c r="J18" i="9"/>
  <c r="I18" i="9"/>
  <c r="I15" i="9"/>
  <c r="I9" i="9"/>
  <c r="I17" i="9"/>
  <c r="I45" i="9" s="1"/>
  <c r="I47" i="9" s="1"/>
  <c r="I13" i="9"/>
  <c r="V18" i="10"/>
  <c r="V21" i="10"/>
  <c r="X21" i="10" s="1"/>
  <c r="V20" i="10"/>
  <c r="X20" i="10" s="1"/>
  <c r="K15" i="9"/>
  <c r="K17" i="9"/>
  <c r="K45" i="9" s="1"/>
  <c r="K47" i="9" s="1"/>
  <c r="K13" i="9"/>
  <c r="K9" i="9"/>
  <c r="H9" i="9"/>
  <c r="H17" i="9"/>
  <c r="H13" i="9"/>
  <c r="H15" i="9"/>
  <c r="J17" i="9"/>
  <c r="J45" i="9" s="1"/>
  <c r="J47" i="9" s="1"/>
  <c r="J13" i="9"/>
  <c r="J15" i="9"/>
  <c r="J9" i="9"/>
  <c r="K40" i="10"/>
  <c r="D30" i="11"/>
  <c r="D30" i="14"/>
  <c r="I7" i="9"/>
  <c r="I25" i="9" s="1"/>
  <c r="X19" i="10"/>
  <c r="G42" i="10"/>
  <c r="C42" i="10"/>
  <c r="E40" i="10"/>
  <c r="I40" i="10"/>
  <c r="G39" i="10"/>
  <c r="X16" i="10"/>
  <c r="C39" i="10"/>
  <c r="D41" i="11"/>
  <c r="D66" i="14"/>
  <c r="G38" i="10"/>
  <c r="C38" i="10"/>
  <c r="X15" i="10"/>
  <c r="L32" i="9" l="1" a="1"/>
  <c r="L32" i="9" s="1"/>
  <c r="L36" i="9" a="1"/>
  <c r="L36" i="9" s="1"/>
  <c r="L29" i="9" a="1"/>
  <c r="L29" i="9" s="1"/>
  <c r="L28" i="9" a="1"/>
  <c r="L28" i="9" s="1"/>
  <c r="L34" i="9" a="1"/>
  <c r="L34" i="9" s="1"/>
  <c r="L30" i="9" a="1"/>
  <c r="L30" i="9" s="1"/>
  <c r="L27" i="9" a="1"/>
  <c r="L27" i="9" s="1"/>
  <c r="L33" i="9" a="1"/>
  <c r="L33" i="9" s="1"/>
  <c r="L19" i="9"/>
  <c r="F51" i="9" s="1"/>
  <c r="F61" i="9" s="1"/>
  <c r="G61" i="9" s="1"/>
  <c r="L35" i="9" a="1"/>
  <c r="L35" i="9" s="1"/>
  <c r="L31" i="9" a="1"/>
  <c r="L31" i="9" s="1"/>
  <c r="J20" i="15"/>
  <c r="X20" i="15"/>
  <c r="AE20" i="15"/>
  <c r="Q20" i="15"/>
  <c r="AH18" i="15"/>
  <c r="AG18" i="15"/>
  <c r="J17" i="15"/>
  <c r="X17" i="15"/>
  <c r="Q17" i="15"/>
  <c r="AE17" i="15"/>
  <c r="J16" i="15"/>
  <c r="X16" i="15"/>
  <c r="AE16" i="15"/>
  <c r="Q16" i="15"/>
  <c r="S18" i="15"/>
  <c r="T18" i="15"/>
  <c r="Z18" i="15"/>
  <c r="AA18" i="15"/>
  <c r="L18" i="15"/>
  <c r="M18" i="15"/>
  <c r="G28" i="9" a="1"/>
  <c r="G28" i="9" s="1"/>
  <c r="G33" i="9" a="1"/>
  <c r="G33" i="9" s="1"/>
  <c r="G27" i="9" a="1"/>
  <c r="G27" i="9" s="1"/>
  <c r="G19" i="9"/>
  <c r="F46" i="9" s="1"/>
  <c r="F56" i="9" s="1"/>
  <c r="G36" i="9" a="1"/>
  <c r="G36" i="9" s="1"/>
  <c r="G31" i="9" a="1"/>
  <c r="G31" i="9" s="1"/>
  <c r="G35" i="9" a="1"/>
  <c r="G35" i="9" s="1"/>
  <c r="G30" i="9" a="1"/>
  <c r="G30" i="9" s="1"/>
  <c r="G34" i="9" a="1"/>
  <c r="G34" i="9" s="1"/>
  <c r="G32" i="9" a="1"/>
  <c r="G32" i="9" s="1"/>
  <c r="G29" i="9" a="1"/>
  <c r="G29" i="9" s="1"/>
  <c r="M19" i="9"/>
  <c r="F52" i="9" s="1"/>
  <c r="M32" i="9" a="1"/>
  <c r="M32" i="9" s="1"/>
  <c r="M36" i="9" a="1"/>
  <c r="M36" i="9" s="1"/>
  <c r="M35" i="9" a="1"/>
  <c r="M35" i="9" s="1"/>
  <c r="M33" i="9" a="1"/>
  <c r="M33" i="9" s="1"/>
  <c r="M27" i="9" a="1"/>
  <c r="M27" i="9" s="1"/>
  <c r="M29" i="9" a="1"/>
  <c r="M29" i="9" s="1"/>
  <c r="M28" i="9" a="1"/>
  <c r="M28" i="9" s="1"/>
  <c r="M30" i="9" a="1"/>
  <c r="M30" i="9" s="1"/>
  <c r="M31" i="9" a="1"/>
  <c r="M31" i="9" s="1"/>
  <c r="M34" i="9" a="1"/>
  <c r="M34" i="9" s="1"/>
  <c r="M45" i="9"/>
  <c r="M47" i="9" s="1"/>
  <c r="I28" i="9" a="1"/>
  <c r="I28" i="9" s="1"/>
  <c r="G44" i="10"/>
  <c r="D70" i="14" s="1"/>
  <c r="C44" i="10"/>
  <c r="D34" i="14" s="1"/>
  <c r="I19" i="9"/>
  <c r="F48" i="9" s="1"/>
  <c r="F58" i="9" s="1"/>
  <c r="I32" i="9" a="1"/>
  <c r="I32" i="9" s="1"/>
  <c r="I33" i="9" a="1"/>
  <c r="I33" i="9" s="1"/>
  <c r="I34" i="9" a="1"/>
  <c r="I34" i="9" s="1"/>
  <c r="I29" i="9" a="1"/>
  <c r="I29" i="9" s="1"/>
  <c r="I27" i="9" a="1"/>
  <c r="I27" i="9" s="1"/>
  <c r="I35" i="9" a="1"/>
  <c r="I35" i="9" s="1"/>
  <c r="I36" i="9" a="1"/>
  <c r="I36" i="9" s="1"/>
  <c r="I31" i="9" a="1"/>
  <c r="I31" i="9" s="1"/>
  <c r="G41" i="10"/>
  <c r="C41" i="10"/>
  <c r="X18" i="10"/>
  <c r="I30" i="9" a="1"/>
  <c r="I30" i="9" s="1"/>
  <c r="G43" i="10"/>
  <c r="D69" i="14" s="1"/>
  <c r="C43" i="10"/>
  <c r="K31" i="9" a="1"/>
  <c r="K31" i="9" s="1"/>
  <c r="H27" i="9" a="1"/>
  <c r="H27" i="9" s="1"/>
  <c r="K35" i="9" a="1"/>
  <c r="K35" i="9" s="1"/>
  <c r="H30" i="9" a="1"/>
  <c r="H30" i="9" s="1"/>
  <c r="K34" i="9" a="1"/>
  <c r="K34" i="9" s="1"/>
  <c r="K32" i="9" a="1"/>
  <c r="K32" i="9" s="1"/>
  <c r="H45" i="9"/>
  <c r="H47" i="9" s="1"/>
  <c r="H31" i="9" a="1"/>
  <c r="H31" i="9" s="1"/>
  <c r="H28" i="9" a="1"/>
  <c r="H28" i="9" s="1"/>
  <c r="K33" i="9" a="1"/>
  <c r="K33" i="9" s="1"/>
  <c r="H33" i="9" a="1"/>
  <c r="H33" i="9" s="1"/>
  <c r="K30" i="9" a="1"/>
  <c r="K30" i="9" s="1"/>
  <c r="H29" i="9" a="1"/>
  <c r="H29" i="9" s="1"/>
  <c r="H19" i="9"/>
  <c r="F47" i="9" s="1"/>
  <c r="H35" i="9" a="1"/>
  <c r="H35" i="9" s="1"/>
  <c r="H34" i="9" a="1"/>
  <c r="H34" i="9" s="1"/>
  <c r="H36" i="9" a="1"/>
  <c r="H36" i="9" s="1"/>
  <c r="K36" i="9" a="1"/>
  <c r="K36" i="9" s="1"/>
  <c r="K27" i="9" a="1"/>
  <c r="K27" i="9" s="1"/>
  <c r="H32" i="9" a="1"/>
  <c r="H32" i="9" s="1"/>
  <c r="K19" i="9"/>
  <c r="F50" i="9" s="1"/>
  <c r="F60" i="9" s="1"/>
  <c r="K28" i="9" a="1"/>
  <c r="K28" i="9" s="1"/>
  <c r="K29" i="9" a="1"/>
  <c r="K29" i="9" s="1"/>
  <c r="J31" i="9" a="1"/>
  <c r="J31" i="9" s="1"/>
  <c r="J29" i="9" a="1"/>
  <c r="J29" i="9" s="1"/>
  <c r="J34" i="9" a="1"/>
  <c r="J34" i="9" s="1"/>
  <c r="J35" i="9" a="1"/>
  <c r="J35" i="9" s="1"/>
  <c r="J33" i="9" a="1"/>
  <c r="J33" i="9" s="1"/>
  <c r="J30" i="9" a="1"/>
  <c r="J30" i="9" s="1"/>
  <c r="J19" i="9"/>
  <c r="F49" i="9" s="1"/>
  <c r="F59" i="9" s="1"/>
  <c r="G59" i="9" s="1"/>
  <c r="J36" i="9" a="1"/>
  <c r="J36" i="9" s="1"/>
  <c r="J28" i="9" a="1"/>
  <c r="J28" i="9" s="1"/>
  <c r="J27" i="9" a="1"/>
  <c r="J27" i="9" s="1"/>
  <c r="J32" i="9" a="1"/>
  <c r="J32" i="9" s="1"/>
  <c r="I39" i="10"/>
  <c r="E39" i="10"/>
  <c r="E42" i="10"/>
  <c r="I42" i="10"/>
  <c r="E43" i="10"/>
  <c r="L33" i="14" s="1"/>
  <c r="I43" i="10"/>
  <c r="L69" i="14" s="1"/>
  <c r="I38" i="10"/>
  <c r="E38" i="10"/>
  <c r="D65" i="14"/>
  <c r="D40" i="11"/>
  <c r="E44" i="10"/>
  <c r="L34" i="14" s="1"/>
  <c r="I44" i="10"/>
  <c r="L70" i="14" s="1"/>
  <c r="D28" i="11"/>
  <c r="K38" i="10"/>
  <c r="D28" i="14"/>
  <c r="G7" i="9"/>
  <c r="G25" i="9" s="1"/>
  <c r="L66" i="14"/>
  <c r="L41" i="11"/>
  <c r="K7" i="9"/>
  <c r="K25" i="9" s="1"/>
  <c r="D32" i="11"/>
  <c r="K42" i="10"/>
  <c r="D32" i="14"/>
  <c r="D39" i="11"/>
  <c r="D64" i="14"/>
  <c r="D29" i="14"/>
  <c r="H7" i="9"/>
  <c r="H25" i="9" s="1"/>
  <c r="K39" i="10"/>
  <c r="D29" i="11"/>
  <c r="L30" i="11"/>
  <c r="L30" i="14"/>
  <c r="D68" i="14"/>
  <c r="D43" i="11"/>
  <c r="L7" i="9" l="1"/>
  <c r="L25" i="9" s="1"/>
  <c r="D33" i="14"/>
  <c r="L37" i="9"/>
  <c r="J19" i="15"/>
  <c r="X19" i="15"/>
  <c r="Q19" i="15"/>
  <c r="AE19" i="15"/>
  <c r="L17" i="15"/>
  <c r="M17" i="15"/>
  <c r="J22" i="15"/>
  <c r="X22" i="15"/>
  <c r="Q22" i="15"/>
  <c r="AE22" i="15"/>
  <c r="AG16" i="15"/>
  <c r="AH16" i="15"/>
  <c r="S16" i="15"/>
  <c r="T16" i="15"/>
  <c r="J21" i="15"/>
  <c r="X21" i="15"/>
  <c r="AE21" i="15"/>
  <c r="Q21" i="15"/>
  <c r="Z16" i="15"/>
  <c r="AA16" i="15"/>
  <c r="S20" i="15"/>
  <c r="T20" i="15"/>
  <c r="L16" i="15"/>
  <c r="M16" i="15"/>
  <c r="AG20" i="15"/>
  <c r="AH20" i="15"/>
  <c r="Z17" i="15"/>
  <c r="AA17" i="15"/>
  <c r="AG17" i="15"/>
  <c r="AH17" i="15"/>
  <c r="Z20" i="15"/>
  <c r="AA20" i="15"/>
  <c r="T17" i="15"/>
  <c r="S17" i="15"/>
  <c r="L20" i="15"/>
  <c r="M20" i="15"/>
  <c r="G60" i="9"/>
  <c r="F42" i="10" s="1"/>
  <c r="G58" i="9"/>
  <c r="F40" i="10" s="1"/>
  <c r="G56" i="9"/>
  <c r="F38" i="10" s="1"/>
  <c r="G37" i="9"/>
  <c r="F62" i="9"/>
  <c r="K44" i="10"/>
  <c r="M7" i="9"/>
  <c r="M25" i="9" s="1"/>
  <c r="M37" i="9"/>
  <c r="I37" i="9"/>
  <c r="F41" i="10"/>
  <c r="J41" i="10" s="1"/>
  <c r="E41" i="10"/>
  <c r="I41" i="10"/>
  <c r="J7" i="9"/>
  <c r="J25" i="9" s="1"/>
  <c r="D31" i="14"/>
  <c r="K41" i="10"/>
  <c r="D31" i="11"/>
  <c r="D67" i="14"/>
  <c r="D42" i="11"/>
  <c r="K43" i="10"/>
  <c r="F43" i="10"/>
  <c r="R33" i="14" s="1"/>
  <c r="F57" i="9"/>
  <c r="K37" i="9"/>
  <c r="H37" i="9"/>
  <c r="J37" i="9"/>
  <c r="L43" i="11"/>
  <c r="L68" i="14"/>
  <c r="L29" i="11"/>
  <c r="L29" i="14"/>
  <c r="L32" i="11"/>
  <c r="L32" i="14"/>
  <c r="L40" i="11"/>
  <c r="L65" i="14"/>
  <c r="L28" i="14"/>
  <c r="L28" i="11"/>
  <c r="L39" i="11"/>
  <c r="L64" i="14"/>
  <c r="K19" i="15" l="1"/>
  <c r="Y19" i="15"/>
  <c r="AF19" i="15"/>
  <c r="R19" i="15"/>
  <c r="Z21" i="15"/>
  <c r="AA21" i="15"/>
  <c r="L22" i="15"/>
  <c r="M22" i="15"/>
  <c r="L21" i="15"/>
  <c r="M21" i="15"/>
  <c r="AH19" i="15"/>
  <c r="AG19" i="15"/>
  <c r="T19" i="15"/>
  <c r="S19" i="15"/>
  <c r="Z22" i="15"/>
  <c r="AA22" i="15"/>
  <c r="T21" i="15"/>
  <c r="S21" i="15"/>
  <c r="AG22" i="15"/>
  <c r="AH22" i="15"/>
  <c r="Z19" i="15"/>
  <c r="AA19" i="15"/>
  <c r="AG21" i="15"/>
  <c r="AH21" i="15"/>
  <c r="T22" i="15"/>
  <c r="S22" i="15"/>
  <c r="L19" i="15"/>
  <c r="M19" i="15"/>
  <c r="J42" i="10"/>
  <c r="R32" i="14"/>
  <c r="R30" i="14"/>
  <c r="R30" i="11"/>
  <c r="J40" i="10"/>
  <c r="J38" i="10"/>
  <c r="R28" i="14"/>
  <c r="R28" i="11"/>
  <c r="G57" i="9"/>
  <c r="F39" i="10" s="1"/>
  <c r="R32" i="11"/>
  <c r="G62" i="9"/>
  <c r="F44" i="10" s="1"/>
  <c r="R34" i="14" s="1"/>
  <c r="R31" i="14"/>
  <c r="R31" i="11"/>
  <c r="L67" i="14"/>
  <c r="L42" i="11"/>
  <c r="L31" i="14"/>
  <c r="L31" i="11"/>
  <c r="J43" i="10"/>
  <c r="R69" i="14" s="1"/>
  <c r="R42" i="11"/>
  <c r="R67" i="14"/>
  <c r="AF21" i="15" l="1"/>
  <c r="K21" i="15"/>
  <c r="Y21" i="15"/>
  <c r="R21" i="15"/>
  <c r="K20" i="15"/>
  <c r="Y20" i="15"/>
  <c r="R20" i="15"/>
  <c r="AF20" i="15"/>
  <c r="K16" i="15"/>
  <c r="Y16" i="15"/>
  <c r="R16" i="15"/>
  <c r="AF16" i="15"/>
  <c r="K18" i="15"/>
  <c r="Y18" i="15"/>
  <c r="AF18" i="15"/>
  <c r="R18" i="15"/>
  <c r="R66" i="14"/>
  <c r="R41" i="11"/>
  <c r="R64" i="14"/>
  <c r="R43" i="11"/>
  <c r="R39" i="11"/>
  <c r="R68" i="14"/>
  <c r="R29" i="14"/>
  <c r="J39" i="10"/>
  <c r="R29" i="11"/>
  <c r="J44" i="10"/>
  <c r="R70" i="14" s="1"/>
  <c r="R17" i="15" l="1"/>
  <c r="K17" i="15"/>
  <c r="Y17" i="15"/>
  <c r="AF17" i="15"/>
  <c r="K22" i="15"/>
  <c r="Y22" i="15"/>
  <c r="R22" i="15"/>
  <c r="AF22" i="15"/>
  <c r="R40" i="11"/>
  <c r="R6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<sst xmlns="http://schemas.openxmlformats.org/spreadsheetml/2006/main" count="1942" uniqueCount="1274">
  <si>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</si>
  <si>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</si>
  <si>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</si>
  <si>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</si>
  <si>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</si>
  <si>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</si>
  <si>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</si>
  <si>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</si>
  <si>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</si>
  <si>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</si>
  <si>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</si>
  <si>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</si>
  <si>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</si>
  <si>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</si>
  <si>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</si>
  <si>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</si>
  <si>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</si>
  <si>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</si>
  <si>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</si>
  <si>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</si>
  <si>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</si>
  <si>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</si>
  <si>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</si>
  <si>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</si>
  <si>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</si>
  <si>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</si>
  <si>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</si>
  <si>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</si>
  <si>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</si>
  <si>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</si>
  <si>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</si>
  <si>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</si>
  <si>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</si>
  <si>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</si>
  <si>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</si>
  <si>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</si>
  <si>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</si>
  <si>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</si>
  <si>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</si>
  <si>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</si>
  <si>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</si>
  <si>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</si>
  <si>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</si>
  <si>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</si>
  <si>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</si>
  <si>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</si>
  <si>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</si>
  <si>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</si>
  <si>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</si>
  <si>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</si>
  <si>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</si>
  <si>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</si>
  <si>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</si>
  <si>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</si>
  <si>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</si>
  <si>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</si>
  <si>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</si>
  <si>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</si>
  <si>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</si>
  <si>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</si>
  <si>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</si>
  <si>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</si>
  <si>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</si>
  <si>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</si>
  <si>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</si>
  <si>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</si>
  <si>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</si>
  <si>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</si>
  <si>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</si>
  <si>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</si>
  <si>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</si>
  <si>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</si>
  <si>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</si>
  <si>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</si>
  <si>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</si>
  <si>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</si>
  <si>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</si>
  <si>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</si>
  <si>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</si>
  <si>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</si>
  <si>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</si>
  <si>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</si>
  <si>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</si>
  <si>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</si>
  <si>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</si>
  <si>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</si>
  <si>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</si>
  <si>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</si>
  <si>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</si>
  <si>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</si>
  <si>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</si>
  <si>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</si>
  <si>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</si>
  <si>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</si>
  <si>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</si>
  <si>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</si>
  <si>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</si>
  <si>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</si>
  <si>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</si>
  <si>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</si>
  <si>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</si>
  <si>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</si>
  <si>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</si>
  <si>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</si>
  <si>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</si>
  <si>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</si>
  <si>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</si>
  <si>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</si>
  <si>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</si>
  <si>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</si>
  <si>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</si>
  <si>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</si>
  <si>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</si>
  <si>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</si>
  <si>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</si>
  <si>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</si>
  <si>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</si>
  <si>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</si>
  <si>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</si>
  <si>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</si>
  <si>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</si>
  <si>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</si>
  <si>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</si>
  <si>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</si>
  <si>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</si>
  <si>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</si>
  <si>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</si>
  <si>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</si>
  <si>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</si>
  <si>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</si>
  <si>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</si>
  <si>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</si>
  <si>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</si>
  <si>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</si>
  <si>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</si>
  <si>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</si>
  <si>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</si>
  <si>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</si>
  <si>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</si>
  <si>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</si>
  <si>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</si>
  <si>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</si>
  <si>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</si>
  <si>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</si>
  <si>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</si>
  <si>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</si>
  <si>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</si>
  <si>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</si>
  <si>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</si>
  <si>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</si>
  <si>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</si>
  <si>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</si>
  <si>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</si>
  <si>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</si>
  <si>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</si>
  <si>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</si>
  <si>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</si>
  <si>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</si>
  <si>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</si>
  <si>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</si>
  <si>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</si>
  <si>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</si>
  <si>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</si>
  <si>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</si>
  <si>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</si>
  <si>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</si>
  <si>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</si>
  <si>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</si>
  <si>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</si>
  <si>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</si>
  <si>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</si>
  <si>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</si>
  <si>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</si>
  <si>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</si>
  <si>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</si>
  <si>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</si>
  <si>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</si>
  <si>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</si>
  <si>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</si>
  <si>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</si>
  <si>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</si>
  <si>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</si>
  <si>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</si>
  <si>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</si>
  <si>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</si>
  <si>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</si>
  <si>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</si>
  <si>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</si>
  <si>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</si>
  <si>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</si>
  <si>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</si>
  <si>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</si>
  <si>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</si>
  <si>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</si>
  <si>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</si>
  <si>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</si>
  <si>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</si>
  <si>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</si>
  <si>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</si>
  <si>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</si>
  <si>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</si>
  <si>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</si>
  <si>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</si>
  <si>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</si>
  <si>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</si>
  <si>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</si>
  <si>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</si>
  <si>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</si>
  <si>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</si>
  <si>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</si>
  <si>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</si>
  <si>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</si>
  <si>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</si>
  <si>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</si>
  <si>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</si>
  <si>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</si>
  <si>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</si>
  <si>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</si>
  <si>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</si>
  <si>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</si>
  <si>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</si>
  <si>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</si>
  <si>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</si>
  <si>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</si>
  <si>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</si>
  <si>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</si>
  <si>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</si>
  <si>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</si>
  <si>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</si>
  <si>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</si>
  <si>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</si>
  <si>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</si>
  <si>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</si>
  <si>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</si>
  <si>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</si>
  <si>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</si>
  <si>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</si>
  <si>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</si>
  <si>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</si>
  <si>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</si>
  <si>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</si>
  <si>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</si>
  <si>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</si>
  <si>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</si>
  <si>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</si>
  <si>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</si>
  <si>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</si>
  <si>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</si>
  <si>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</si>
  <si>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</si>
  <si>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</si>
  <si>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</si>
  <si>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</si>
  <si>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</si>
  <si>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</si>
  <si>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</si>
  <si>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</si>
  <si>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</si>
  <si>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</si>
  <si>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</si>
  <si>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</si>
  <si>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</si>
  <si>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</si>
  <si>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</si>
  <si>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</si>
  <si>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</si>
  <si>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</si>
  <si>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</si>
  <si>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</si>
  <si>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</si>
  <si>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</si>
  <si>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</si>
  <si>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</si>
  <si>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</si>
  <si>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</si>
  <si>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</si>
  <si>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</si>
  <si>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</si>
  <si>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</si>
  <si>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</si>
  <si>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</si>
  <si>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</si>
  <si>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</si>
  <si>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</si>
  <si>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</si>
  <si>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</si>
  <si>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</si>
  <si>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</si>
  <si>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</si>
  <si>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</si>
  <si>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</si>
  <si>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</si>
  <si>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</si>
  <si>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</si>
  <si>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</si>
  <si>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</si>
  <si>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</si>
  <si>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</si>
  <si>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</si>
  <si>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</si>
  <si>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</si>
  <si>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</si>
  <si>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</si>
  <si>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</si>
  <si>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</si>
  <si>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</si>
  <si>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</si>
  <si>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</si>
  <si>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</si>
  <si>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</si>
  <si>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</si>
  <si>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</si>
  <si>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</si>
  <si>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</si>
  <si>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</si>
  <si>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</si>
  <si>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</si>
  <si>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</si>
  <si>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</si>
  <si>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</si>
  <si>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</si>
  <si>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</si>
  <si>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</si>
  <si>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</si>
  <si>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</si>
  <si>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</si>
  <si>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</si>
  <si>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</si>
  <si>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</si>
  <si>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</si>
  <si>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</si>
  <si>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</si>
  <si>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</si>
  <si>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</si>
  <si>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</si>
  <si>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</si>
  <si>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</si>
  <si>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</si>
  <si>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</si>
  <si>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</si>
  <si>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</si>
  <si>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</si>
  <si>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</si>
  <si>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</si>
  <si>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</si>
  <si>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</si>
  <si>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</si>
  <si>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</si>
  <si>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</si>
  <si>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</si>
  <si>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</si>
  <si>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</si>
  <si>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</si>
  <si>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</si>
  <si>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</si>
  <si>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</si>
  <si>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</si>
  <si>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</si>
  <si>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</si>
  <si>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</si>
  <si>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</si>
  <si>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</si>
  <si>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</si>
  <si>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</si>
  <si>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</si>
  <si>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</si>
  <si>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</si>
  <si>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</si>
  <si>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</si>
  <si>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</si>
  <si>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</si>
  <si>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</si>
  <si>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</si>
  <si>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</si>
  <si>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</si>
  <si>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</si>
  <si>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</si>
  <si>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</si>
  <si>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</si>
  <si>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</si>
  <si>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</si>
  <si>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</si>
  <si>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</si>
  <si>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</si>
  <si>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</si>
  <si>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</si>
  <si>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</si>
  <si>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</si>
  <si>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</si>
  <si>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</si>
  <si>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</si>
  <si>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</si>
  <si>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</si>
  <si>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</si>
  <si>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</si>
  <si>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</si>
  <si>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</si>
  <si>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</si>
  <si>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</si>
  <si>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</si>
  <si>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</si>
  <si>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</si>
  <si>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</si>
  <si>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</si>
  <si>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</si>
  <si>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</si>
  <si>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</si>
  <si>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</si>
  <si>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</si>
  <si>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</si>
  <si>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</si>
  <si>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</si>
  <si>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</si>
  <si>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</si>
  <si>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</si>
  <si>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</si>
  <si>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</si>
  <si>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</si>
  <si>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</si>
  <si>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</si>
  <si>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</si>
  <si>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</si>
  <si>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</si>
  <si>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</si>
  <si>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</si>
  <si>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</si>
  <si>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</si>
  <si>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</si>
  <si>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</si>
  <si>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</si>
  <si>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</si>
  <si>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</si>
  <si>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</si>
  <si>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</si>
  <si>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</si>
  <si>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</si>
  <si>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</si>
  <si>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</si>
  <si>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</si>
  <si>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</si>
  <si>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</si>
  <si>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</si>
  <si>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</si>
  <si>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</si>
  <si>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</si>
  <si>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</si>
  <si>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</si>
  <si>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</si>
  <si>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</si>
  <si>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</si>
  <si>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</si>
  <si>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</si>
  <si>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</si>
  <si>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</si>
  <si>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</si>
  <si>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</si>
  <si>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</si>
  <si>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</si>
  <si>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</si>
  <si>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</si>
  <si>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</si>
  <si>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</si>
  <si>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</si>
  <si>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</si>
  <si>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</si>
  <si>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</si>
  <si>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</si>
  <si>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>1000</t>
  </si>
  <si>
    <t>0 psi a 1 000 psi</t>
  </si>
  <si>
    <t xml:space="preserve">Cinta métrica </t>
  </si>
  <si>
    <t>201710-18-97-7</t>
  </si>
  <si>
    <t>NI-MCPPT-06</t>
  </si>
  <si>
    <t>Extech</t>
  </si>
  <si>
    <t>Presión (hPa):</t>
  </si>
  <si>
    <t>201710-18-97-8</t>
  </si>
  <si>
    <t>Barómetro-Termohigrometro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</si>
  <si>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</si>
  <si>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</si>
  <si>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</si>
  <si>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</si>
  <si>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</si>
  <si>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</si>
  <si>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</si>
  <si>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</si>
  <si>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</si>
  <si>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</si>
  <si>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</si>
  <si>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</si>
  <si>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</si>
  <si>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</si>
  <si>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</si>
  <si>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</si>
  <si>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</si>
  <si>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</si>
  <si>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</si>
  <si>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</si>
  <si>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</si>
  <si>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</si>
  <si>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</si>
  <si>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</si>
  <si>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</si>
  <si>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</si>
  <si>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</si>
  <si>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</si>
  <si>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</si>
  <si>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</si>
  <si>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</si>
  <si>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</si>
  <si>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</si>
  <si>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</si>
  <si>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</si>
  <si>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</si>
  <si>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</si>
  <si>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</si>
  <si>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</si>
  <si>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</si>
  <si>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</si>
  <si>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</si>
  <si>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</si>
  <si>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kgf/cm²</t>
  </si>
  <si>
    <t>mmH₂O (4°C)</t>
  </si>
  <si>
    <t>cmH₂O (4°C)</t>
  </si>
  <si>
    <t>inH₂O (4°C)</t>
  </si>
  <si>
    <t>mH₂O (4°C)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</si>
  <si>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</si>
  <si>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</si>
  <si>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</si>
  <si>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</si>
  <si>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</si>
  <si>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</si>
  <si>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</si>
  <si>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</si>
  <si>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</si>
  <si>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</si>
  <si>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</si>
  <si>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</si>
  <si>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</si>
  <si>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</si>
  <si>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</si>
  <si>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</si>
  <si>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</si>
  <si>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</si>
  <si>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</si>
  <si>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</si>
  <si>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</si>
  <si>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</si>
  <si>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</si>
  <si>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</si>
  <si>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</si>
  <si>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</si>
  <si>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</si>
  <si>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</si>
  <si>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</si>
  <si>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</si>
  <si>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</si>
  <si>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</si>
  <si>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</si>
  <si>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</si>
  <si>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</si>
  <si>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</si>
  <si>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</si>
  <si>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</si>
  <si>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</si>
  <si>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</si>
  <si>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</si>
  <si>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</si>
  <si>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</si>
  <si>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</si>
  <si>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</si>
  <si>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</si>
  <si>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</si>
  <si>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</si>
  <si>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</si>
  <si>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</si>
  <si>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</si>
  <si>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</si>
  <si>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</si>
  <si>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</si>
  <si>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</si>
  <si>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</si>
  <si>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</si>
  <si>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</si>
  <si>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</si>
  <si>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</si>
  <si>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</si>
  <si>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</si>
  <si>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Hospital España 5 km al Oeste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</si>
  <si>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</si>
  <si>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</si>
  <si>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</si>
  <si>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</si>
  <si>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</si>
  <si>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</si>
  <si>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</si>
  <si>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</si>
  <si>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</si>
  <si>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</si>
  <si>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</si>
  <si>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</si>
  <si>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</si>
  <si>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</si>
  <si>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</si>
  <si>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</si>
  <si>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</si>
  <si>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</si>
  <si>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</si>
  <si>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</si>
  <si>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</si>
  <si>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</si>
  <si>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</si>
  <si>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</si>
  <si>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Laboratorios Ceguel</t>
  </si>
  <si>
    <t>Carretera Masaya km 45,5 Granada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</si>
  <si>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</si>
  <si>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</si>
  <si>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</si>
  <si>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</si>
  <si>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</si>
  <si>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</si>
  <si>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</si>
  <si>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</si>
  <si>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</si>
  <si>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</si>
  <si>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</si>
  <si>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</si>
  <si>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</si>
  <si>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</si>
  <si>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</si>
  <si>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</si>
  <si>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</si>
  <si>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</si>
  <si>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</si>
  <si>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</si>
  <si>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</si>
  <si>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</si>
  <si>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</si>
  <si>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</si>
  <si>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</si>
  <si>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</si>
  <si>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</si>
  <si>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</si>
  <si>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</si>
  <si>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</si>
  <si>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</si>
  <si>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</si>
  <si>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</si>
  <si>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</si>
  <si>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</si>
  <si>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</si>
  <si>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</si>
  <si>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</si>
  <si>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</si>
  <si>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</si>
  <si>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</si>
  <si>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</si>
  <si>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</si>
  <si>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</si>
  <si>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</si>
  <si>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</si>
  <si>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</si>
  <si>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</si>
  <si>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</si>
  <si>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</si>
  <si>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</si>
  <si>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</si>
  <si>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</si>
  <si>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</si>
  <si>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</si>
  <si>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</si>
  <si>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</si>
  <si>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</si>
  <si>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</si>
  <si>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</si>
  <si>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</si>
  <si>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</si>
  <si>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</si>
  <si>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</si>
  <si>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</si>
  <si>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</si>
  <si>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</si>
  <si>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</si>
  <si>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</si>
  <si>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</si>
  <si>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</si>
  <si>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</si>
  <si>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Calibrador de proceso</t>
  </si>
  <si>
    <t>NI-MCPVE-16</t>
  </si>
  <si>
    <t>20191129-110-43</t>
  </si>
  <si>
    <t>Instituto Mechnikov S.A.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</si>
  <si>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</si>
  <si>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</si>
  <si>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</si>
  <si>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</si>
  <si>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</si>
  <si>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</si>
  <si>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</si>
  <si>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</si>
  <si>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</si>
  <si>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</si>
  <si>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</si>
  <si>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</si>
  <si>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</si>
  <si>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</si>
  <si>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</si>
  <si>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</si>
  <si>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</si>
  <si>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</si>
  <si>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</si>
  <si>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</si>
  <si>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</si>
  <si>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</si>
  <si>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</si>
  <si>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</si>
  <si>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</si>
  <si>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</si>
  <si>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</si>
  <si>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</si>
  <si>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</si>
  <si>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NI-MC-P-XXXX-ZZZZ</t>
  </si>
  <si>
    <t>CMC's de presión en el alcance acreditado según anexo técnico</t>
  </si>
  <si>
    <t>f(kPa)= 6,9350E-03*(kPa) + 7,2933E-01</t>
  </si>
  <si>
    <t>-82,74 kPa a 0 kPa</t>
  </si>
  <si>
    <t>0,16 a 0,44</t>
  </si>
  <si>
    <t>f(kPa)= 3,4982E-04*(kPa) + 1,9987E-01</t>
  </si>
  <si>
    <t>0 kPa a 699,75 kPa</t>
  </si>
  <si>
    <t>f(kPa)=5,128E-04 * (kPa) + 3,112E+01</t>
  </si>
  <si>
    <t>700 kPa a 7 000 kPa</t>
  </si>
  <si>
    <t>f(kPa)= 2,3412E-04*(kPa) + 9,0003E+00</t>
  </si>
  <si>
    <t>7001 kPa a 34 500 kPa</t>
  </si>
  <si>
    <t>0,17 a 0,39</t>
  </si>
  <si>
    <t>f(kPa) = 6,9350E-03*(kPa) + 7,2933E-01</t>
  </si>
  <si>
    <t>f(kPa) = 3,4982E-04*(kPa) + 1,9987E-01</t>
  </si>
  <si>
    <t>f(kPa) = 5,128E-04 * (kPa) + 3,112E+01</t>
  </si>
  <si>
    <t>SCMI Construction INC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</si>
  <si>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</si>
  <si>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</si>
  <si>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</si>
  <si>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</si>
  <si>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</si>
  <si>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</si>
  <si>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</si>
  <si>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</si>
  <si>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</si>
  <si>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</si>
  <si>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</si>
  <si>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</si>
  <si>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</si>
  <si>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</si>
  <si>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</si>
  <si>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</si>
  <si>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</si>
  <si>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</si>
  <si>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</si>
  <si>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</si>
  <si>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</si>
  <si>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</si>
  <si>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</si>
  <si>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</si>
  <si>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</si>
  <si>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</si>
  <si>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</si>
  <si>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</si>
  <si>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</si>
  <si>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</si>
  <si>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</si>
  <si>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</si>
  <si>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</si>
  <si>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</si>
  <si>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</si>
  <si>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</si>
  <si>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</si>
  <si>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</si>
  <si>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</si>
  <si>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</si>
  <si>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</si>
  <si>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</si>
  <si>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</si>
  <si>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</si>
  <si>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</si>
  <si>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</si>
  <si>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</si>
  <si>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</si>
  <si>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</si>
  <si>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</si>
  <si>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</si>
  <si>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</si>
  <si>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</si>
  <si>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</si>
  <si>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</si>
  <si>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</si>
  <si>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</si>
  <si>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</si>
  <si>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</si>
  <si>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</si>
  <si>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</si>
  <si>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</si>
  <si>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</si>
  <si>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</si>
  <si>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</si>
  <si>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</si>
  <si>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</si>
  <si>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</si>
  <si>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</si>
  <si>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</si>
  <si>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</si>
  <si>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</si>
  <si>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</si>
  <si>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</si>
  <si>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</si>
  <si>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</si>
  <si>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</si>
  <si>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</si>
  <si>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</si>
  <si>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</si>
  <si>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</si>
  <si>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</si>
  <si>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</si>
  <si>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</si>
  <si>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</si>
  <si>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</si>
  <si>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</si>
  <si>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</si>
  <si>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</si>
  <si>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</si>
  <si>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</si>
  <si>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</si>
  <si>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</si>
  <si>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</si>
  <si>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</si>
  <si>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</si>
  <si>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</si>
  <si>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</si>
  <si>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</si>
  <si>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</si>
  <si>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</si>
  <si>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</si>
  <si>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</si>
  <si>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</si>
  <si>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</si>
  <si>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</si>
  <si>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</si>
  <si>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</si>
  <si>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</si>
  <si>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</si>
  <si>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</si>
  <si>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</si>
  <si>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</si>
  <si>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</si>
  <si>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</si>
  <si>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</si>
  <si>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</si>
  <si>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</si>
  <si>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</si>
  <si>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</si>
  <si>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</si>
  <si>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</si>
  <si>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</si>
  <si>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</si>
  <si>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</si>
  <si>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</si>
  <si>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</si>
  <si>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</si>
  <si>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</si>
  <si>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</si>
  <si>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</si>
  <si>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</si>
  <si>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</si>
  <si>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</si>
  <si>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</si>
  <si>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</si>
  <si>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</si>
  <si>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</si>
  <si>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</si>
  <si>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</si>
  <si>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</si>
  <si>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</si>
  <si>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</si>
  <si>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</si>
  <si>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</si>
  <si>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</si>
  <si>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</si>
  <si>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</si>
  <si>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</si>
  <si>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</si>
  <si>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</si>
  <si>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</si>
  <si>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</si>
  <si>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</si>
  <si>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</si>
  <si>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</si>
  <si>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</si>
  <si>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</si>
  <si>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</si>
  <si>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</si>
  <si>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</si>
  <si>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</si>
  <si>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</si>
  <si>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</si>
  <si>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</si>
  <si>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</si>
  <si>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</si>
  <si>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</si>
  <si>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</si>
  <si>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</si>
  <si>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</si>
  <si>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</si>
  <si>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</si>
  <si>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</si>
  <si>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</si>
  <si>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</si>
  <si>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</si>
  <si>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</si>
  <si>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</si>
  <si>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</si>
  <si>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</si>
  <si>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</si>
  <si>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</si>
  <si>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</si>
  <si>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</si>
  <si>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</si>
  <si>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</si>
  <si>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</si>
  <si>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</si>
  <si>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</si>
  <si>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</si>
  <si>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</si>
  <si>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</si>
  <si>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</si>
  <si>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</si>
  <si>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</si>
  <si>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</si>
  <si>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</si>
  <si>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</si>
  <si>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</si>
  <si>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</si>
  <si>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</si>
  <si>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</si>
  <si>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</si>
  <si>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</si>
  <si>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</si>
  <si>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</si>
  <si>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</si>
  <si>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</si>
  <si>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</si>
  <si>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</si>
  <si>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</si>
  <si>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</si>
  <si>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</si>
  <si>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</si>
  <si>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</si>
  <si>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</si>
  <si>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</si>
  <si>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</si>
  <si>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</si>
  <si>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</si>
  <si>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</si>
  <si>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</si>
  <si>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</si>
  <si>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</si>
  <si>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</si>
  <si>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</si>
  <si>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</si>
  <si>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</si>
  <si>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</si>
  <si>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</si>
  <si>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</si>
  <si>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</si>
  <si>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</si>
  <si>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</si>
  <si>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</si>
  <si>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</si>
  <si>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</si>
  <si>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</si>
  <si>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</si>
  <si>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</si>
  <si>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</si>
  <si>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</si>
  <si>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</si>
  <si>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</si>
  <si>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</si>
  <si>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</si>
  <si>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</si>
  <si>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</si>
  <si>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</si>
  <si>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</si>
  <si>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</si>
  <si>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</si>
  <si>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</si>
  <si>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</si>
  <si>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</si>
  <si>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</si>
  <si>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</si>
  <si>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</si>
  <si>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</si>
  <si>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</si>
  <si>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</si>
  <si>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</si>
  <si>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</si>
  <si>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</si>
  <si>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</si>
  <si>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</si>
  <si>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</si>
  <si>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</si>
  <si>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</si>
  <si>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</si>
  <si>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</si>
  <si>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</si>
  <si>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</si>
  <si>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</si>
  <si>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</si>
  <si>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</si>
  <si>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</si>
  <si>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</si>
  <si>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</si>
  <si>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</si>
  <si>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</si>
  <si>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</si>
  <si>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</si>
  <si>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</si>
  <si>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</si>
  <si>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</si>
  <si>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</si>
  <si>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</si>
  <si>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</si>
  <si>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</si>
  <si>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</si>
  <si>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</si>
  <si>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</si>
  <si>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</si>
  <si>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</si>
  <si>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</si>
  <si>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</si>
  <si>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</si>
  <si>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</si>
  <si>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</si>
  <si>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</si>
  <si>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</si>
  <si>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</si>
  <si>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</si>
  <si>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</si>
  <si>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</si>
  <si>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</si>
  <si>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</si>
  <si>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</si>
  <si>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</si>
  <si>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</si>
  <si>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</si>
  <si>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</si>
  <si>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</si>
  <si>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</si>
  <si>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</si>
  <si>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</si>
  <si>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</si>
  <si>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</si>
  <si>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</si>
  <si>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</si>
  <si>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</si>
  <si>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</si>
  <si>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</si>
  <si>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</si>
  <si>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</si>
  <si>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</si>
  <si>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</si>
  <si>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</si>
  <si>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</si>
  <si>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</si>
  <si>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</si>
  <si>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</si>
  <si>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</si>
  <si>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</si>
  <si>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</si>
  <si>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</si>
  <si>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</si>
  <si>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</si>
  <si>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</si>
  <si>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</si>
  <si>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</si>
  <si>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</si>
  <si>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</si>
  <si>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</si>
  <si>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</si>
  <si>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</si>
  <si>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</si>
  <si>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</si>
  <si>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</si>
  <si>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</si>
  <si>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</si>
  <si>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</si>
  <si>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</si>
  <si>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</si>
  <si>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</si>
  <si>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</si>
  <si>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</si>
  <si>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</si>
  <si>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</si>
  <si>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</si>
  <si>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</si>
  <si>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</si>
  <si>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</si>
  <si>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</si>
  <si>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</si>
  <si>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</si>
  <si>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</si>
  <si>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</si>
  <si>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</si>
  <si>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</si>
  <si>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</si>
  <si>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</si>
  <si>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</si>
  <si>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</si>
  <si>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</si>
  <si>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</si>
  <si>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</si>
  <si>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</si>
  <si>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</si>
  <si>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</si>
  <si>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</si>
  <si>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</si>
  <si>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</si>
  <si>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</si>
  <si>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</si>
  <si>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</si>
  <si>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</si>
  <si>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</si>
  <si>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</si>
  <si>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</si>
  <si>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</si>
  <si>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</si>
  <si>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</si>
  <si>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</si>
  <si>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</si>
  <si>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</si>
  <si>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</si>
  <si>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</si>
  <si>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</si>
  <si>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</si>
  <si>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</si>
  <si>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</si>
  <si>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</si>
  <si>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</si>
  <si>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</si>
  <si>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</si>
  <si>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</si>
  <si>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</si>
  <si>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</si>
  <si>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</si>
  <si>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</si>
  <si>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</si>
  <si>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</si>
  <si>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</si>
  <si>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</si>
  <si>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</si>
  <si>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</si>
  <si>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</si>
  <si>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</si>
  <si>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</si>
  <si>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</si>
  <si>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</si>
  <si>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</si>
  <si>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</si>
  <si>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</si>
  <si>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</si>
  <si>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</si>
  <si>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</si>
  <si>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</si>
  <si>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</si>
  <si>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</si>
  <si>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</si>
  <si>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</si>
  <si>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</si>
  <si>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</si>
  <si>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</si>
  <si>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</si>
  <si>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</si>
  <si>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</si>
  <si>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</si>
  <si>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</si>
  <si>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</si>
  <si>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</si>
  <si>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</si>
  <si>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</si>
  <si>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</si>
  <si>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</si>
  <si>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</si>
  <si>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</si>
  <si>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</si>
  <si>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</si>
  <si>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</si>
  <si>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</si>
  <si>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</si>
  <si>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</si>
  <si>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</si>
  <si>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</si>
  <si>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</si>
  <si>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</si>
  <si>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</si>
  <si>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</si>
  <si>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</si>
  <si>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</si>
  <si>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</si>
  <si>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</si>
  <si>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</si>
  <si>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</si>
  <si>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</si>
  <si>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</si>
  <si>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</si>
  <si>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</si>
  <si>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</si>
  <si>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</si>
  <si>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</si>
  <si>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</si>
  <si>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</si>
  <si>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</si>
  <si>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</si>
  <si>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</si>
  <si>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</si>
  <si>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</si>
  <si>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</si>
  <si>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</si>
  <si>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</si>
  <si>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</si>
  <si>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</si>
  <si>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</si>
  <si>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</si>
  <si>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</si>
  <si>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</si>
  <si>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</si>
  <si>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</si>
  <si>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</si>
  <si>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</si>
  <si>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</si>
  <si>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</si>
  <si>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</si>
  <si>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</si>
  <si>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</si>
  <si>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</si>
  <si>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</si>
  <si>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</si>
  <si>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</si>
  <si>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</si>
  <si>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</si>
  <si>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</si>
  <si>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</si>
  <si>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</si>
  <si>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</si>
  <si>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</si>
  <si>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</si>
  <si>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</si>
  <si>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</si>
  <si>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</si>
  <si>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</si>
  <si>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</si>
  <si>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</si>
  <si>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</si>
  <si>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</si>
  <si>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</si>
  <si>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</si>
  <si>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</si>
  <si>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2022-XXX-YYY</t>
  </si>
  <si>
    <t>SCM-00039462</t>
  </si>
  <si>
    <t>SCM-00039463</t>
  </si>
  <si>
    <t>NI-MCPP-06</t>
  </si>
  <si>
    <t>Additel</t>
  </si>
  <si>
    <t>681-02-GP10K-PSI</t>
  </si>
  <si>
    <t>SCM-00039465</t>
  </si>
  <si>
    <t>SCM Metrología y Laboratorios SCM-00039468</t>
  </si>
  <si>
    <t>SCM Metrología y Laboratorios SCM-00039467</t>
  </si>
  <si>
    <t>SCM-00041608</t>
  </si>
  <si>
    <t>SCM-00039468</t>
  </si>
  <si>
    <t>SCM Metrología y Laboratorios SCM-00055163</t>
  </si>
  <si>
    <t>SCM Metrología y Laboratorios SCM-00055162</t>
  </si>
  <si>
    <t>SCM Metrología y Laboratorios SCM-00039471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</si>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</sst>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1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15" fillId="12" borderId="7" xfId="0" applyFont="1" applyFill="1" applyBorder="1" applyAlignment="1">
      <alignment horizontal="center" vertical="center" wrapText="1"/>
    </xf>
    <xf numFmtId="0" fontId="15" fillId="12" borderId="12" xfId="0" applyFont="1" applyFill="1" applyBorder="1" applyAlignment="1">
      <alignment horizontal="center" vertical="center" wrapText="1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16" fillId="2" borderId="8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0" fontId="16" fillId="12" borderId="3" xfId="0" applyFont="1" applyFill="1" applyBorder="1" applyAlignment="1">
      <alignment horizontal="right" vertical="center" wrapText="1"/>
    </xf>
    <xf numFmtId="0" fontId="16" fillId="12" borderId="3" xfId="0" applyFont="1" applyFill="1" applyBorder="1" applyAlignment="1">
      <alignment horizontal="left" vertical="center" wrapText="1"/>
    </xf>
    <xf numFmtId="0" fontId="22" fillId="7" borderId="11" xfId="0" applyFont="1" applyFill="1" applyBorder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6" xfId="0" applyBorder="1"/>
    <xf numFmtId="0" fontId="0" fillId="0" borderId="23" xfId="0" applyBorder="1"/>
    <xf numFmtId="0" fontId="0" fillId="0" borderId="5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2" fontId="0" fillId="0" borderId="20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52" fillId="7" borderId="35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166" fontId="10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2" fontId="10" fillId="0" borderId="1" xfId="0" applyNumberFormat="1" applyFont="1" applyBorder="1" applyAlignment="1">
      <alignment vertical="center"/>
    </xf>
    <xf numFmtId="4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right" vertical="center" wrapText="1"/>
    </xf>
    <xf numFmtId="167" fontId="17" fillId="6" borderId="1" xfId="0" applyNumberFormat="1" applyFont="1" applyFill="1" applyBorder="1" applyAlignment="1">
      <alignment horizontal="right" vertical="center"/>
    </xf>
    <xf numFmtId="167" fontId="22" fillId="6" borderId="1" xfId="0" applyNumberFormat="1" applyFont="1" applyFill="1" applyBorder="1" applyAlignment="1">
      <alignment horizontal="right" vertical="center"/>
    </xf>
    <xf numFmtId="2" fontId="22" fillId="6" borderId="1" xfId="0" applyNumberFormat="1" applyFont="1" applyFill="1" applyBorder="1" applyAlignment="1">
      <alignment horizontal="right" vertical="center"/>
    </xf>
    <xf numFmtId="168" fontId="16" fillId="3" borderId="1" xfId="0" applyNumberFormat="1" applyFont="1" applyFill="1" applyBorder="1" applyAlignment="1">
      <alignment horizontal="right"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20" borderId="25" xfId="0" applyFill="1" applyBorder="1" applyAlignment="1">
      <alignment horizontal="left"/>
    </xf>
    <xf numFmtId="0" fontId="0" fillId="20" borderId="26" xfId="0" applyFill="1" applyBorder="1" applyAlignment="1">
      <alignment horizontal="left"/>
    </xf>
    <xf numFmtId="0" fontId="0" fillId="20" borderId="27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9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35" xfId="0" applyFont="1" applyFill="1" applyBorder="1" applyAlignment="1">
      <alignment horizontal="center" vertical="center"/>
    </xf>
    <xf numFmtId="0" fontId="54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33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8" xfId="0" applyFill="1" applyBorder="1" applyAlignment="1">
      <alignment horizontal="center"/>
    </xf>
    <xf numFmtId="0" fontId="0" fillId="23" borderId="10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3"/>
      <tableStyleElement type="headerRow" dxfId="14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7216"/>
        <c:axId val="-562096672"/>
      </c:scatterChart>
      <c:valAx>
        <c:axId val="-56209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672"/>
        <c:crosses val="autoZero"/>
        <c:crossBetween val="midCat"/>
      </c:valAx>
      <c:valAx>
        <c:axId val="-5620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4496"/>
        <c:axId val="-562095040"/>
      </c:scatterChart>
      <c:valAx>
        <c:axId val="-56209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040"/>
        <c:crosses val="autoZero"/>
        <c:crossBetween val="midCat"/>
      </c:valAx>
      <c:valAx>
        <c:axId val="-5620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864"/>
        <c:axId val="-562096128"/>
      </c:scatterChart>
      <c:valAx>
        <c:axId val="-56209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128"/>
        <c:crosses val="autoZero"/>
        <c:crossBetween val="midCat"/>
      </c:valAx>
      <c:valAx>
        <c:axId val="-5620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9000621012151855E-2"/>
                  <c:y val="0.26357001509550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293843229367672E-2"/>
                  <c:y val="0.19640157541028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Patron'!$E$26:$E$39</c:f>
              <c:numCache>
                <c:formatCode>0.000</c:formatCode>
                <c:ptCount val="14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Patron'!$G$26:$G$39</c:f>
              <c:numCache>
                <c:formatCode>0.000</c:formatCode>
                <c:ptCount val="14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3408"/>
        <c:axId val="-562095584"/>
      </c:scatterChart>
      <c:valAx>
        <c:axId val="-56209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584"/>
        <c:crosses val="autoZero"/>
        <c:crossBetween val="midCat"/>
      </c:valAx>
      <c:valAx>
        <c:axId val="-5620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320"/>
        <c:axId val="-562091776"/>
      </c:scatterChart>
      <c:valAx>
        <c:axId val="-5620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776"/>
        <c:crosses val="autoZero"/>
        <c:crossBetween val="midCat"/>
      </c:valAx>
      <c:valAx>
        <c:axId val="-5620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1232"/>
        <c:axId val="-562090688"/>
      </c:scatterChart>
      <c:valAx>
        <c:axId val="-5620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0688"/>
        <c:crosses val="autoZero"/>
        <c:crossBetween val="midCat"/>
      </c:valAx>
      <c:valAx>
        <c:axId val="-562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NI-MCPP-06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6180112"/>
        <c:axId val="-566179568"/>
      </c:scatterChart>
      <c:valAx>
        <c:axId val="-56618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79568"/>
        <c:crosses val="autoZero"/>
        <c:crossBetween val="midCat"/>
      </c:valAx>
      <c:valAx>
        <c:axId val="-5661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8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455101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84313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132637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41" dataDxfId="140">
  <tableColumns count="2">
    <tableColumn id="1" xr3:uid="{00000000-0010-0000-0000-000001000000}" name="Hoja de cálculo" dataDxfId="139"/>
    <tableColumn id="2" xr3:uid="{00000000-0010-0000-0000-000002000000}" name="Detalles" dataDxfId="13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7" dataDxfId="136">
  <tableColumns count="2">
    <tableColumn id="1" xr3:uid="{00000000-0010-0000-0100-000001000000}" name="Certificado Presión" dataDxfId="135"/>
    <tableColumn id="2" xr3:uid="{00000000-0010-0000-0100-000002000000}" name="Detalles" dataDxfId="13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33" dataDxfId="132">
  <tableColumns count="2">
    <tableColumn id="1" xr3:uid="{00000000-0010-0000-0200-000001000000}" name="Condiciones ambientales" dataDxfId="131"/>
    <tableColumn id="2" xr3:uid="{00000000-0010-0000-0200-000002000000}" name="Detalles" dataDxfId="13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9" dataDxfId="128">
  <tableColumns count="2">
    <tableColumn id="1" xr3:uid="{00000000-0010-0000-0300-000001000000}" name="Cliente" dataDxfId="127"/>
    <tableColumn id="2" xr3:uid="{00000000-0010-0000-0300-000002000000}" name="Detalles" dataDxfId="12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5" dataDxfId="123" headerRowBorderDxfId="124" tableBorderDxfId="122" totalsRowBorderDxfId="121">
  <tableColumns count="10">
    <tableColumn id="1" xr3:uid="{00000000-0010-0000-0400-000001000000}" name="#" dataDxfId="120"/>
    <tableColumn id="2" xr3:uid="{00000000-0010-0000-0400-000002000000}" name="Promedio Patrón" dataDxfId="11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1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1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6000000}" name="tblCompU" displayName="tblCompU" ref="B8:P19" totalsRowCount="1" headerRowDxfId="110" headerRowBorderDxfId="109" tableBorderDxfId="108" totalsRowBorderDxfId="107">
  <tableColumns count="15">
    <tableColumn id="1" xr3:uid="{00000000-0010-0000-0600-000001000000}" name="Fuente de incertidumbre" totalsRowLabel="Total" dataDxfId="106" totalsRowDxfId="105"/>
    <tableColumn id="2" xr3:uid="{00000000-0010-0000-0600-000002000000}" name="Símbolo" totalsRowLabel="Raíz de la" dataDxfId="104" totalsRowDxfId="103"/>
    <tableColumn id="3" xr3:uid="{00000000-0010-0000-0600-000003000000}" name="Distrib." totalsRowLabel="suma cuadr." dataDxfId="102" totalsRowDxfId="101"/>
    <tableColumn id="4" xr3:uid="{00000000-0010-0000-0600-000004000000}" name="Divisor" totalsRowFunction="custom" dataDxfId="100" totalsRowDxfId="99">
      <totalsRowFormula>CONCATENATE("Todo en [psi]")</totalsRowFormula>
    </tableColumn>
    <tableColumn id="5" xr3:uid="{00000000-0010-0000-0600-000005000000}" name="Coef. ci" dataDxfId="98" totalsRowDxfId="97"/>
    <tableColumn id="6" xr3:uid="{00000000-0010-0000-0600-000006000000}" name="1" totalsRowFunction="custom" dataDxfId="96" totalsRowDxfId="95">
      <totalsRowFormula>SQRT(SUMSQ(G9:G18))</totalsRowFormula>
    </tableColumn>
    <tableColumn id="7" xr3:uid="{00000000-0010-0000-0600-000007000000}" name="2" totalsRowFunction="custom" dataDxfId="94" totalsRowDxfId="93">
      <totalsRowFormula>SQRT(SUMSQ(H9:H18))</totalsRowFormula>
    </tableColumn>
    <tableColumn id="8" xr3:uid="{00000000-0010-0000-0600-000008000000}" name="3" totalsRowFunction="custom" dataDxfId="92" totalsRowDxfId="91">
      <totalsRowFormula>SQRT(SUMSQ(I9:I18))</totalsRowFormula>
    </tableColumn>
    <tableColumn id="9" xr3:uid="{00000000-0010-0000-0600-000009000000}" name="4" totalsRowFunction="custom" dataDxfId="90" totalsRowDxfId="89">
      <totalsRowFormula>SQRT(SUMSQ(J9:J18))</totalsRowFormula>
    </tableColumn>
    <tableColumn id="10" xr3:uid="{00000000-0010-0000-0600-00000A000000}" name="5" totalsRowFunction="custom" dataDxfId="88" totalsRowDxfId="87">
      <totalsRowFormula>SQRT(SUMSQ(K9:K18))</totalsRowFormula>
    </tableColumn>
    <tableColumn id="11" xr3:uid="{00000000-0010-0000-0600-00000B000000}" name="6" totalsRowFunction="custom" dataDxfId="86" totalsRowDxfId="85">
      <totalsRowFormula>SQRT(SUMSQ(L9:L18))</totalsRowFormula>
    </tableColumn>
    <tableColumn id="12" xr3:uid="{00000000-0010-0000-0600-00000C000000}" name="7" totalsRowFunction="custom" dataDxfId="84" totalsRowDxfId="83">
      <totalsRowFormula>SQRT(SUMSQ(M9:M18))</totalsRowFormula>
    </tableColumn>
    <tableColumn id="13" xr3:uid="{00000000-0010-0000-0600-00000D000000}" name="8" totalsRowFunction="custom" dataDxfId="82" totalsRowDxfId="81">
      <totalsRowFormula>SQRT(SUMSQ(N9:N18))</totalsRowFormula>
    </tableColumn>
    <tableColumn id="14" xr3:uid="{00000000-0010-0000-0600-00000E000000}" name="9" totalsRowFunction="custom" dataDxfId="80" totalsRowDxfId="79">
      <totalsRowFormula>SQRT(SUMSQ(O9:O18))</totalsRowFormula>
    </tableColumn>
    <tableColumn id="15" xr3:uid="{00000000-0010-0000-0600-00000F000000}" name="10" totalsRowFunction="custom" dataDxfId="78" totalsRowDxfId="77">
      <totalsRowFormula>SQRT(SUMSQ(P9:P18))</totalsRow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6" dataDxfId="74" headerRowBorderDxfId="75" tableBorderDxfId="73">
  <tableColumns count="22">
    <tableColumn id="1" xr3:uid="{00000000-0010-0000-0700-000001000000}" name="#" dataDxfId="72"/>
    <tableColumn id="2" xr3:uid="{00000000-0010-0000-0700-000002000000}" name="Código Patrón" dataDxfId="71"/>
    <tableColumn id="3" xr3:uid="{00000000-0010-0000-0700-000003000000}" name="Nombre" dataDxfId="70"/>
    <tableColumn id="4" xr3:uid="{00000000-0010-0000-0700-000004000000}" name="Marca" dataDxfId="69"/>
    <tableColumn id="5" xr3:uid="{00000000-0010-0000-0700-000005000000}" name="Modelo" dataDxfId="68"/>
    <tableColumn id="6" xr3:uid="{00000000-0010-0000-0700-000006000000}" name="Tipo de equipo" dataDxfId="67"/>
    <tableColumn id="7" xr3:uid="{00000000-0010-0000-0700-000007000000}" name="t min. funcionamiento" dataDxfId="66"/>
    <tableColumn id="8" xr3:uid="{00000000-0010-0000-0700-000008000000}" name="t max. funcionamiento" dataDxfId="65"/>
    <tableColumn id="9" xr3:uid="{00000000-0010-0000-0700-000009000000}" name="p min. [psi]" dataDxfId="64"/>
    <tableColumn id="10" xr3:uid="{00000000-0010-0000-0700-00000A000000}" name="p max. [psi]" dataDxfId="63"/>
    <tableColumn id="16" xr3:uid="{00000000-0010-0000-0700-000010000000}" name="min." dataDxfId="62"/>
    <tableColumn id="13" xr3:uid="{00000000-0010-0000-0700-00000D000000}" name="max." dataDxfId="61"/>
    <tableColumn id="17" xr3:uid="{00000000-0010-0000-0700-000011000000}" name="Resolución [kPa]" dataDxfId="60"/>
    <tableColumn id="21" xr3:uid="{00000000-0010-0000-0700-000015000000}" name="Resolución [psi]" dataDxfId="59"/>
    <tableColumn id="20" xr3:uid="{00000000-0010-0000-0700-000014000000}" name="Vacío" dataDxfId="58"/>
    <tableColumn id="19" xr3:uid="{00000000-0010-0000-0700-000013000000}" name="Presión positiva" dataDxfId="57"/>
    <tableColumn id="15" xr3:uid="{00000000-0010-0000-0700-00000F000000}" name="Coeficiente temp. % de medición [FS/°C]" dataDxfId="56"/>
    <tableColumn id="24" xr3:uid="{00000000-0010-0000-0700-000018000000}" name="t min. compensada" dataDxfId="55"/>
    <tableColumn id="25" xr3:uid="{00000000-0010-0000-0700-000019000000}" name="t max. compensada" dataDxfId="54"/>
    <tableColumn id="12" xr3:uid="{00000000-0010-0000-0700-00000C000000}" name="Fecha calib." dataDxfId="53"/>
    <tableColumn id="22" xr3:uid="{00000000-0010-0000-0700-000016000000}" name="Laboratorio" dataDxfId="52"/>
    <tableColumn id="23" xr3:uid="{00000000-0010-0000-0700-000017000000}" name="Certificado" dataDxfId="5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0" dataDxfId="48" headerRowBorderDxfId="49" tableBorderDxfId="47">
  <tableColumns count="10">
    <tableColumn id="1" xr3:uid="{00000000-0010-0000-0800-000001000000}" name="#" dataDxfId="46"/>
    <tableColumn id="2" xr3:uid="{00000000-0010-0000-0800-000002000000}" name="Código Patrón" dataDxfId="45"/>
    <tableColumn id="3" xr3:uid="{00000000-0010-0000-0800-000003000000}" name="Nombre" dataDxfId="44"/>
    <tableColumn id="4" xr3:uid="{00000000-0010-0000-0800-000004000000}" name="p calibr.act" dataDxfId="43"/>
    <tableColumn id="5" xr3:uid="{00000000-0010-0000-0800-000005000000}" name="Correccion.act" dataDxfId="42"/>
    <tableColumn id="6" xr3:uid="{00000000-0010-0000-0800-000006000000}" name="Certif.act U95 " dataDxfId="41"/>
    <tableColumn id="7" xr3:uid="{00000000-0010-0000-0800-000007000000}" name="p calibr.ant" dataDxfId="40"/>
    <tableColumn id="8" xr3:uid="{00000000-0010-0000-0800-000008000000}" name="Correccion.ant" dataDxfId="39"/>
    <tableColumn id="9" xr3:uid="{00000000-0010-0000-0800-000009000000}" name="Certif.ant U95 " dataDxfId="38"/>
    <tableColumn id="10" xr3:uid="{00000000-0010-0000-0800-00000A000000}" name="Deriva" dataDxfId="37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6"/>
    <tableColumn id="2" xr3:uid="{00000000-0010-0000-0900-000002000000}" name="Cliente" dataDxfId="35"/>
    <tableColumn id="3" xr3:uid="{00000000-0010-0000-0900-000003000000}" name="Dirección de la empresa" dataDxf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zoomScale="90" zoomScaleNormal="90" workbookViewId="0">
      <selection activeCell="F15" sqref="F15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8.88671875" style="8"/>
    <col min="28" max="28" width="35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412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60"/>
      <c r="O2" s="260"/>
      <c r="P2" s="260" t="s">
        <v>476</v>
      </c>
      <c r="Q2" s="260" t="s">
        <v>477</v>
      </c>
      <c r="R2" s="260" t="s">
        <v>478</v>
      </c>
    </row>
    <row r="3" spans="2:18" x14ac:dyDescent="0.3">
      <c r="B3" s="1" t="s">
        <v>4</v>
      </c>
      <c r="C3" s="124" t="s">
        <v>271</v>
      </c>
      <c r="E3" s="1" t="s">
        <v>5</v>
      </c>
      <c r="F3" s="155" t="s">
        <v>718</v>
      </c>
      <c r="H3" s="3" t="s">
        <v>6</v>
      </c>
      <c r="I3" s="4" t="s">
        <v>39</v>
      </c>
      <c r="K3" s="1" t="s">
        <v>8</v>
      </c>
      <c r="L3" s="124" t="s">
        <v>746</v>
      </c>
      <c r="N3" s="261" t="s">
        <v>318</v>
      </c>
      <c r="O3" s="262" t="s">
        <v>479</v>
      </c>
      <c r="P3" s="256">
        <v>22.3</v>
      </c>
      <c r="Q3" s="256">
        <v>48.5</v>
      </c>
      <c r="R3" s="257">
        <v>1001</v>
      </c>
    </row>
    <row r="4" spans="2:18" x14ac:dyDescent="0.3">
      <c r="B4" s="1" t="s">
        <v>9</v>
      </c>
      <c r="C4" s="124"/>
      <c r="E4" s="1" t="s">
        <v>10</v>
      </c>
      <c r="F4" s="155" t="s">
        <v>44</v>
      </c>
      <c r="H4" s="3" t="s">
        <v>11</v>
      </c>
      <c r="I4" s="93" t="s">
        <v>109</v>
      </c>
      <c r="K4" s="1" t="s">
        <v>12</v>
      </c>
      <c r="L4" s="127" t="str">
        <f>IFERROR(VLOOKUP(L3,'BD Clientes'!B6:C376,2,FALSE),"")</f>
        <v>Reparto El Carmen, Hyundai Montoya 200 m Este, Managua</v>
      </c>
      <c r="N4" s="263"/>
      <c r="O4" s="264" t="s">
        <v>480</v>
      </c>
      <c r="P4">
        <v>22.2</v>
      </c>
      <c r="Q4">
        <v>47.3</v>
      </c>
      <c r="R4" s="258">
        <v>1001</v>
      </c>
    </row>
    <row r="5" spans="2:18" x14ac:dyDescent="0.3">
      <c r="B5" s="1" t="s">
        <v>13</v>
      </c>
      <c r="C5" s="5"/>
      <c r="E5" s="1" t="s">
        <v>14</v>
      </c>
      <c r="F5" s="156" t="s">
        <v>1258</v>
      </c>
      <c r="H5" s="3" t="s">
        <v>15</v>
      </c>
      <c r="I5" s="6" t="str">
        <f>VLOOKUP(I4,'BD Patron'!C6:L10,2,FALSE)</f>
        <v xml:space="preserve">Testo 608-H1 </v>
      </c>
      <c r="K5" s="1" t="s">
        <v>16</v>
      </c>
      <c r="L5" s="128" t="s">
        <v>464</v>
      </c>
      <c r="N5" s="263" t="s">
        <v>317</v>
      </c>
      <c r="O5" s="264" t="s">
        <v>479</v>
      </c>
      <c r="P5">
        <v>22.4</v>
      </c>
      <c r="Q5">
        <v>49.2</v>
      </c>
      <c r="R5" s="258">
        <v>1001</v>
      </c>
    </row>
    <row r="6" spans="2:18" x14ac:dyDescent="0.3">
      <c r="B6" s="1" t="s">
        <v>17</v>
      </c>
      <c r="C6" s="124"/>
      <c r="E6" s="1" t="s">
        <v>18</v>
      </c>
      <c r="F6" s="155" t="s">
        <v>460</v>
      </c>
      <c r="H6" s="3" t="s">
        <v>19</v>
      </c>
      <c r="I6" s="91">
        <f>P10</f>
        <v>22.35</v>
      </c>
      <c r="K6" s="1" t="s">
        <v>6</v>
      </c>
      <c r="L6" s="128" t="s">
        <v>464</v>
      </c>
      <c r="N6" s="263"/>
      <c r="O6" s="264" t="s">
        <v>480</v>
      </c>
      <c r="P6">
        <v>22.3</v>
      </c>
      <c r="Q6">
        <v>48.5</v>
      </c>
      <c r="R6" s="258">
        <v>1001</v>
      </c>
    </row>
    <row r="7" spans="2:18" x14ac:dyDescent="0.3">
      <c r="B7" s="1" t="s">
        <v>21</v>
      </c>
      <c r="C7" s="124"/>
      <c r="E7" s="1" t="s">
        <v>22</v>
      </c>
      <c r="F7" s="155" t="s">
        <v>279</v>
      </c>
      <c r="H7" s="3" t="s">
        <v>23</v>
      </c>
      <c r="I7" s="91">
        <f>P11</f>
        <v>22.25</v>
      </c>
      <c r="K7" s="1"/>
      <c r="L7" s="1"/>
      <c r="N7" s="263" t="s">
        <v>319</v>
      </c>
      <c r="O7" s="264" t="s">
        <v>479</v>
      </c>
      <c r="R7" s="258"/>
    </row>
    <row r="8" spans="2:18" x14ac:dyDescent="0.3">
      <c r="B8" s="1" t="s">
        <v>24</v>
      </c>
      <c r="C8" s="124"/>
      <c r="E8" s="1" t="s">
        <v>272</v>
      </c>
      <c r="F8" s="155" t="s">
        <v>273</v>
      </c>
      <c r="H8" s="3" t="s">
        <v>26</v>
      </c>
      <c r="I8" s="92">
        <f>IFERROR(AVERAGE(I6:I7),"")</f>
        <v>22.3</v>
      </c>
      <c r="K8" s="1"/>
      <c r="L8" s="1"/>
      <c r="N8" s="265"/>
      <c r="O8" s="266" t="s">
        <v>480</v>
      </c>
      <c r="P8" s="259"/>
      <c r="Q8" s="259"/>
      <c r="R8" s="258"/>
    </row>
    <row r="9" spans="2:18" ht="16.2" x14ac:dyDescent="0.3">
      <c r="B9" s="1" t="s">
        <v>27</v>
      </c>
      <c r="C9" s="124"/>
      <c r="E9" s="1" t="s">
        <v>326</v>
      </c>
      <c r="F9" s="155" t="s">
        <v>461</v>
      </c>
      <c r="H9" s="3" t="s">
        <v>259</v>
      </c>
      <c r="I9" s="92">
        <f>VLOOKUP(I4,'BD Patron'!C6:L10,8,FALSE)</f>
        <v>0.4</v>
      </c>
      <c r="K9" s="1"/>
      <c r="L9" s="1"/>
    </row>
    <row r="10" spans="2:18" ht="16.2" x14ac:dyDescent="0.3">
      <c r="B10" s="1" t="s">
        <v>29</v>
      </c>
      <c r="C10" s="124" t="s">
        <v>30</v>
      </c>
      <c r="E10" s="1" t="s">
        <v>25</v>
      </c>
      <c r="F10" s="155" t="s">
        <v>462</v>
      </c>
      <c r="H10" s="3" t="s">
        <v>32</v>
      </c>
      <c r="I10" s="274">
        <f>VLOOKUP(I4,'BD Patron'!C6:L10,4,FALSE)</f>
        <v>0.1</v>
      </c>
      <c r="K10" s="1"/>
      <c r="L10" s="1"/>
      <c r="N10" s="322" t="s">
        <v>479</v>
      </c>
      <c r="O10" s="323"/>
      <c r="P10" s="270">
        <f>IFERROR(AVERAGE(P3,P5,P7),"")</f>
        <v>22.35</v>
      </c>
      <c r="Q10" s="270">
        <f>IFERROR(AVERAGE(Q3,Q5,Q7),"")</f>
        <v>48.85</v>
      </c>
      <c r="R10" s="271">
        <f>IFERROR(AVERAGE(R3,R5,R7),"")</f>
        <v>1001</v>
      </c>
    </row>
    <row r="11" spans="2:18" x14ac:dyDescent="0.3">
      <c r="E11" s="1" t="s">
        <v>28</v>
      </c>
      <c r="F11" s="155" t="s">
        <v>463</v>
      </c>
      <c r="H11" s="3" t="s">
        <v>33</v>
      </c>
      <c r="I11" s="91">
        <f>Q10</f>
        <v>48.85</v>
      </c>
      <c r="K11" s="1"/>
      <c r="L11" s="1"/>
      <c r="N11" s="324" t="s">
        <v>480</v>
      </c>
      <c r="O11" s="325"/>
      <c r="P11" s="272">
        <f>IFERROR(AVERAGE(P4,P6,P8),"")</f>
        <v>22.25</v>
      </c>
      <c r="Q11" s="272">
        <f t="shared" ref="Q11:R11" si="0">IFERROR(AVERAGE(Q4,Q6,Q8),"")</f>
        <v>47.9</v>
      </c>
      <c r="R11" s="273">
        <f t="shared" si="0"/>
        <v>1001</v>
      </c>
    </row>
    <row r="12" spans="2:18" x14ac:dyDescent="0.3">
      <c r="E12" s="1" t="s">
        <v>31</v>
      </c>
      <c r="F12" s="155" t="s">
        <v>460</v>
      </c>
      <c r="H12" s="3" t="s">
        <v>34</v>
      </c>
      <c r="I12" s="91">
        <f>Q11</f>
        <v>47.9</v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5">
        <v>0</v>
      </c>
      <c r="H13" s="3" t="s">
        <v>35</v>
      </c>
      <c r="I13" s="92">
        <f>IFERROR(AVERAGE(I11:I12),"")</f>
        <v>48.375</v>
      </c>
      <c r="K13" s="1"/>
      <c r="L13" s="1"/>
    </row>
    <row r="14" spans="2:18" x14ac:dyDescent="0.3">
      <c r="E14" s="1" t="s">
        <v>283</v>
      </c>
      <c r="F14" s="155" t="s">
        <v>467</v>
      </c>
      <c r="H14" s="3" t="s">
        <v>260</v>
      </c>
      <c r="I14" s="92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5" t="s">
        <v>192</v>
      </c>
      <c r="H15" s="3" t="s">
        <v>37</v>
      </c>
      <c r="I15" s="274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5" t="s">
        <v>275</v>
      </c>
      <c r="H16" s="3" t="s">
        <v>262</v>
      </c>
      <c r="I16" s="91">
        <f>R10</f>
        <v>1001</v>
      </c>
      <c r="K16" s="1"/>
      <c r="L16" s="1"/>
    </row>
    <row r="17" spans="2:9" x14ac:dyDescent="0.3">
      <c r="B17" s="94"/>
      <c r="C17" t="s">
        <v>200</v>
      </c>
      <c r="E17" s="1" t="s">
        <v>46</v>
      </c>
      <c r="F17" s="155"/>
      <c r="H17" s="3" t="s">
        <v>263</v>
      </c>
      <c r="I17" s="91">
        <f>R11</f>
        <v>1001</v>
      </c>
    </row>
    <row r="18" spans="2:9" x14ac:dyDescent="0.3">
      <c r="E18" s="1" t="s">
        <v>450</v>
      </c>
      <c r="F18" s="155" t="s">
        <v>468</v>
      </c>
      <c r="H18" s="3" t="s">
        <v>264</v>
      </c>
      <c r="I18" s="92">
        <f>IFERROR(AVERAGE(I16:I17),"")</f>
        <v>1001</v>
      </c>
    </row>
    <row r="19" spans="2:9" x14ac:dyDescent="0.3">
      <c r="B19" s="95"/>
      <c r="C19" t="s">
        <v>201</v>
      </c>
      <c r="H19" s="3" t="s">
        <v>261</v>
      </c>
      <c r="I19" s="92">
        <v>2.4700000000000002</v>
      </c>
    </row>
    <row r="20" spans="2:9" x14ac:dyDescent="0.3">
      <c r="H20" s="3" t="s">
        <v>466</v>
      </c>
      <c r="I20" s="92">
        <v>2.4E-2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70" t="s">
        <v>273</v>
      </c>
    </row>
    <row r="104" spans="23:23" x14ac:dyDescent="0.3">
      <c r="W104" s="70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</row>
    <row r="122" spans="23:28" ht="15" thickBot="1" x14ac:dyDescent="0.35">
      <c r="W122" s="14" t="s">
        <v>38</v>
      </c>
    </row>
    <row r="123" spans="23:28" ht="15" thickBot="1" x14ac:dyDescent="0.35">
      <c r="Y123" s="326" t="s">
        <v>481</v>
      </c>
      <c r="Z123" s="327"/>
      <c r="AA123" s="327"/>
      <c r="AB123" s="328"/>
    </row>
    <row r="124" spans="23:28" x14ac:dyDescent="0.3">
      <c r="W124" s="198" t="s">
        <v>276</v>
      </c>
      <c r="Y124" s="329" t="s">
        <v>482</v>
      </c>
      <c r="Z124" s="330"/>
      <c r="AA124" s="330"/>
      <c r="AB124" s="331"/>
    </row>
    <row r="125" spans="23:28" x14ac:dyDescent="0.3">
      <c r="W125" s="198" t="s">
        <v>275</v>
      </c>
      <c r="Y125" s="332" t="s">
        <v>524</v>
      </c>
      <c r="Z125" s="333"/>
      <c r="AA125" s="333"/>
      <c r="AB125" s="334"/>
    </row>
    <row r="126" spans="23:28" x14ac:dyDescent="0.3">
      <c r="W126" s="198" t="s">
        <v>277</v>
      </c>
      <c r="Y126" s="332" t="s">
        <v>484</v>
      </c>
      <c r="Z126" s="333"/>
      <c r="AA126" s="333"/>
      <c r="AB126" s="334"/>
    </row>
    <row r="127" spans="23:28" x14ac:dyDescent="0.3">
      <c r="W127" s="198" t="s">
        <v>340</v>
      </c>
      <c r="Y127" s="332" t="s">
        <v>485</v>
      </c>
      <c r="Z127" s="333"/>
      <c r="AA127" s="333"/>
      <c r="AB127" s="334"/>
    </row>
    <row r="128" spans="23:28" x14ac:dyDescent="0.3">
      <c r="W128" s="198" t="s">
        <v>278</v>
      </c>
      <c r="Y128" s="332" t="s">
        <v>486</v>
      </c>
      <c r="Z128" s="333"/>
      <c r="AA128" s="333"/>
      <c r="AB128" s="334"/>
    </row>
    <row r="129" spans="23:28" x14ac:dyDescent="0.3">
      <c r="W129" s="198" t="s">
        <v>506</v>
      </c>
      <c r="Y129" s="332" t="s">
        <v>487</v>
      </c>
      <c r="Z129" s="333"/>
      <c r="AA129" s="333"/>
      <c r="AB129" s="334"/>
    </row>
    <row r="130" spans="23:28" x14ac:dyDescent="0.3">
      <c r="W130" s="198" t="s">
        <v>510</v>
      </c>
      <c r="Y130" s="332" t="s">
        <v>488</v>
      </c>
      <c r="Z130" s="333"/>
      <c r="AA130" s="333"/>
      <c r="AB130" s="334"/>
    </row>
    <row r="131" spans="23:28" x14ac:dyDescent="0.3">
      <c r="W131" s="198" t="s">
        <v>354</v>
      </c>
      <c r="Y131" s="332" t="s">
        <v>489</v>
      </c>
      <c r="Z131" s="333"/>
      <c r="AA131" s="333"/>
      <c r="AB131" s="334"/>
    </row>
    <row r="132" spans="23:28" x14ac:dyDescent="0.3">
      <c r="W132" s="198" t="s">
        <v>355</v>
      </c>
      <c r="Y132" s="332" t="s">
        <v>490</v>
      </c>
      <c r="Z132" s="333"/>
      <c r="AA132" s="333"/>
      <c r="AB132" s="334"/>
    </row>
    <row r="133" spans="23:28" x14ac:dyDescent="0.3">
      <c r="W133" s="198" t="s">
        <v>356</v>
      </c>
      <c r="Y133" s="332" t="s">
        <v>491</v>
      </c>
      <c r="Z133" s="333"/>
      <c r="AA133" s="333"/>
      <c r="AB133" s="334"/>
    </row>
    <row r="134" spans="23:28" x14ac:dyDescent="0.3">
      <c r="W134" s="198" t="s">
        <v>511</v>
      </c>
      <c r="Y134" s="332" t="s">
        <v>514</v>
      </c>
      <c r="Z134" s="333"/>
      <c r="AA134" s="333"/>
      <c r="AB134" s="334"/>
    </row>
    <row r="135" spans="23:28" x14ac:dyDescent="0.3">
      <c r="W135" s="198" t="s">
        <v>512</v>
      </c>
      <c r="Y135" s="332" t="s">
        <v>515</v>
      </c>
      <c r="Z135" s="333"/>
      <c r="AA135" s="333"/>
      <c r="AB135" s="334"/>
    </row>
    <row r="136" spans="23:28" x14ac:dyDescent="0.3">
      <c r="W136" s="198" t="s">
        <v>513</v>
      </c>
      <c r="Y136" s="332" t="s">
        <v>494</v>
      </c>
      <c r="Z136" s="333"/>
      <c r="AA136" s="333"/>
      <c r="AB136" s="334"/>
    </row>
    <row r="137" spans="23:28" x14ac:dyDescent="0.3">
      <c r="W137" s="198" t="s">
        <v>353</v>
      </c>
      <c r="Y137" s="332" t="s">
        <v>495</v>
      </c>
      <c r="Z137" s="333"/>
      <c r="AA137" s="333"/>
      <c r="AB137" s="334"/>
    </row>
    <row r="138" spans="23:28" x14ac:dyDescent="0.3">
      <c r="W138" s="198" t="s">
        <v>525</v>
      </c>
      <c r="Y138" s="332" t="s">
        <v>526</v>
      </c>
      <c r="Z138" s="333"/>
      <c r="AA138" s="333"/>
      <c r="AB138" s="334"/>
    </row>
    <row r="139" spans="23:28" x14ac:dyDescent="0.3">
      <c r="Y139" s="332" t="s">
        <v>497</v>
      </c>
      <c r="Z139" s="333"/>
      <c r="AA139" s="333"/>
      <c r="AB139" s="334"/>
    </row>
    <row r="140" spans="23:28" x14ac:dyDescent="0.3">
      <c r="Y140" s="332" t="s">
        <v>498</v>
      </c>
      <c r="Z140" s="333"/>
      <c r="AA140" s="333"/>
      <c r="AB140" s="334"/>
    </row>
    <row r="141" spans="23:28" x14ac:dyDescent="0.3">
      <c r="Y141" s="332" t="s">
        <v>499</v>
      </c>
      <c r="Z141" s="333"/>
      <c r="AA141" s="333"/>
      <c r="AB141" s="334"/>
    </row>
    <row r="142" spans="23:28" x14ac:dyDescent="0.3">
      <c r="Y142" s="332" t="s">
        <v>516</v>
      </c>
      <c r="Z142" s="333"/>
      <c r="AA142" s="333"/>
      <c r="AB142" s="334"/>
    </row>
    <row r="143" spans="23:28" x14ac:dyDescent="0.3">
      <c r="Y143" s="332" t="s">
        <v>501</v>
      </c>
      <c r="Z143" s="333"/>
      <c r="AA143" s="333"/>
      <c r="AB143" s="334"/>
    </row>
    <row r="144" spans="23:28" x14ac:dyDescent="0.3">
      <c r="Y144" s="332" t="s">
        <v>502</v>
      </c>
      <c r="Z144" s="333"/>
      <c r="AA144" s="333"/>
      <c r="AB144" s="334"/>
    </row>
    <row r="145" spans="25:28" x14ac:dyDescent="0.3">
      <c r="Y145" s="332" t="s">
        <v>503</v>
      </c>
      <c r="Z145" s="333"/>
      <c r="AA145" s="333"/>
      <c r="AB145" s="334"/>
    </row>
    <row r="146" spans="25:28" x14ac:dyDescent="0.3">
      <c r="Y146" s="332" t="s">
        <v>504</v>
      </c>
      <c r="Z146" s="333"/>
      <c r="AA146" s="333"/>
      <c r="AB146" s="334"/>
    </row>
    <row r="147" spans="25:28" x14ac:dyDescent="0.3">
      <c r="Y147" s="332" t="s">
        <v>517</v>
      </c>
      <c r="Z147" s="333"/>
      <c r="AA147" s="333"/>
      <c r="AB147" s="334"/>
    </row>
    <row r="148" spans="25:28" x14ac:dyDescent="0.3">
      <c r="Y148" s="332" t="s">
        <v>518</v>
      </c>
      <c r="Z148" s="333"/>
      <c r="AA148" s="333"/>
      <c r="AB148" s="334"/>
    </row>
    <row r="149" spans="25:28" ht="15" thickBot="1" x14ac:dyDescent="0.35">
      <c r="Y149" s="335" t="s">
        <v>527</v>
      </c>
      <c r="Z149" s="336"/>
      <c r="AA149" s="336"/>
      <c r="AB149" s="337"/>
    </row>
  </sheetData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tabSelected="1" zoomScale="85" zoomScaleNormal="85" workbookViewId="0">
      <selection activeCell="D18" sqref="D18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70"/>
  </cols>
  <sheetData>
    <row r="2" spans="2:62" ht="16.2" x14ac:dyDescent="0.3">
      <c r="B2" s="24" t="s">
        <v>119</v>
      </c>
      <c r="C2" s="25"/>
      <c r="D2" s="16"/>
      <c r="E2" s="16"/>
      <c r="G2" s="16" t="s">
        <v>186</v>
      </c>
      <c r="H2" s="16"/>
      <c r="K2" s="24" t="s">
        <v>368</v>
      </c>
      <c r="L2" s="24"/>
      <c r="M2" s="3"/>
      <c r="O2" s="16" t="s">
        <v>377</v>
      </c>
      <c r="P2" s="16"/>
      <c r="T2" s="24" t="s">
        <v>349</v>
      </c>
      <c r="U2" s="24"/>
      <c r="V2" s="24"/>
      <c r="W2" s="24"/>
      <c r="X2" s="24"/>
      <c r="Y2" s="3"/>
      <c r="AE2" s="16" t="s">
        <v>392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2" t="s">
        <v>272</v>
      </c>
      <c r="C3" s="213"/>
      <c r="D3" s="153"/>
      <c r="E3" s="202" t="str">
        <f>General!F8</f>
        <v>Analógico</v>
      </c>
      <c r="G3" s="174" t="s">
        <v>358</v>
      </c>
      <c r="H3" s="174"/>
      <c r="I3" s="117" t="s">
        <v>1261</v>
      </c>
      <c r="K3" s="174" t="s">
        <v>120</v>
      </c>
      <c r="L3" s="174"/>
      <c r="M3" s="117" t="s">
        <v>465</v>
      </c>
      <c r="O3" s="122" t="s">
        <v>379</v>
      </c>
      <c r="P3" s="72">
        <f>((AS10*(CertPres))+CertHR*((AS11*CertTempC)+AS12))/(273.15 + CertTempC)</f>
        <v>1.1747016847182266</v>
      </c>
      <c r="T3" s="178" t="s">
        <v>311</v>
      </c>
      <c r="U3" s="187" t="s">
        <v>341</v>
      </c>
      <c r="V3" s="188"/>
      <c r="W3" s="187" t="s">
        <v>347</v>
      </c>
      <c r="X3" s="188"/>
      <c r="Y3" s="3"/>
      <c r="AR3" s="26"/>
      <c r="AS3" s="26"/>
      <c r="AT3" s="26"/>
      <c r="AU3" s="26"/>
      <c r="AV3" s="26"/>
      <c r="AY3" s="216" t="s">
        <v>404</v>
      </c>
      <c r="AZ3" s="216"/>
      <c r="BA3" s="216"/>
      <c r="BB3" s="216"/>
      <c r="BC3" s="216"/>
      <c r="BG3" s="26"/>
    </row>
    <row r="4" spans="2:62" ht="14.4" customHeight="1" x14ac:dyDescent="0.3">
      <c r="B4" s="174" t="s">
        <v>117</v>
      </c>
      <c r="C4" s="152"/>
      <c r="D4" s="153"/>
      <c r="E4" s="203" t="str">
        <f>DivEscala</f>
        <v>5</v>
      </c>
      <c r="G4" s="174" t="s">
        <v>360</v>
      </c>
      <c r="H4" s="174"/>
      <c r="I4" s="67">
        <f>IFERROR(VLOOKUP(I3,tblBD_Patrones[[#All],[Código Patrón]:[Resolución '[psi']]],13,FALSE),"")</f>
        <v>1</v>
      </c>
      <c r="K4" s="174" t="s">
        <v>369</v>
      </c>
      <c r="L4" s="174"/>
      <c r="M4" s="117">
        <v>0</v>
      </c>
      <c r="O4" s="122" t="s">
        <v>374</v>
      </c>
      <c r="P4" s="97">
        <f>ABS(CertTempIni-CertTempFin)/SQRT(12)</f>
        <v>2.88675134594817E-2</v>
      </c>
      <c r="S4" s="30" t="s">
        <v>102</v>
      </c>
      <c r="T4" s="90" t="s">
        <v>121</v>
      </c>
      <c r="U4" s="88" t="s">
        <v>342</v>
      </c>
      <c r="V4" s="88" t="s">
        <v>343</v>
      </c>
      <c r="W4" s="88" t="s">
        <v>346</v>
      </c>
      <c r="X4" s="88" t="s">
        <v>345</v>
      </c>
      <c r="Y4" s="175" t="s">
        <v>348</v>
      </c>
      <c r="AE4" s="48" t="s">
        <v>173</v>
      </c>
      <c r="AF4" s="48">
        <v>1</v>
      </c>
      <c r="AG4" s="48">
        <v>2</v>
      </c>
      <c r="AH4" s="48">
        <v>3</v>
      </c>
      <c r="AI4" s="48">
        <v>4</v>
      </c>
      <c r="AJ4" s="48">
        <v>5</v>
      </c>
      <c r="AK4" s="48">
        <v>6</v>
      </c>
      <c r="AL4" s="48">
        <v>7</v>
      </c>
      <c r="AM4" s="48">
        <v>8</v>
      </c>
      <c r="AN4" s="48">
        <v>9</v>
      </c>
      <c r="AO4" s="48">
        <v>10</v>
      </c>
      <c r="AR4" s="26"/>
      <c r="AS4" s="26"/>
      <c r="AT4" s="26"/>
      <c r="AU4" s="26"/>
      <c r="AV4" s="26"/>
      <c r="AY4" s="216"/>
      <c r="AZ4" s="216"/>
      <c r="BA4" s="216"/>
      <c r="BB4" s="216"/>
      <c r="BC4" s="216"/>
      <c r="BG4" s="26"/>
    </row>
    <row r="5" spans="2:62" ht="14.4" customHeight="1" x14ac:dyDescent="0.3">
      <c r="B5" s="152" t="s">
        <v>282</v>
      </c>
      <c r="C5" s="213"/>
      <c r="D5" s="153"/>
      <c r="E5" s="204">
        <f>RangoMed_min</f>
        <v>0</v>
      </c>
      <c r="G5" s="174" t="s">
        <v>359</v>
      </c>
      <c r="H5" s="174"/>
      <c r="I5" s="117"/>
      <c r="K5" s="174" t="s">
        <v>370</v>
      </c>
      <c r="L5" s="174"/>
      <c r="M5" s="117" t="s">
        <v>372</v>
      </c>
      <c r="O5" s="122" t="s">
        <v>375</v>
      </c>
      <c r="P5" s="97">
        <f>ABS(General!I11-General!I12)/SQRT(12)</f>
        <v>0.27424137786507308</v>
      </c>
      <c r="S5" s="21">
        <v>1</v>
      </c>
      <c r="T5" s="186" t="str">
        <f>'BD Patron'!C15</f>
        <v>NI-MCPP-01</v>
      </c>
      <c r="U5" s="185">
        <f>IFERROR(LOOKUP(T5,tblBD_Patrones[Código Patrón],tblBD_Patrones[min.])*coef_unidad,"")</f>
        <v>-12</v>
      </c>
      <c r="V5" s="185">
        <f>IFERROR(LOOKUP(T5,tblBD_Patrones[Código Patrón],tblBD_Patrones[max.])*coef_unidad,"")</f>
        <v>200</v>
      </c>
      <c r="W5" s="185">
        <f>IFERROR(LOOKUP(T5,tblBD_Patrones[Código Patrón],tblBD_Patrones[t min. compensada]),"")</f>
        <v>15</v>
      </c>
      <c r="X5" s="185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1" t="s">
        <v>167</v>
      </c>
      <c r="AF5" s="72" t="str">
        <f t="array" aca="1" ref="AF5:AO5" ca="1">TRANSPOSE($T$15:$T$29)</f>
        <v/>
      </c>
      <c r="AG5" s="72" t="str">
        <f ca="1"/>
        <v/>
      </c>
      <c r="AH5" s="72" t="str">
        <f ca="1"/>
        <v/>
      </c>
      <c r="AI5" s="72" t="str">
        <f ca="1"/>
        <v/>
      </c>
      <c r="AJ5" s="72" t="str">
        <f ca="1"/>
        <v/>
      </c>
      <c r="AK5" s="72" t="str">
        <f ca="1"/>
        <v/>
      </c>
      <c r="AL5" s="67" t="str">
        <f ca="1"/>
        <v/>
      </c>
      <c r="AM5" s="67" t="str">
        <f ca="1"/>
        <v/>
      </c>
      <c r="AN5" s="67" t="str">
        <f ca="1"/>
        <v/>
      </c>
      <c r="AO5" s="67" t="str">
        <f ca="1"/>
        <v/>
      </c>
      <c r="AR5" s="26"/>
      <c r="AS5" s="26"/>
      <c r="AT5" s="26"/>
      <c r="AU5" s="26"/>
      <c r="AV5" s="26"/>
      <c r="AY5" s="216"/>
      <c r="AZ5" s="216"/>
      <c r="BA5" s="216"/>
      <c r="BB5" s="216"/>
      <c r="BC5" s="216"/>
      <c r="BG5" s="26"/>
    </row>
    <row r="6" spans="2:62" ht="14.4" customHeight="1" x14ac:dyDescent="0.3">
      <c r="B6" s="174" t="s">
        <v>283</v>
      </c>
      <c r="C6" s="152"/>
      <c r="D6" s="153"/>
      <c r="E6" s="185" t="str">
        <f>RangoMed_max</f>
        <v>1000</v>
      </c>
      <c r="G6" s="174" t="s">
        <v>361</v>
      </c>
      <c r="H6" s="174"/>
      <c r="I6" s="67" t="str">
        <f>IFERROR(VLOOKUP(I5,tblBD_Patrones[[#All],[Código Patrón]:[Resolución '[psi']]],13,FALSE),"")</f>
        <v/>
      </c>
      <c r="K6" s="174" t="s">
        <v>373</v>
      </c>
      <c r="L6" s="174"/>
      <c r="M6" s="117">
        <v>1</v>
      </c>
      <c r="O6" s="122" t="s">
        <v>376</v>
      </c>
      <c r="P6" s="97">
        <f>ABS(General!I16-General!I17)/SQRT(12)</f>
        <v>0</v>
      </c>
      <c r="S6" s="21">
        <v>2</v>
      </c>
      <c r="T6" s="186" t="str">
        <f>'BD Patron'!C16</f>
        <v>NI-MCPP-02</v>
      </c>
      <c r="U6" s="185">
        <f>IFERROR(LOOKUP(T6,tblBD_Patrones[Código Patrón],tblBD_Patrones[min.])*coef_unidad,"")</f>
        <v>0</v>
      </c>
      <c r="V6" s="185">
        <f>IFERROR(LOOKUP(T6,tblBD_Patrones[Código Patrón],tblBD_Patrones[max.])*coef_unidad,"")</f>
        <v>5000</v>
      </c>
      <c r="W6" s="185">
        <f>IFERROR(LOOKUP(T6,tblBD_Patrones[Código Patrón],tblBD_Patrones[t min. compensada]),"")</f>
        <v>15</v>
      </c>
      <c r="X6" s="185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1" t="s">
        <v>168</v>
      </c>
      <c r="AF6" s="68" t="str">
        <f ca="1">IFERROR(INDEX($T$37:$T$51,MATCH(AF$5,$T$37:OFFSET($T$37,NumPuntosCalib-1,0),1)),"")</f>
        <v/>
      </c>
      <c r="AG6" s="68" t="str">
        <f ca="1">IFERROR(INDEX($T$37:$T$51,MATCH(AG$5,$T$37:OFFSET($T$37,NumPuntosCalib-1,0),1)),"")</f>
        <v/>
      </c>
      <c r="AH6" s="68" t="str">
        <f ca="1">IFERROR(INDEX($T$37:$T$51,MATCH(AH$5,$T$37:OFFSET($T$37,NumPuntosCalib-1,0),1)),"")</f>
        <v/>
      </c>
      <c r="AI6" s="68" t="str">
        <f ca="1">IFERROR(INDEX($T$37:$T$51,MATCH(AI$5,$T$37:OFFSET($T$37,NumPuntosCalib-1,0),1)),"")</f>
        <v/>
      </c>
      <c r="AJ6" s="68" t="str">
        <f ca="1">IFERROR(INDEX($T$37:$T$51,MATCH(AJ$5,$T$37:OFFSET($T$37,NumPuntosCalib-1,0),1)),"")</f>
        <v/>
      </c>
      <c r="AK6" s="68" t="str">
        <f ca="1">IFERROR(INDEX($T$37:$T$51,MATCH(AK$5,$T$37:OFFSET($T$37,NumPuntosCalib-1,0),1)),"")</f>
        <v/>
      </c>
      <c r="AL6" s="68" t="str">
        <f ca="1">IFERROR(INDEX($T$37:$T$51,MATCH(AL$5,$T$37:OFFSET($T$37,NumPuntosCalib-1,0),1)),"")</f>
        <v/>
      </c>
      <c r="AM6" s="68" t="str">
        <f ca="1">IFERROR(INDEX($T$37:$T$51,MATCH(AM$5,$T$37:OFFSET($T$37,NumPuntosCalib-1,0),1)),"")</f>
        <v/>
      </c>
      <c r="AN6" s="68" t="str">
        <f ca="1">IFERROR(INDEX($T$37:$T$51,MATCH(AN$5,$T$37:OFFSET($T$37,NumPuntosCalib-1,0),1)),"")</f>
        <v/>
      </c>
      <c r="AO6" s="68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6"/>
      <c r="AZ6" s="216"/>
      <c r="BA6" s="216"/>
      <c r="BB6" s="216"/>
      <c r="BC6" s="216"/>
      <c r="BG6" s="26"/>
      <c r="BJ6" t="s">
        <v>508</v>
      </c>
    </row>
    <row r="7" spans="2:62" ht="14.4" customHeight="1" x14ac:dyDescent="0.3">
      <c r="B7" s="152" t="s">
        <v>399</v>
      </c>
      <c r="C7" s="213"/>
      <c r="D7" s="153"/>
      <c r="E7" s="214">
        <f>ResolInst/E6</f>
        <v>5.0000000000000001E-3</v>
      </c>
      <c r="H7" s="154"/>
      <c r="O7" s="122" t="s">
        <v>378</v>
      </c>
      <c r="P7" s="72">
        <f>SQRT((POWER(P4/CertTempC,2)+POWER(P5/CertHR,2)+POWER(P6/CertPres,2))*POWER(P3,2))</f>
        <v>6.8308808247409918E-3</v>
      </c>
      <c r="S7" s="21">
        <v>3</v>
      </c>
      <c r="T7" s="186" t="str">
        <f>'BD Patron'!C17</f>
        <v>NI-MCPP-06</v>
      </c>
      <c r="U7" s="185">
        <f>IFERROR(LOOKUP(T7,tblBD_Patrones[Código Patrón],tblBD_Patrones[min.])*coef_unidad,"")</f>
        <v>-12</v>
      </c>
      <c r="V7" s="185">
        <f>IFERROR(LOOKUP(T7,tblBD_Patrones[Código Patrón],tblBD_Patrones[max.])*coef_unidad,"")</f>
        <v>5000</v>
      </c>
      <c r="W7" s="185">
        <f>IFERROR(LOOKUP(T7,tblBD_Patrones[Código Patrón],tblBD_Patrones[t min. compensada]),"")</f>
        <v>0</v>
      </c>
      <c r="X7" s="185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1" t="s">
        <v>170</v>
      </c>
      <c r="AF7" s="68" t="str">
        <f ca="1">IFERROR(INDEX($U$37:$U$51,MATCH(AF$5,$T$37:OFFSET($T$37,NumPuntosCalib-1,0),1)),"")</f>
        <v/>
      </c>
      <c r="AG7" s="68" t="str">
        <f ca="1">IFERROR(INDEX($U$37:$U$51,MATCH(AG$5,$T$37:OFFSET($T$37,NumPuntosCalib-1,0),1)),"")</f>
        <v/>
      </c>
      <c r="AH7" s="68" t="str">
        <f ca="1">IFERROR(INDEX($U$37:$U$51,MATCH(AH$5,$T$37:OFFSET($T$37,NumPuntosCalib-1,0),1)),"")</f>
        <v/>
      </c>
      <c r="AI7" s="68" t="str">
        <f ca="1">IFERROR(INDEX($U$37:$U$51,MATCH(AI$5,$T$37:OFFSET($T$37,NumPuntosCalib-1,0),1)),"")</f>
        <v/>
      </c>
      <c r="AJ7" s="68" t="str">
        <f ca="1">IFERROR(INDEX($U$37:$U$51,MATCH(AJ$5,$T$37:OFFSET($T$37,NumPuntosCalib-1,0),1)),"")</f>
        <v/>
      </c>
      <c r="AK7" s="68" t="str">
        <f ca="1">IFERROR(INDEX($U$37:$U$51,MATCH(AK$5,$T$37:OFFSET($T$37,NumPuntosCalib-1,0),1)),"")</f>
        <v/>
      </c>
      <c r="AL7" s="68" t="str">
        <f ca="1">IFERROR(INDEX($U$37:$U$51,MATCH(AL$5,$T$37:OFFSET($T$37,NumPuntosCalib-1,0),1)),"")</f>
        <v/>
      </c>
      <c r="AM7" s="68" t="str">
        <f ca="1">IFERROR(INDEX($U$37:$U$51,MATCH(AM$5,$T$37:OFFSET($T$37,NumPuntosCalib-1,0),1)),"")</f>
        <v/>
      </c>
      <c r="AN7" s="68" t="str">
        <f ca="1">IFERROR(INDEX($U$37:$U$51,MATCH(AN$5,$T$37:OFFSET($T$37,NumPuntosCalib-1,0),1)),"")</f>
        <v/>
      </c>
      <c r="AO7" s="68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6"/>
      <c r="AZ7" s="216"/>
      <c r="BA7" s="216">
        <f>(0.34848*CertPres-0.009024*POWER(CertHR,0.061*CertTempC))/(273.15+CertTempC)</f>
        <v>1.174691104746399</v>
      </c>
      <c r="BB7" s="216"/>
      <c r="BC7" s="216"/>
      <c r="BG7" s="26"/>
      <c r="BJ7" t="s">
        <v>674</v>
      </c>
    </row>
    <row r="8" spans="2:62" ht="15" x14ac:dyDescent="0.3">
      <c r="B8" s="152" t="s">
        <v>118</v>
      </c>
      <c r="C8" s="153"/>
      <c r="D8" s="96">
        <f>INDEX(M37:Q50,MATCH(E8,M37:M50,0),2)</f>
        <v>1</v>
      </c>
      <c r="E8" s="157" t="str">
        <f>General!F16</f>
        <v>psi</v>
      </c>
      <c r="G8" s="205"/>
      <c r="H8" s="205"/>
      <c r="I8" s="205"/>
      <c r="T8" s="3" t="s">
        <v>344</v>
      </c>
      <c r="U8" s="3"/>
      <c r="AE8" s="71" t="s">
        <v>169</v>
      </c>
      <c r="AF8" s="68" t="str">
        <f ca="1">IFERROR(INDEX($T$37:$T$51,MATCH(AF$5,$T$37:OFFSET($T$37,NumPuntosCalib-1,0),1)+1),"")</f>
        <v/>
      </c>
      <c r="AG8" s="68" t="str">
        <f ca="1">IFERROR(INDEX($T$37:$T$51,MATCH(AG$5,$T$37:OFFSET($T$37,NumPuntosCalib-1,0),1)+1),"")</f>
        <v/>
      </c>
      <c r="AH8" s="68" t="str">
        <f ca="1">IFERROR(INDEX($T$37:$T$51,MATCH(AH$5,$T$37:OFFSET($T$37,NumPuntosCalib-1,0),1)+1),"")</f>
        <v/>
      </c>
      <c r="AI8" s="68" t="str">
        <f ca="1">IFERROR(INDEX($T$37:$T$51,MATCH(AI$5,$T$37:OFFSET($T$37,NumPuntosCalib-1,0),1)+1),"")</f>
        <v/>
      </c>
      <c r="AJ8" s="68" t="str">
        <f ca="1">IFERROR(INDEX($T$37:$T$51,MATCH(AJ$5,$T$37:OFFSET($T$37,NumPuntosCalib-1,0),1)+1),"")</f>
        <v/>
      </c>
      <c r="AK8" s="68" t="str">
        <f ca="1">IFERROR(INDEX($T$37:$T$51,MATCH(AK$5,$T$37:OFFSET($T$37,NumPuntosCalib-1,0),1)+1),"")</f>
        <v/>
      </c>
      <c r="AL8" s="68" t="str">
        <f ca="1">IFERROR(INDEX($T$37:$T$51,MATCH(AL$5,$T$37:OFFSET($T$37,NumPuntosCalib-1,0),1)+1),"")</f>
        <v/>
      </c>
      <c r="AM8" s="68" t="str">
        <f ca="1">IFERROR(INDEX($T$37:$T$51,MATCH(AM$5,$T$37:OFFSET($T$37,NumPuntosCalib-1,0),1)+1),"")</f>
        <v/>
      </c>
      <c r="AN8" s="68" t="str">
        <f ca="1">IFERROR(INDEX($T$37:$T$51,MATCH(AN$5,$T$37:OFFSET($T$37,NumPuntosCalib-1,0),1)+1),"")</f>
        <v/>
      </c>
      <c r="AO8" s="68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0" t="s">
        <v>247</v>
      </c>
      <c r="E9" s="121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71" t="s">
        <v>171</v>
      </c>
      <c r="AF9" s="68" t="str">
        <f ca="1">IFERROR(INDEX($U$37:$U$51,MATCH(AF$5,$T$37:OFFSET($T$37,NumPuntosCalib-1,0),1)+1),"")</f>
        <v/>
      </c>
      <c r="AG9" s="68" t="str">
        <f ca="1">IFERROR(INDEX($U$37:$U$51,MATCH(AG$5,$T$37:OFFSET($T$37,NumPuntosCalib-1,0),1)+1),"")</f>
        <v/>
      </c>
      <c r="AH9" s="68" t="str">
        <f ca="1">IFERROR(INDEX($U$37:$U$51,MATCH(AH$5,$T$37:OFFSET($T$37,NumPuntosCalib-1,0),1)+1),"")</f>
        <v/>
      </c>
      <c r="AI9" s="68" t="str">
        <f ca="1">IFERROR(INDEX($U$37:$U$51,MATCH(AI$5,$T$37:OFFSET($T$37,NumPuntosCalib-1,0),1)+1),"")</f>
        <v/>
      </c>
      <c r="AJ9" s="68" t="str">
        <f ca="1">IFERROR(INDEX($U$37:$U$51,MATCH(AJ$5,$T$37:OFFSET($T$37,NumPuntosCalib-1,0),1)+1),"")</f>
        <v/>
      </c>
      <c r="AK9" s="68" t="str">
        <f ca="1">IFERROR(INDEX($U$37:$U$51,MATCH(AK$5,$T$37:OFFSET($T$37,NumPuntosCalib-1,0),1)+1),"")</f>
        <v/>
      </c>
      <c r="AL9" s="68" t="str">
        <f ca="1">IFERROR(INDEX($U$37:$U$51,MATCH(AL$5,$T$37:OFFSET($T$37,NumPuntosCalib-1,0),1)+1),"")</f>
        <v/>
      </c>
      <c r="AM9" s="68" t="str">
        <f ca="1">IFERROR(INDEX($U$37:$U$51,MATCH(AM$5,$T$37:OFFSET($T$37,NumPuntosCalib-1,0),1)+1),"")</f>
        <v/>
      </c>
      <c r="AN9" s="68" t="str">
        <f ca="1">IFERROR(INDEX($U$37:$U$51,MATCH(AN$5,$T$37:OFFSET($T$37,NumPuntosCalib-1,0),1)+1),"")</f>
        <v/>
      </c>
      <c r="AO9" s="68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2" t="s">
        <v>670</v>
      </c>
      <c r="C10" s="213"/>
      <c r="D10" s="153"/>
      <c r="E10" s="293" t="s">
        <v>189</v>
      </c>
      <c r="F10" s="244"/>
      <c r="G10" s="244"/>
      <c r="H10" s="244"/>
      <c r="I10" s="244"/>
      <c r="J10" s="244"/>
      <c r="K10" s="245" t="s">
        <v>402</v>
      </c>
      <c r="L10" s="246" t="s">
        <v>403</v>
      </c>
      <c r="M10" s="243"/>
      <c r="V10" s="3"/>
      <c r="W10" s="3"/>
      <c r="X10" s="3"/>
      <c r="Y10" s="3"/>
      <c r="AA10" s="3"/>
      <c r="AB10" s="3"/>
      <c r="AC10" s="3"/>
      <c r="AE10" s="71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R10" s="218" t="s">
        <v>405</v>
      </c>
      <c r="AS10" s="26">
        <v>0.34844000000000003</v>
      </c>
      <c r="AT10" s="219" t="s">
        <v>406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D11" s="243"/>
      <c r="E11" s="247" t="s">
        <v>400</v>
      </c>
      <c r="F11" s="247"/>
      <c r="G11" s="248">
        <f>IF(E3="Digital",2,IF(AND(E3="Analógico",E7&lt;=0.2),3,2))</f>
        <v>3</v>
      </c>
      <c r="H11" s="244"/>
      <c r="I11" s="247" t="s">
        <v>401</v>
      </c>
      <c r="J11" s="247"/>
      <c r="K11" s="248">
        <f>IF(E3="Digital",0,IF(AND(E3="Analógico",E7&lt;=0.6),8,IF(AND(E3="Analógico",E7&gt;0.6,E7&lt;4),5,3)))</f>
        <v>8</v>
      </c>
      <c r="L11" s="249">
        <f>IF(E3="Analógico",0,IF(AND(E3="Digital",E7&lt;=0.1),15,IF(AND(E3="Digital",E7&gt;0.1,E7&lt;0.25),10,IF(AND(E3="Digital",E7&gt;=0.25,E7&lt;2),5,3))))</f>
        <v>0</v>
      </c>
      <c r="M11" s="243"/>
      <c r="AE11" s="71" t="s">
        <v>172</v>
      </c>
      <c r="AF11" s="119" t="str">
        <f t="shared" ref="AF11:AO11" ca="1" si="0">IFERROR(AF7+(AF5-AF6)*(AF9-AF7)/(AF8-AF6),"")</f>
        <v/>
      </c>
      <c r="AG11" s="119" t="str">
        <f t="shared" ca="1" si="0"/>
        <v/>
      </c>
      <c r="AH11" s="119" t="str">
        <f t="shared" ca="1" si="0"/>
        <v/>
      </c>
      <c r="AI11" s="119" t="str">
        <f t="shared" ca="1" si="0"/>
        <v/>
      </c>
      <c r="AJ11" s="119" t="str">
        <f t="shared" ca="1" si="0"/>
        <v/>
      </c>
      <c r="AK11" s="119" t="str">
        <f t="shared" ca="1" si="0"/>
        <v/>
      </c>
      <c r="AL11" s="119" t="str">
        <f t="shared" ca="1" si="0"/>
        <v/>
      </c>
      <c r="AM11" s="119" t="str">
        <f t="shared" ca="1" si="0"/>
        <v/>
      </c>
      <c r="AN11" s="119" t="str">
        <f t="shared" ca="1" si="0"/>
        <v/>
      </c>
      <c r="AO11" s="119" t="str">
        <f t="shared" ca="1" si="0"/>
        <v/>
      </c>
      <c r="AR11" s="218" t="s">
        <v>407</v>
      </c>
      <c r="AS11" s="26">
        <v>-2.5200000000000001E-3</v>
      </c>
      <c r="AT11" s="219" t="s">
        <v>408</v>
      </c>
      <c r="AU11" s="26"/>
      <c r="AV11" s="26"/>
    </row>
    <row r="12" spans="2:62" ht="16.2" x14ac:dyDescent="0.3">
      <c r="C12" s="339" t="s">
        <v>318</v>
      </c>
      <c r="D12" s="339"/>
      <c r="E12" s="339"/>
      <c r="F12" s="339"/>
      <c r="G12" s="339" t="s">
        <v>317</v>
      </c>
      <c r="H12" s="339"/>
      <c r="I12" s="339"/>
      <c r="J12" s="339"/>
      <c r="K12" s="339" t="s">
        <v>319</v>
      </c>
      <c r="L12" s="339"/>
      <c r="M12" s="339"/>
      <c r="N12" s="339"/>
      <c r="AE12" s="29"/>
      <c r="AF12" s="3"/>
      <c r="AG12" s="3"/>
      <c r="AH12" s="3"/>
      <c r="AI12" s="3"/>
      <c r="AJ12" s="3"/>
      <c r="AK12" s="3"/>
      <c r="AR12" s="218" t="s">
        <v>409</v>
      </c>
      <c r="AS12" s="26">
        <v>2.0582E-2</v>
      </c>
      <c r="AT12" s="219" t="s">
        <v>410</v>
      </c>
      <c r="AU12" s="26"/>
      <c r="AV12" s="26"/>
    </row>
    <row r="13" spans="2:62" x14ac:dyDescent="0.3">
      <c r="B13" s="179" t="s">
        <v>31</v>
      </c>
      <c r="C13" s="338" t="s">
        <v>320</v>
      </c>
      <c r="D13" s="338"/>
      <c r="E13" s="338" t="s">
        <v>321</v>
      </c>
      <c r="F13" s="338"/>
      <c r="G13" s="338" t="s">
        <v>322</v>
      </c>
      <c r="H13" s="338"/>
      <c r="I13" s="338" t="s">
        <v>323</v>
      </c>
      <c r="J13" s="338"/>
      <c r="K13" s="338" t="s">
        <v>324</v>
      </c>
      <c r="L13" s="338"/>
      <c r="M13" s="338" t="s">
        <v>325</v>
      </c>
      <c r="N13" s="338"/>
      <c r="S13" s="16" t="str">
        <f>CONCATENATE("Todo en [",unidad,"]")</f>
        <v>Todo en [psi]</v>
      </c>
      <c r="T13" s="16"/>
      <c r="U13" s="49" t="s">
        <v>267</v>
      </c>
      <c r="Y13" s="49" t="s">
        <v>339</v>
      </c>
      <c r="Z13" s="177" t="s">
        <v>339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18" t="s">
        <v>121</v>
      </c>
      <c r="D14" s="118" t="s">
        <v>98</v>
      </c>
      <c r="E14" s="118" t="s">
        <v>121</v>
      </c>
      <c r="F14" s="118" t="s">
        <v>98</v>
      </c>
      <c r="G14" s="118" t="s">
        <v>121</v>
      </c>
      <c r="H14" s="118" t="s">
        <v>98</v>
      </c>
      <c r="I14" s="118" t="s">
        <v>121</v>
      </c>
      <c r="J14" s="118" t="s">
        <v>98</v>
      </c>
      <c r="K14" s="118" t="s">
        <v>121</v>
      </c>
      <c r="L14" s="118" t="s">
        <v>98</v>
      </c>
      <c r="M14" s="118" t="s">
        <v>121</v>
      </c>
      <c r="N14" s="189" t="s">
        <v>98</v>
      </c>
      <c r="O14" s="190" t="s">
        <v>350</v>
      </c>
      <c r="P14" s="118" t="s">
        <v>351</v>
      </c>
      <c r="Q14" s="118" t="s">
        <v>390</v>
      </c>
      <c r="S14" s="81" t="s">
        <v>102</v>
      </c>
      <c r="T14" s="82" t="s">
        <v>122</v>
      </c>
      <c r="U14" s="83" t="s">
        <v>269</v>
      </c>
      <c r="V14" s="147" t="s">
        <v>123</v>
      </c>
      <c r="W14" s="147" t="s">
        <v>124</v>
      </c>
      <c r="X14" s="147" t="s">
        <v>239</v>
      </c>
      <c r="Y14" s="83" t="s">
        <v>268</v>
      </c>
      <c r="Z14" s="147" t="s">
        <v>160</v>
      </c>
      <c r="AA14" s="147" t="s">
        <v>266</v>
      </c>
      <c r="AB14" s="147" t="s">
        <v>265</v>
      </c>
      <c r="AE14" s="16" t="s">
        <v>394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7"/>
      <c r="D15" s="217"/>
      <c r="E15" s="217"/>
      <c r="F15" s="217"/>
      <c r="G15" s="217"/>
      <c r="H15" s="217"/>
      <c r="I15" s="217"/>
      <c r="J15" s="217"/>
      <c r="K15" s="194"/>
      <c r="L15" s="194"/>
      <c r="M15" s="194"/>
      <c r="N15" s="194"/>
      <c r="O15" s="195">
        <f>IF($E$3="Analógico",(MAX(ABS(C15-E15),ABS(G15-I15),ABS(K15-M15))),(MAX(ABS(D15-F15),ABS(H15-J15),ABS(L15-N15))))</f>
        <v>0</v>
      </c>
      <c r="P15" s="196" t="e">
        <f>IF($E$3="Analógico",STDEVA(C15,E15,G15,I15,K15,M15),STDEVA(D15,F15,H15,J15,L15,N15))</f>
        <v>#DIV/0!</v>
      </c>
      <c r="Q15" s="208">
        <f>($E$7)*$E$6</f>
        <v>5</v>
      </c>
      <c r="S15" s="69">
        <v>1</v>
      </c>
      <c r="T15" s="46" t="str">
        <f ca="1">IFERROR(AVERAGEIFS(C15:N15,OFFSET($C$15:$N$15,-1,0),"=Patrón",C15:N15,"&lt;&gt;0"),"")</f>
        <v/>
      </c>
      <c r="U15" s="47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3" t="str">
        <f ca="1">IFERROR(tblResultCalib[[#This Row],[Promedio Patrón]]+tblResultCalib[[#This Row],[Corrección patrón]],"")</f>
        <v/>
      </c>
      <c r="W15" s="149" t="str">
        <f t="shared" ref="W15:W29" ca="1" si="1">IFERROR(AVERAGEIFS(C15:N15,OFFSET($C$15:$N$15,-1,0),"=Equipo",C15:N15,"&lt;&gt;0"),"")</f>
        <v/>
      </c>
      <c r="X15" s="145" t="str">
        <f ca="1">IFERROR(tblResultCalib[[#This Row],[Patrón corregido]]-tblResultCalib[[#This Row],[Promedio equipo]],"")</f>
        <v/>
      </c>
      <c r="Y15" s="145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5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7"/>
      <c r="D16" s="217"/>
      <c r="E16" s="217"/>
      <c r="F16" s="217"/>
      <c r="G16" s="217"/>
      <c r="H16" s="217"/>
      <c r="I16" s="217"/>
      <c r="J16" s="217"/>
      <c r="K16" s="194"/>
      <c r="L16" s="194"/>
      <c r="M16" s="194"/>
      <c r="N16" s="194"/>
      <c r="O16" s="195">
        <f t="shared" ref="O16:O29" si="2">IF($E$3="Analógico",(MAX(ABS(C16-E16),ABS(G16-I16),ABS(K16-M16))),(MAX(ABS(D16-F16),ABS(H16-J16),ABS(L16-N16))))</f>
        <v>0</v>
      </c>
      <c r="P16" s="196" t="e">
        <f t="shared" ref="P16:P29" si="3">IF($E$3="Analógico",STDEVA(C16,E16,G16,I16,K16,M16),STDEVA(D16,F16,H16,J16,L16,N16))</f>
        <v>#DIV/0!</v>
      </c>
      <c r="Q16" s="208">
        <f t="shared" ref="Q16:Q29" si="4">($E$7)*$E$6</f>
        <v>5</v>
      </c>
      <c r="S16" s="69">
        <v>2</v>
      </c>
      <c r="T16" s="46" t="str">
        <f t="shared" ref="T16:T29" ca="1" si="5">IFERROR(AVERAGEIFS(C16:N16,OFFSET($C$15:$N$15,-1,0),"=Patrón",C16:N16,"&lt;&gt;0"),"")</f>
        <v/>
      </c>
      <c r="U16" s="47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54" t="str">
        <f ca="1">IFERROR(tblResultCalib[[#This Row],[Promedio Patrón]]+tblResultCalib[[#This Row],[Corrección patrón]],"")</f>
        <v/>
      </c>
      <c r="W16" s="150" t="str">
        <f t="shared" ca="1" si="1"/>
        <v/>
      </c>
      <c r="X16" s="144" t="str">
        <f ca="1">IFERROR(tblResultCalib[[#This Row],[Patrón corregido]]-tblResultCalib[[#This Row],[Promedio equipo]],"")</f>
        <v/>
      </c>
      <c r="Y16" s="145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5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8" t="s">
        <v>173</v>
      </c>
      <c r="AF16" s="48">
        <v>1</v>
      </c>
      <c r="AG16" s="48">
        <v>2</v>
      </c>
      <c r="AH16" s="48">
        <v>3</v>
      </c>
      <c r="AI16" s="48">
        <v>4</v>
      </c>
      <c r="AJ16" s="48">
        <v>5</v>
      </c>
      <c r="AK16" s="48">
        <v>6</v>
      </c>
      <c r="AL16" s="48">
        <v>7</v>
      </c>
      <c r="AM16" s="48">
        <v>8</v>
      </c>
      <c r="AN16" s="48">
        <v>9</v>
      </c>
      <c r="AO16" s="48">
        <v>10</v>
      </c>
    </row>
    <row r="17" spans="2:41" x14ac:dyDescent="0.3">
      <c r="B17" s="21">
        <v>3</v>
      </c>
      <c r="C17" s="217"/>
      <c r="D17" s="217"/>
      <c r="E17" s="217"/>
      <c r="F17" s="217"/>
      <c r="G17" s="217"/>
      <c r="H17" s="217"/>
      <c r="I17" s="217"/>
      <c r="J17" s="217"/>
      <c r="K17" s="194"/>
      <c r="L17" s="194"/>
      <c r="M17" s="194"/>
      <c r="N17" s="194"/>
      <c r="O17" s="195">
        <f t="shared" si="2"/>
        <v>0</v>
      </c>
      <c r="P17" s="196" t="e">
        <f t="shared" si="3"/>
        <v>#DIV/0!</v>
      </c>
      <c r="Q17" s="208">
        <f t="shared" si="4"/>
        <v>5</v>
      </c>
      <c r="S17" s="69">
        <v>3</v>
      </c>
      <c r="T17" s="46" t="str">
        <f t="shared" ca="1" si="5"/>
        <v/>
      </c>
      <c r="U17" s="47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54" t="str">
        <f ca="1">IFERROR(tblResultCalib[[#This Row],[Promedio Patrón]]+tblResultCalib[[#This Row],[Corrección patrón]],"")</f>
        <v/>
      </c>
      <c r="W17" s="150" t="str">
        <f t="shared" ca="1" si="1"/>
        <v/>
      </c>
      <c r="X17" s="144" t="str">
        <f ca="1">IFERROR(tblResultCalib[[#This Row],[Patrón corregido]]-tblResultCalib[[#This Row],[Promedio equipo]],"")</f>
        <v/>
      </c>
      <c r="Y17" s="145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5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1" t="s">
        <v>167</v>
      </c>
      <c r="AF17" s="72" t="str">
        <f t="array" aca="1" ref="AF17:AO17" ca="1">TRANSPOSE($T$15:$T$29)</f>
        <v/>
      </c>
      <c r="AG17" s="72" t="str">
        <f ca="1"/>
        <v/>
      </c>
      <c r="AH17" s="72" t="str">
        <f ca="1"/>
        <v/>
      </c>
      <c r="AI17" s="72" t="str">
        <f ca="1"/>
        <v/>
      </c>
      <c r="AJ17" s="72" t="str">
        <f ca="1"/>
        <v/>
      </c>
      <c r="AK17" s="72" t="str">
        <f ca="1"/>
        <v/>
      </c>
      <c r="AL17" s="67" t="str">
        <f ca="1"/>
        <v/>
      </c>
      <c r="AM17" s="67" t="str">
        <f ca="1"/>
        <v/>
      </c>
      <c r="AN17" s="67" t="str">
        <f ca="1"/>
        <v/>
      </c>
      <c r="AO17" s="67" t="str">
        <f ca="1"/>
        <v/>
      </c>
    </row>
    <row r="18" spans="2:41" x14ac:dyDescent="0.3">
      <c r="B18" s="21">
        <v>4</v>
      </c>
      <c r="C18" s="217"/>
      <c r="D18" s="217"/>
      <c r="E18" s="217"/>
      <c r="F18" s="217"/>
      <c r="G18" s="217"/>
      <c r="H18" s="217"/>
      <c r="I18" s="217"/>
      <c r="J18" s="217"/>
      <c r="K18" s="194"/>
      <c r="L18" s="194"/>
      <c r="M18" s="194"/>
      <c r="N18" s="194"/>
      <c r="O18" s="195">
        <f t="shared" si="2"/>
        <v>0</v>
      </c>
      <c r="P18" s="196" t="e">
        <f t="shared" si="3"/>
        <v>#DIV/0!</v>
      </c>
      <c r="Q18" s="208">
        <f t="shared" si="4"/>
        <v>5</v>
      </c>
      <c r="S18" s="69">
        <v>4</v>
      </c>
      <c r="T18" s="46" t="str">
        <f t="shared" ca="1" si="5"/>
        <v/>
      </c>
      <c r="U18" s="47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54" t="str">
        <f ca="1">IFERROR(tblResultCalib[[#This Row],[Promedio Patrón]]+tblResultCalib[[#This Row],[Corrección patrón]],"")</f>
        <v/>
      </c>
      <c r="W18" s="150" t="str">
        <f t="shared" ca="1" si="1"/>
        <v/>
      </c>
      <c r="X18" s="144" t="str">
        <f ca="1">IFERROR(tblResultCalib[[#This Row],[Patrón corregido]]-tblResultCalib[[#This Row],[Promedio equipo]],"")</f>
        <v/>
      </c>
      <c r="Y18" s="145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5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1" t="s">
        <v>168</v>
      </c>
      <c r="AF18" s="68" t="str">
        <f ca="1">IFERROR(INDEX($T$37:$T$51,MATCH(AF$17,$T$37:OFFSET($T$37,NumPuntosCalib-1,0),1)),"")</f>
        <v/>
      </c>
      <c r="AG18" s="68" t="str">
        <f ca="1">IFERROR(INDEX($T$37:$T$51,MATCH(AG$17,$T$37:OFFSET($T$37,NumPuntosCalib-1,0),1)),"")</f>
        <v/>
      </c>
      <c r="AH18" s="68" t="str">
        <f ca="1">IFERROR(INDEX($T$37:$T$51,MATCH(AH$17,$T$37:OFFSET($T$37,NumPuntosCalib-1,0),1)),"")</f>
        <v/>
      </c>
      <c r="AI18" s="68" t="str">
        <f ca="1">IFERROR(INDEX($T$37:$T$51,MATCH(AI$17,$T$37:OFFSET($T$37,NumPuntosCalib-1,0),1)),"")</f>
        <v/>
      </c>
      <c r="AJ18" s="68" t="str">
        <f ca="1">IFERROR(INDEX($T$37:$T$51,MATCH(AJ$17,$T$37:OFFSET($T$37,NumPuntosCalib-1,0),1)),"")</f>
        <v/>
      </c>
      <c r="AK18" s="68" t="str">
        <f ca="1">IFERROR(INDEX($T$37:$T$51,MATCH(AK$17,$T$37:OFFSET($T$37,NumPuntosCalib-1,0),1)),"")</f>
        <v/>
      </c>
      <c r="AL18" s="68" t="str">
        <f ca="1">IFERROR(INDEX($T$37:$T$51,MATCH(AL$17,$T$37:OFFSET($T$37,NumPuntosCalib-1,0),1)),"")</f>
        <v/>
      </c>
      <c r="AM18" s="68" t="str">
        <f ca="1">IFERROR(INDEX($T$37:$T$51,MATCH(AM$17,$T$37:OFFSET($T$37,NumPuntosCalib-1,0),1)),"")</f>
        <v/>
      </c>
      <c r="AN18" s="68" t="str">
        <f ca="1">IFERROR(INDEX($T$37:$T$51,MATCH(AN$17,$T$37:OFFSET($T$37,NumPuntosCalib-1,0),1)),"")</f>
        <v/>
      </c>
      <c r="AO18" s="68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7"/>
      <c r="D19" s="217"/>
      <c r="E19" s="217"/>
      <c r="F19" s="217"/>
      <c r="G19" s="217"/>
      <c r="H19" s="217"/>
      <c r="I19" s="217"/>
      <c r="J19" s="217"/>
      <c r="K19" s="194"/>
      <c r="L19" s="194"/>
      <c r="M19" s="194"/>
      <c r="N19" s="194"/>
      <c r="O19" s="195">
        <f t="shared" si="2"/>
        <v>0</v>
      </c>
      <c r="P19" s="196" t="e">
        <f t="shared" si="3"/>
        <v>#DIV/0!</v>
      </c>
      <c r="Q19" s="208">
        <f t="shared" si="4"/>
        <v>5</v>
      </c>
      <c r="S19" s="69">
        <v>5</v>
      </c>
      <c r="T19" s="46" t="str">
        <f t="shared" ca="1" si="5"/>
        <v/>
      </c>
      <c r="U19" s="47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54" t="str">
        <f ca="1">IFERROR(tblResultCalib[[#This Row],[Promedio Patrón]]+tblResultCalib[[#This Row],[Corrección patrón]],"")</f>
        <v/>
      </c>
      <c r="W19" s="150" t="str">
        <f t="shared" ca="1" si="1"/>
        <v/>
      </c>
      <c r="X19" s="144" t="str">
        <f ca="1">IFERROR(tblResultCalib[[#This Row],[Patrón corregido]]-tblResultCalib[[#This Row],[Promedio equipo]],"")</f>
        <v/>
      </c>
      <c r="Y19" s="145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5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1" t="s">
        <v>170</v>
      </c>
      <c r="AF19" s="68" t="str">
        <f ca="1">IFERROR(INDEX($V$37:$V$51,MATCH(AF$17,$T$37:OFFSET($T$37,NumPuntosCalib-1,0),1)),"")</f>
        <v/>
      </c>
      <c r="AG19" s="68" t="str">
        <f ca="1">IFERROR(INDEX($V$37:$V$51,MATCH(AG$17,$T$37:OFFSET($T$37,NumPuntosCalib-1,0),1)),"")</f>
        <v/>
      </c>
      <c r="AH19" s="68" t="str">
        <f ca="1">IFERROR(INDEX($V$37:$V$51,MATCH(AH$17,$T$37:OFFSET($T$37,NumPuntosCalib-1,0),1)),"")</f>
        <v/>
      </c>
      <c r="AI19" s="68" t="str">
        <f ca="1">IFERROR(INDEX($V$37:$V$51,MATCH(AI$17,$T$37:OFFSET($T$37,NumPuntosCalib-1,0),1)),"")</f>
        <v/>
      </c>
      <c r="AJ19" s="68" t="str">
        <f ca="1">IFERROR(INDEX($V$37:$V$51,MATCH(AJ$17,$T$37:OFFSET($T$37,NumPuntosCalib-1,0),1)),"")</f>
        <v/>
      </c>
      <c r="AK19" s="68" t="str">
        <f ca="1">IFERROR(INDEX($V$37:$V$51,MATCH(AK$17,$T$37:OFFSET($T$37,NumPuntosCalib-1,0),1)),"")</f>
        <v/>
      </c>
      <c r="AL19" s="68" t="str">
        <f ca="1">IFERROR(INDEX($V$37:$V$51,MATCH(AL$17,$T$37:OFFSET($T$37,NumPuntosCalib-1,0),1)),"")</f>
        <v/>
      </c>
      <c r="AM19" s="68" t="str">
        <f ca="1">IFERROR(INDEX($V$37:$V$51,MATCH(AM$17,$T$37:OFFSET($T$37,NumPuntosCalib-1,0),1)),"")</f>
        <v/>
      </c>
      <c r="AN19" s="68" t="str">
        <f ca="1">IFERROR(INDEX($V$37:$V$51,MATCH(AN$17,$T$37:OFFSET($T$37,NumPuntosCalib-1,0),1)),"")</f>
        <v/>
      </c>
      <c r="AO19" s="68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7"/>
      <c r="D20" s="217"/>
      <c r="E20" s="217"/>
      <c r="F20" s="217"/>
      <c r="G20" s="217"/>
      <c r="H20" s="217"/>
      <c r="I20" s="194"/>
      <c r="J20" s="217"/>
      <c r="K20" s="194"/>
      <c r="L20" s="194"/>
      <c r="M20" s="194"/>
      <c r="N20" s="194"/>
      <c r="O20" s="195">
        <f t="shared" si="2"/>
        <v>0</v>
      </c>
      <c r="P20" s="196" t="e">
        <f t="shared" si="3"/>
        <v>#DIV/0!</v>
      </c>
      <c r="Q20" s="208">
        <f t="shared" si="4"/>
        <v>5</v>
      </c>
      <c r="S20" s="69">
        <v>6</v>
      </c>
      <c r="T20" s="46" t="str">
        <f t="shared" ca="1" si="5"/>
        <v/>
      </c>
      <c r="U20" s="47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54" t="str">
        <f ca="1">IFERROR(tblResultCalib[[#This Row],[Promedio Patrón]]+tblResultCalib[[#This Row],[Corrección patrón]],"")</f>
        <v/>
      </c>
      <c r="W20" s="150" t="str">
        <f t="shared" ca="1" si="1"/>
        <v/>
      </c>
      <c r="X20" s="144" t="str">
        <f ca="1">IFERROR(tblResultCalib[[#This Row],[Patrón corregido]]-tblResultCalib[[#This Row],[Promedio equipo]],"")</f>
        <v/>
      </c>
      <c r="Y20" s="145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5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1" t="s">
        <v>169</v>
      </c>
      <c r="AF20" s="68" t="str">
        <f ca="1">IFERROR(INDEX($T$37:$T$51,MATCH(AF$17,$T$37:OFFSET($T$37,NumPuntosCalib-1,0),1)+1),"")</f>
        <v/>
      </c>
      <c r="AG20" s="68" t="str">
        <f ca="1">IFERROR(INDEX($T$37:$T$51,MATCH(AG$17,$T$37:OFFSET($T$37,NumPuntosCalib-1,0),1)+1),"")</f>
        <v/>
      </c>
      <c r="AH20" s="68" t="str">
        <f ca="1">IFERROR(INDEX($T$37:$T$51,MATCH(AH$17,$T$37:OFFSET($T$37,NumPuntosCalib-1,0),1)+1),"")</f>
        <v/>
      </c>
      <c r="AI20" s="68" t="str">
        <f ca="1">IFERROR(INDEX($T$37:$T$51,MATCH(AI$17,$T$37:OFFSET($T$37,NumPuntosCalib-1,0),1)+1),"")</f>
        <v/>
      </c>
      <c r="AJ20" s="68" t="str">
        <f ca="1">IFERROR(INDEX($T$37:$T$51,MATCH(AJ$17,$T$37:OFFSET($T$37,NumPuntosCalib-1,0),1)+1),"")</f>
        <v/>
      </c>
      <c r="AK20" s="68" t="str">
        <f ca="1">IFERROR(INDEX($T$37:$T$51,MATCH(AK$17,$T$37:OFFSET($T$37,NumPuntosCalib-1,0),1)+1),"")</f>
        <v/>
      </c>
      <c r="AL20" s="68" t="str">
        <f ca="1">IFERROR(INDEX($T$37:$T$51,MATCH(AL$17,$T$37:OFFSET($T$37,NumPuntosCalib-1,0),1)+1),"")</f>
        <v/>
      </c>
      <c r="AM20" s="68" t="str">
        <f ca="1">IFERROR(INDEX($T$37:$T$51,MATCH(AM$17,$T$37:OFFSET($T$37,NumPuntosCalib-1,0),1)+1),"")</f>
        <v/>
      </c>
      <c r="AN20" s="68" t="str">
        <f ca="1">IFERROR(INDEX($T$37:$T$51,MATCH(AN$17,$T$37:OFFSET($T$37,NumPuntosCalib-1,0),1)+1),"")</f>
        <v/>
      </c>
      <c r="AO20" s="68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7"/>
      <c r="D21" s="217"/>
      <c r="E21" s="217"/>
      <c r="F21" s="217"/>
      <c r="G21" s="217"/>
      <c r="H21" s="217"/>
      <c r="I21" s="217"/>
      <c r="J21" s="217"/>
      <c r="K21" s="194"/>
      <c r="L21" s="194"/>
      <c r="M21" s="194"/>
      <c r="N21" s="194"/>
      <c r="O21" s="195">
        <f t="shared" si="2"/>
        <v>0</v>
      </c>
      <c r="P21" s="196" t="e">
        <f t="shared" si="3"/>
        <v>#DIV/0!</v>
      </c>
      <c r="Q21" s="208">
        <f t="shared" si="4"/>
        <v>5</v>
      </c>
      <c r="S21" s="69">
        <v>7</v>
      </c>
      <c r="T21" s="46" t="str">
        <f t="shared" ca="1" si="5"/>
        <v/>
      </c>
      <c r="U21" s="47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54" t="str">
        <f ca="1">IFERROR(tblResultCalib[[#This Row],[Promedio Patrón]]+tblResultCalib[[#This Row],[Corrección patrón]],"")</f>
        <v/>
      </c>
      <c r="W21" s="150" t="str">
        <f t="shared" ca="1" si="1"/>
        <v/>
      </c>
      <c r="X21" s="144" t="str">
        <f ca="1">IFERROR(tblResultCalib[[#This Row],[Patrón corregido]]-tblResultCalib[[#This Row],[Promedio equipo]],"")</f>
        <v/>
      </c>
      <c r="Y21" s="145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5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1" t="s">
        <v>171</v>
      </c>
      <c r="AF21" s="68" t="str">
        <f ca="1">IFERROR(INDEX($V$37:$V$51,MATCH(AF$6,$T$37:OFFSET($T$37,NumPuntosCalib-1,0),1)+1),"")</f>
        <v/>
      </c>
      <c r="AG21" s="68" t="str">
        <f ca="1">IFERROR(INDEX($V$37:$V$51,MATCH(AG$6,$T$37:OFFSET($T$37,NumPuntosCalib-1,0),1)+1),"")</f>
        <v/>
      </c>
      <c r="AH21" s="68" t="str">
        <f ca="1">IFERROR(INDEX($V$37:$V$51,MATCH(AH$6,$T$37:OFFSET($T$37,NumPuntosCalib-1,0),1)+1),"")</f>
        <v/>
      </c>
      <c r="AI21" s="68" t="str">
        <f ca="1">IFERROR(INDEX($V$37:$V$51,MATCH(AI$6,$T$37:OFFSET($T$37,NumPuntosCalib-1,0),1)+1),"")</f>
        <v/>
      </c>
      <c r="AJ21" s="68" t="str">
        <f ca="1">IFERROR(INDEX($V$37:$V$51,MATCH(AJ$6,$T$37:OFFSET($T$37,NumPuntosCalib-1,0),1)+1),"")</f>
        <v/>
      </c>
      <c r="AK21" s="68" t="str">
        <f ca="1">IFERROR(INDEX($V$37:$V$51,MATCH(AK$6,$T$37:OFFSET($T$37,NumPuntosCalib-1,0),1)+1),"")</f>
        <v/>
      </c>
      <c r="AL21" s="68" t="str">
        <f ca="1">IFERROR(INDEX($V$37:$V$51,MATCH(AL$6,$T$37:OFFSET($T$37,NumPuntosCalib-1,0),1)+1),"")</f>
        <v/>
      </c>
      <c r="AM21" s="68" t="str">
        <f ca="1">IFERROR(INDEX($V$37:$V$51,MATCH(AM$6,$T$37:OFFSET($T$37,NumPuntosCalib-1,0),1)+1),"")</f>
        <v/>
      </c>
      <c r="AN21" s="68" t="str">
        <f ca="1">IFERROR(INDEX($V$37:$V$51,MATCH(AN$6,$T$37:OFFSET($T$37,NumPuntosCalib-1,0),1)+1),"")</f>
        <v/>
      </c>
      <c r="AO21" s="68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7"/>
      <c r="D22" s="217"/>
      <c r="E22" s="217"/>
      <c r="F22" s="217"/>
      <c r="G22" s="217"/>
      <c r="H22" s="217"/>
      <c r="I22" s="194"/>
      <c r="J22" s="194"/>
      <c r="K22" s="194"/>
      <c r="L22" s="194"/>
      <c r="M22" s="194"/>
      <c r="N22" s="194"/>
      <c r="O22" s="195">
        <f t="shared" si="2"/>
        <v>0</v>
      </c>
      <c r="P22" s="196" t="e">
        <f t="shared" si="3"/>
        <v>#DIV/0!</v>
      </c>
      <c r="Q22" s="208">
        <f t="shared" si="4"/>
        <v>5</v>
      </c>
      <c r="S22" s="69">
        <v>8</v>
      </c>
      <c r="T22" s="46" t="str">
        <f t="shared" ca="1" si="5"/>
        <v/>
      </c>
      <c r="U22" s="47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0" t="str">
        <f ca="1">IFERROR(tblResultCalib[[#This Row],[Promedio Patrón]]+tblResultCalib[[#This Row],[Corrección patrón]],"")</f>
        <v/>
      </c>
      <c r="W22" s="150" t="str">
        <f t="shared" ca="1" si="1"/>
        <v/>
      </c>
      <c r="X22" s="144" t="str">
        <f ca="1">IFERROR(tblResultCalib[[#This Row],[Patrón corregido]]-tblResultCalib[[#This Row],[Promedio equipo]],"")</f>
        <v/>
      </c>
      <c r="Y22" s="144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5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1" t="s">
        <v>172</v>
      </c>
      <c r="AF22" s="119" t="str">
        <f t="shared" ref="AF22:AO22" ca="1" si="6">IFERROR(AF19+(AF17-AF18)*(AF21-AF19)/(AF20-AF18),"")</f>
        <v/>
      </c>
      <c r="AG22" s="119" t="str">
        <f t="shared" ca="1" si="6"/>
        <v/>
      </c>
      <c r="AH22" s="119" t="str">
        <f t="shared" ca="1" si="6"/>
        <v/>
      </c>
      <c r="AI22" s="119" t="str">
        <f t="shared" ca="1" si="6"/>
        <v/>
      </c>
      <c r="AJ22" s="119" t="str">
        <f t="shared" ca="1" si="6"/>
        <v/>
      </c>
      <c r="AK22" s="119" t="str">
        <f t="shared" ca="1" si="6"/>
        <v/>
      </c>
      <c r="AL22" s="119" t="str">
        <f t="shared" ca="1" si="6"/>
        <v/>
      </c>
      <c r="AM22" s="119" t="str">
        <f t="shared" ca="1" si="6"/>
        <v/>
      </c>
      <c r="AN22" s="119" t="str">
        <f t="shared" ca="1" si="6"/>
        <v/>
      </c>
      <c r="AO22" s="119" t="str">
        <f t="shared" ca="1" si="6"/>
        <v/>
      </c>
    </row>
    <row r="23" spans="2:41" x14ac:dyDescent="0.3">
      <c r="B23" s="21">
        <v>9</v>
      </c>
      <c r="C23" s="217"/>
      <c r="D23" s="217"/>
      <c r="E23" s="217"/>
      <c r="F23" s="217"/>
      <c r="G23" s="217"/>
      <c r="H23" s="217"/>
      <c r="I23" s="194"/>
      <c r="J23" s="194"/>
      <c r="K23" s="194"/>
      <c r="L23" s="194"/>
      <c r="M23" s="194"/>
      <c r="N23" s="194"/>
      <c r="O23" s="195">
        <f t="shared" si="2"/>
        <v>0</v>
      </c>
      <c r="P23" s="196" t="e">
        <f t="shared" si="3"/>
        <v>#DIV/0!</v>
      </c>
      <c r="Q23" s="208">
        <f t="shared" si="4"/>
        <v>5</v>
      </c>
      <c r="S23" s="69">
        <v>9</v>
      </c>
      <c r="T23" s="46" t="str">
        <f t="shared" ca="1" si="5"/>
        <v/>
      </c>
      <c r="U23" s="47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0" t="str">
        <f ca="1">IFERROR(tblResultCalib[[#This Row],[Promedio Patrón]]+tblResultCalib[[#This Row],[Corrección patrón]],"")</f>
        <v/>
      </c>
      <c r="W23" s="150" t="str">
        <f t="shared" ca="1" si="1"/>
        <v/>
      </c>
      <c r="X23" s="144" t="str">
        <f ca="1">IFERROR(tblResultCalib[[#This Row],[Patrón corregido]]-tblResultCalib[[#This Row],[Promedio equipo]],"")</f>
        <v/>
      </c>
      <c r="Y23" s="144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5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7"/>
      <c r="D24" s="217"/>
      <c r="E24" s="217"/>
      <c r="F24" s="217"/>
      <c r="G24" s="217"/>
      <c r="H24" s="217"/>
      <c r="I24" s="194"/>
      <c r="J24" s="194"/>
      <c r="K24" s="194"/>
      <c r="L24" s="194"/>
      <c r="M24" s="194"/>
      <c r="N24" s="194"/>
      <c r="O24" s="195">
        <f t="shared" si="2"/>
        <v>0</v>
      </c>
      <c r="P24" s="196" t="e">
        <f t="shared" si="3"/>
        <v>#DIV/0!</v>
      </c>
      <c r="Q24" s="208">
        <f t="shared" si="4"/>
        <v>5</v>
      </c>
      <c r="S24" s="69">
        <v>10</v>
      </c>
      <c r="T24" s="46" t="str">
        <f t="shared" ca="1" si="5"/>
        <v/>
      </c>
      <c r="U24" s="47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1" t="str">
        <f ca="1">IFERROR(tblResultCalib[[#This Row],[Promedio Patrón]]+tblResultCalib[[#This Row],[Corrección patrón]],"")</f>
        <v/>
      </c>
      <c r="W24" s="151" t="str">
        <f t="shared" ca="1" si="1"/>
        <v/>
      </c>
      <c r="X24" s="146" t="str">
        <f ca="1">IFERROR(tblResultCalib[[#This Row],[Patrón corregido]]-tblResultCalib[[#This Row],[Promedio equipo]],"")</f>
        <v/>
      </c>
      <c r="Y24" s="146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4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37"/>
      <c r="D25" s="237"/>
      <c r="E25" s="237"/>
      <c r="F25" s="237"/>
      <c r="G25" s="237"/>
      <c r="H25" s="217"/>
      <c r="I25" s="194"/>
      <c r="J25" s="194"/>
      <c r="K25" s="194"/>
      <c r="L25" s="194"/>
      <c r="M25" s="194"/>
      <c r="N25" s="194"/>
      <c r="O25" s="195">
        <f t="shared" si="2"/>
        <v>0</v>
      </c>
      <c r="P25" s="196" t="e">
        <f t="shared" si="3"/>
        <v>#DIV/0!</v>
      </c>
      <c r="Q25" s="208">
        <f t="shared" si="4"/>
        <v>5</v>
      </c>
      <c r="S25" s="69">
        <v>11</v>
      </c>
      <c r="T25" s="46" t="str">
        <f t="shared" ca="1" si="5"/>
        <v/>
      </c>
      <c r="U25" s="47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6" t="str">
        <f ca="1">IFERROR(tblResultCalib[[#This Row],[Promedio Patrón]]+tblResultCalib[[#This Row],[Corrección patrón]],"")</f>
        <v/>
      </c>
      <c r="W25" s="46" t="str">
        <f t="shared" ca="1" si="1"/>
        <v/>
      </c>
      <c r="X25" s="47" t="str">
        <f ca="1">IFERROR(tblResultCalib[[#This Row],[Patrón corregido]]-tblResultCalib[[#This Row],[Promedio equipo]],"")</f>
        <v/>
      </c>
      <c r="Y25" s="47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7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395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37"/>
      <c r="D26" s="237"/>
      <c r="E26" s="237"/>
      <c r="F26" s="237"/>
      <c r="G26" s="237"/>
      <c r="H26" s="217"/>
      <c r="I26" s="194"/>
      <c r="J26" s="194"/>
      <c r="K26" s="194"/>
      <c r="L26" s="194"/>
      <c r="M26" s="194"/>
      <c r="N26" s="194"/>
      <c r="O26" s="195">
        <f t="shared" si="2"/>
        <v>0</v>
      </c>
      <c r="P26" s="196" t="e">
        <f t="shared" si="3"/>
        <v>#DIV/0!</v>
      </c>
      <c r="Q26" s="208">
        <f t="shared" si="4"/>
        <v>5</v>
      </c>
      <c r="S26" s="69">
        <v>12</v>
      </c>
      <c r="T26" s="46" t="str">
        <f t="shared" ca="1" si="5"/>
        <v/>
      </c>
      <c r="U26" s="47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6" t="str">
        <f ca="1">IFERROR(tblResultCalib[[#This Row],[Promedio Patrón]]+tblResultCalib[[#This Row],[Corrección patrón]],"")</f>
        <v/>
      </c>
      <c r="W26" s="46" t="str">
        <f t="shared" ca="1" si="1"/>
        <v/>
      </c>
      <c r="X26" s="47" t="str">
        <f ca="1">IFERROR(tblResultCalib[[#This Row],[Patrón corregido]]-tblResultCalib[[#This Row],[Promedio equipo]],"")</f>
        <v/>
      </c>
      <c r="Y26" s="47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7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37"/>
      <c r="D27" s="237"/>
      <c r="E27" s="237"/>
      <c r="F27" s="237"/>
      <c r="G27" s="237"/>
      <c r="H27" s="217"/>
      <c r="I27" s="194"/>
      <c r="J27" s="194"/>
      <c r="K27" s="194"/>
      <c r="L27" s="194"/>
      <c r="M27" s="194"/>
      <c r="N27" s="194"/>
      <c r="O27" s="195">
        <f t="shared" si="2"/>
        <v>0</v>
      </c>
      <c r="P27" s="196" t="e">
        <f t="shared" si="3"/>
        <v>#DIV/0!</v>
      </c>
      <c r="Q27" s="208">
        <f t="shared" si="4"/>
        <v>5</v>
      </c>
      <c r="S27" s="69">
        <v>13</v>
      </c>
      <c r="T27" s="46" t="str">
        <f t="shared" ca="1" si="5"/>
        <v/>
      </c>
      <c r="U27" s="47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6" t="str">
        <f ca="1">IFERROR(tblResultCalib[[#This Row],[Promedio Patrón]]+tblResultCalib[[#This Row],[Corrección patrón]],"")</f>
        <v/>
      </c>
      <c r="W27" s="46" t="str">
        <f t="shared" ca="1" si="1"/>
        <v/>
      </c>
      <c r="X27" s="47" t="str">
        <f ca="1">IFERROR(tblResultCalib[[#This Row],[Patrón corregido]]-tblResultCalib[[#This Row],[Promedio equipo]],"")</f>
        <v/>
      </c>
      <c r="Y27" s="47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7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8" t="s">
        <v>173</v>
      </c>
      <c r="AF27" s="48">
        <v>1</v>
      </c>
      <c r="AG27" s="48">
        <v>2</v>
      </c>
      <c r="AH27" s="48">
        <v>3</v>
      </c>
      <c r="AI27" s="48">
        <v>4</v>
      </c>
      <c r="AJ27" s="48">
        <v>5</v>
      </c>
      <c r="AK27" s="48">
        <v>6</v>
      </c>
      <c r="AL27" s="48">
        <v>7</v>
      </c>
      <c r="AM27" s="48">
        <v>8</v>
      </c>
      <c r="AN27" s="48">
        <v>9</v>
      </c>
      <c r="AO27" s="48">
        <v>10</v>
      </c>
    </row>
    <row r="28" spans="2:41" x14ac:dyDescent="0.3">
      <c r="B28" s="21">
        <v>14</v>
      </c>
      <c r="C28" s="237"/>
      <c r="D28" s="237"/>
      <c r="E28" s="237"/>
      <c r="F28" s="237"/>
      <c r="G28" s="237"/>
      <c r="H28" s="217"/>
      <c r="I28" s="194"/>
      <c r="J28" s="194"/>
      <c r="K28" s="194"/>
      <c r="L28" s="194"/>
      <c r="M28" s="194"/>
      <c r="N28" s="194"/>
      <c r="O28" s="195">
        <f t="shared" si="2"/>
        <v>0</v>
      </c>
      <c r="P28" s="196" t="e">
        <f t="shared" si="3"/>
        <v>#DIV/0!</v>
      </c>
      <c r="Q28" s="208">
        <f t="shared" si="4"/>
        <v>5</v>
      </c>
      <c r="S28" s="69">
        <v>14</v>
      </c>
      <c r="T28" s="46" t="str">
        <f t="shared" ca="1" si="5"/>
        <v/>
      </c>
      <c r="U28" s="47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6" t="str">
        <f ca="1">IFERROR(tblResultCalib[[#This Row],[Promedio Patrón]]+tblResultCalib[[#This Row],[Corrección patrón]],"")</f>
        <v/>
      </c>
      <c r="W28" s="46" t="str">
        <f t="shared" ca="1" si="1"/>
        <v/>
      </c>
      <c r="X28" s="47" t="str">
        <f ca="1">IFERROR(tblResultCalib[[#This Row],[Patrón corregido]]-tblResultCalib[[#This Row],[Promedio equipo]],"")</f>
        <v/>
      </c>
      <c r="Y28" s="47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7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1" t="s">
        <v>167</v>
      </c>
      <c r="AF28" s="72" t="str">
        <f t="array" aca="1" ref="AF28:AO28" ca="1">TRANSPOSE($T$15:$T$29)</f>
        <v/>
      </c>
      <c r="AG28" s="72" t="str">
        <f ca="1"/>
        <v/>
      </c>
      <c r="AH28" s="72" t="str">
        <f ca="1"/>
        <v/>
      </c>
      <c r="AI28" s="72" t="str">
        <f ca="1"/>
        <v/>
      </c>
      <c r="AJ28" s="72" t="str">
        <f ca="1"/>
        <v/>
      </c>
      <c r="AK28" s="72" t="str">
        <f ca="1"/>
        <v/>
      </c>
      <c r="AL28" s="67" t="str">
        <f ca="1"/>
        <v/>
      </c>
      <c r="AM28" s="67" t="str">
        <f ca="1"/>
        <v/>
      </c>
      <c r="AN28" s="67" t="str">
        <f ca="1"/>
        <v/>
      </c>
      <c r="AO28" s="67" t="str">
        <f ca="1"/>
        <v/>
      </c>
    </row>
    <row r="29" spans="2:41" x14ac:dyDescent="0.3">
      <c r="B29" s="21">
        <v>15</v>
      </c>
      <c r="C29" s="215"/>
      <c r="D29" s="215"/>
      <c r="E29" s="215"/>
      <c r="F29" s="215"/>
      <c r="G29" s="215"/>
      <c r="H29" s="194"/>
      <c r="I29" s="194"/>
      <c r="J29" s="194"/>
      <c r="K29" s="194"/>
      <c r="L29" s="194"/>
      <c r="M29" s="194"/>
      <c r="N29" s="194"/>
      <c r="O29" s="195">
        <f t="shared" si="2"/>
        <v>0</v>
      </c>
      <c r="P29" s="196" t="e">
        <f t="shared" si="3"/>
        <v>#DIV/0!</v>
      </c>
      <c r="Q29" s="208">
        <f t="shared" si="4"/>
        <v>5</v>
      </c>
      <c r="S29" s="182">
        <v>15</v>
      </c>
      <c r="T29" s="46" t="str">
        <f t="shared" ca="1" si="5"/>
        <v/>
      </c>
      <c r="U29" s="184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3" t="str">
        <f ca="1">IFERROR(tblResultCalib[[#This Row],[Promedio Patrón]]+tblResultCalib[[#This Row],[Corrección patrón]],"")</f>
        <v/>
      </c>
      <c r="W29" s="183" t="str">
        <f t="shared" ca="1" si="1"/>
        <v/>
      </c>
      <c r="X29" s="184" t="str">
        <f ca="1">IFERROR(tblResultCalib[[#This Row],[Patrón corregido]]-tblResultCalib[[#This Row],[Promedio equipo]],"")</f>
        <v/>
      </c>
      <c r="Y29" s="184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7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8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5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1" t="s">
        <v>168</v>
      </c>
      <c r="AF29" s="68" t="str">
        <f ca="1">IFERROR(INDEX($T$37:$T$51,MATCH(AF$28,$T$37:OFFSET($T$37,NumPuntosCalib-1,0),1)),"")</f>
        <v/>
      </c>
      <c r="AG29" s="68" t="str">
        <f ca="1">IFERROR(INDEX($T$37:$T$51,MATCH(AG$28,$T$37:OFFSET($T$37,NumPuntosCalib-1,0),1)),"")</f>
        <v/>
      </c>
      <c r="AH29" s="68" t="str">
        <f ca="1">IFERROR(INDEX($T$37:$T$51,MATCH(AH$28,$T$37:OFFSET($T$37,NumPuntosCalib-1,0),1)),"")</f>
        <v/>
      </c>
      <c r="AI29" s="68" t="str">
        <f ca="1">IFERROR(INDEX($T$37:$T$51,MATCH(AI$28,$T$37:OFFSET($T$37,NumPuntosCalib-1,0),1)),"")</f>
        <v/>
      </c>
      <c r="AJ29" s="68" t="str">
        <f ca="1">IFERROR(INDEX($T$37:$T$51,MATCH(AJ$28,$T$37:OFFSET($T$37,NumPuntosCalib-1,0),1)),"")</f>
        <v/>
      </c>
      <c r="AK29" s="68" t="str">
        <f ca="1">IFERROR(INDEX($T$37:$T$51,MATCH(AK$28,$T$37:OFFSET($T$37,NumPuntosCalib-1,0),1)),"")</f>
        <v/>
      </c>
      <c r="AL29" s="68" t="str">
        <f ca="1">IFERROR(INDEX($T$37:$T$51,MATCH(AL$28,$T$37:OFFSET($T$37,NumPuntosCalib-1,0),1)),"")</f>
        <v/>
      </c>
      <c r="AM29" s="68" t="str">
        <f ca="1">IFERROR(INDEX($T$37:$T$51,MATCH(AM$28,$T$37:OFFSET($T$37,NumPuntosCalib-1,0),1)),"")</f>
        <v/>
      </c>
      <c r="AN29" s="68" t="str">
        <f ca="1">IFERROR(INDEX($T$37:$T$51,MATCH(AN$28,$T$37:OFFSET($T$37,NumPuntosCalib-1,0),1)),"")</f>
        <v/>
      </c>
      <c r="AO29" s="68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1" t="s">
        <v>170</v>
      </c>
      <c r="AF30" s="68" t="str">
        <f ca="1">IFERROR(INDEX($W$37:$W$51,MATCH(AF$28,$T$37:OFFSET($T$37,NumPuntosCalib-1,0),1)),"")</f>
        <v/>
      </c>
      <c r="AG30" s="68" t="str">
        <f ca="1">IFERROR(INDEX($W$37:$W$51,MATCH(AG$28,$T$37:OFFSET($T$37,NumPuntosCalib-1,0),1)),"")</f>
        <v/>
      </c>
      <c r="AH30" s="68" t="str">
        <f ca="1">IFERROR(INDEX($W$37:$W$51,MATCH(AH$28,$T$37:OFFSET($T$37,NumPuntosCalib-1,0),1)),"")</f>
        <v/>
      </c>
      <c r="AI30" s="68" t="str">
        <f ca="1">IFERROR(INDEX($W$37:$W$51,MATCH(AI$28,$T$37:OFFSET($T$37,NumPuntosCalib-1,0),1)),"")</f>
        <v/>
      </c>
      <c r="AJ30" s="68" t="str">
        <f ca="1">IFERROR(INDEX($W$37:$W$51,MATCH(AJ$28,$T$37:OFFSET($T$37,NumPuntosCalib-1,0),1)),"")</f>
        <v/>
      </c>
      <c r="AK30" s="68" t="str">
        <f ca="1">IFERROR(INDEX($W$37:$W$51,MATCH(AK$28,$T$37:OFFSET($T$37,NumPuntosCalib-1,0),1)),"")</f>
        <v/>
      </c>
      <c r="AL30" s="68" t="str">
        <f ca="1">IFERROR(INDEX($W$37:$W$51,MATCH(AL$28,$T$37:OFFSET($T$37,NumPuntosCalib-1,0),1)),"")</f>
        <v/>
      </c>
      <c r="AM30" s="68" t="str">
        <f ca="1">IFERROR(INDEX($W$37:$W$51,MATCH(AM$28,$T$37:OFFSET($T$37,NumPuntosCalib-1,0),1)),"")</f>
        <v/>
      </c>
      <c r="AN30" s="68" t="str">
        <f ca="1">IFERROR(INDEX($W$37:$W$51,MATCH(AN$28,$T$37:OFFSET($T$37,NumPuntosCalib-1,0),1)),"")</f>
        <v/>
      </c>
      <c r="AO30" s="68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1" t="s">
        <v>169</v>
      </c>
      <c r="AF31" s="68" t="str">
        <f ca="1">IFERROR(INDEX($T$37:$T$51,MATCH(AF$28,$T$37:OFFSET($T$37,NumPuntosCalib-1,0),1)+1),"")</f>
        <v/>
      </c>
      <c r="AG31" s="68" t="str">
        <f ca="1">IFERROR(INDEX($T$37:$T$51,MATCH(AG$28,$T$37:OFFSET($T$37,NumPuntosCalib-1,0),1)+1),"")</f>
        <v/>
      </c>
      <c r="AH31" s="68" t="str">
        <f ca="1">IFERROR(INDEX($T$37:$T$51,MATCH(AH$28,$T$37:OFFSET($T$37,NumPuntosCalib-1,0),1)+1),"")</f>
        <v/>
      </c>
      <c r="AI31" s="68" t="str">
        <f ca="1">IFERROR(INDEX($T$37:$T$51,MATCH(AI$28,$T$37:OFFSET($T$37,NumPuntosCalib-1,0),1)+1),"")</f>
        <v/>
      </c>
      <c r="AJ31" s="68" t="str">
        <f ca="1">IFERROR(INDEX($T$37:$T$51,MATCH(AJ$28,$T$37:OFFSET($T$37,NumPuntosCalib-1,0),1)+1),"")</f>
        <v/>
      </c>
      <c r="AK31" s="68" t="str">
        <f ca="1">IFERROR(INDEX($T$37:$T$51,MATCH(AK$28,$T$37:OFFSET($T$37,NumPuntosCalib-1,0),1)+1),"")</f>
        <v/>
      </c>
      <c r="AL31" s="68" t="str">
        <f ca="1">IFERROR(INDEX($T$37:$T$51,MATCH(AL$28,$T$37:OFFSET($T$37,NumPuntosCalib-1,0),1)+1),"")</f>
        <v/>
      </c>
      <c r="AM31" s="68" t="str">
        <f ca="1">IFERROR(INDEX($T$37:$T$51,MATCH(AM$28,$T$37:OFFSET($T$37,NumPuntosCalib-1,0),1)+1),"")</f>
        <v/>
      </c>
      <c r="AN31" s="68" t="str">
        <f ca="1">IFERROR(INDEX($T$37:$T$51,MATCH(AN$28,$T$37:OFFSET($T$37,NumPuntosCalib-1,0),1)+1),"")</f>
        <v/>
      </c>
      <c r="AO31" s="68" t="str">
        <f ca="1">IFERROR(INDEX($T$37:$T$51,MATCH(AO$28,$T$37:OFFSET($T$37,NumPuntosCalib-1,0),1)+1),"")</f>
        <v/>
      </c>
    </row>
    <row r="32" spans="2:41" x14ac:dyDescent="0.3">
      <c r="AE32" s="71" t="s">
        <v>171</v>
      </c>
      <c r="AF32" s="68" t="str">
        <f ca="1">IFERROR(INDEX($W$37:$W$51,MATCH(AF$28,$T$37:OFFSET($T$37,NumPuntosCalib-1,0),1)+1),"")</f>
        <v/>
      </c>
      <c r="AG32" s="68" t="str">
        <f ca="1">IFERROR(INDEX($W$37:$W$51,MATCH(AG$28,$T$37:OFFSET($T$37,NumPuntosCalib-1,0),1)+1),"")</f>
        <v/>
      </c>
      <c r="AH32" s="68" t="str">
        <f ca="1">IFERROR(INDEX($W$37:$W$51,MATCH(AH$28,$T$37:OFFSET($T$37,NumPuntosCalib-1,0),1)+1),"")</f>
        <v/>
      </c>
      <c r="AI32" s="68" t="str">
        <f ca="1">IFERROR(INDEX($W$37:$W$51,MATCH(AI$28,$T$37:OFFSET($T$37,NumPuntosCalib-1,0),1)+1),"")</f>
        <v/>
      </c>
      <c r="AJ32" s="68" t="str">
        <f ca="1">IFERROR(INDEX($W$37:$W$51,MATCH(AJ$28,$T$37:OFFSET($T$37,NumPuntosCalib-1,0),1)+1),"")</f>
        <v/>
      </c>
      <c r="AK32" s="68" t="str">
        <f ca="1">IFERROR(INDEX($W$37:$W$51,MATCH(AK$28,$T$37:OFFSET($T$37,NumPuntosCalib-1,0),1)+1),"")</f>
        <v/>
      </c>
      <c r="AL32" s="68" t="str">
        <f ca="1">IFERROR(INDEX($W$37:$W$51,MATCH(AL$28,$T$37:OFFSET($T$37,NumPuntosCalib-1,0),1)+1),"")</f>
        <v/>
      </c>
      <c r="AM32" s="68" t="str">
        <f ca="1">IFERROR(INDEX($W$37:$W$51,MATCH(AM$28,$T$37:OFFSET($T$37,NumPuntosCalib-1,0),1)+1),"")</f>
        <v/>
      </c>
      <c r="AN32" s="68" t="str">
        <f ca="1">IFERROR(INDEX($W$37:$W$51,MATCH(AN$28,$T$37:OFFSET($T$37,NumPuntosCalib-1,0),1)+1),"")</f>
        <v/>
      </c>
      <c r="AO32" s="68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5"/>
      <c r="M33" s="205"/>
      <c r="S33" s="16"/>
      <c r="T33" s="16" t="s">
        <v>380</v>
      </c>
      <c r="U33" s="16"/>
      <c r="V33" s="16"/>
      <c r="W33" s="16" t="str">
        <f>CONCATENATE("[Todo en ", unidad,"]")</f>
        <v>[Todo en psi]</v>
      </c>
      <c r="Y33" s="16" t="s">
        <v>381</v>
      </c>
      <c r="Z33" s="16"/>
      <c r="AA33" s="16"/>
      <c r="AB33" s="16" t="str">
        <f>CONCATENATE("[Todo en ", unidad,"]")</f>
        <v>[Todo en psi]</v>
      </c>
      <c r="AE33" s="71" t="s">
        <v>172</v>
      </c>
      <c r="AF33" s="119" t="str">
        <f t="shared" ref="AF33:AO33" ca="1" si="7">IFERROR(AF30+(AF28-AF29)*(AF32-AF30)/(AF31-AF29),"")</f>
        <v/>
      </c>
      <c r="AG33" s="119" t="str">
        <f t="shared" ca="1" si="7"/>
        <v/>
      </c>
      <c r="AH33" s="119" t="str">
        <f t="shared" ca="1" si="7"/>
        <v/>
      </c>
      <c r="AI33" s="119" t="str">
        <f t="shared" ca="1" si="7"/>
        <v/>
      </c>
      <c r="AJ33" s="119" t="str">
        <f t="shared" ca="1" si="7"/>
        <v/>
      </c>
      <c r="AK33" s="119" t="str">
        <f t="shared" ca="1" si="7"/>
        <v/>
      </c>
      <c r="AL33" s="119" t="str">
        <f t="shared" ca="1" si="7"/>
        <v/>
      </c>
      <c r="AM33" s="119" t="str">
        <f t="shared" ca="1" si="7"/>
        <v/>
      </c>
      <c r="AN33" s="119" t="str">
        <f t="shared" ca="1" si="7"/>
        <v/>
      </c>
      <c r="AO33" s="119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352</v>
      </c>
      <c r="N35" s="16"/>
      <c r="O35" s="16"/>
      <c r="T35" s="28" t="s">
        <v>121</v>
      </c>
      <c r="U35" s="27" t="str">
        <f>I3</f>
        <v>NI-MCPP-06</v>
      </c>
      <c r="Z35" s="28" t="s">
        <v>121</v>
      </c>
      <c r="AA35" s="27">
        <f>I5</f>
        <v>0</v>
      </c>
    </row>
    <row r="36" spans="2:41" ht="44.4" x14ac:dyDescent="0.3">
      <c r="C36" s="73" t="s">
        <v>362</v>
      </c>
      <c r="D36" s="73" t="s">
        <v>363</v>
      </c>
      <c r="E36" s="73" t="s">
        <v>96</v>
      </c>
      <c r="F36" s="101" t="s">
        <v>174</v>
      </c>
      <c r="G36" s="98" t="s">
        <v>362</v>
      </c>
      <c r="H36" s="73" t="s">
        <v>363</v>
      </c>
      <c r="I36" s="73" t="s">
        <v>96</v>
      </c>
      <c r="J36" s="73" t="s">
        <v>174</v>
      </c>
      <c r="K36" s="73" t="s">
        <v>270</v>
      </c>
      <c r="M36" s="73" t="s">
        <v>141</v>
      </c>
      <c r="N36" s="50" t="s">
        <v>398</v>
      </c>
      <c r="O36" s="73" t="s">
        <v>275</v>
      </c>
      <c r="P36" s="73" t="s">
        <v>276</v>
      </c>
      <c r="Q36" s="73" t="s">
        <v>340</v>
      </c>
      <c r="S36" s="30" t="s">
        <v>102</v>
      </c>
      <c r="T36" s="48" t="s">
        <v>382</v>
      </c>
      <c r="U36" s="48" t="s">
        <v>240</v>
      </c>
      <c r="V36" s="48" t="s">
        <v>241</v>
      </c>
      <c r="W36" s="48" t="s">
        <v>160</v>
      </c>
      <c r="Y36" s="30" t="s">
        <v>102</v>
      </c>
      <c r="Z36" s="48" t="s">
        <v>382</v>
      </c>
      <c r="AA36" s="48" t="s">
        <v>240</v>
      </c>
      <c r="AB36" s="48" t="s">
        <v>241</v>
      </c>
      <c r="AC36" s="48" t="s">
        <v>160</v>
      </c>
      <c r="AE36" s="16" t="s">
        <v>396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49" t="str">
        <f>unidad</f>
        <v>psi</v>
      </c>
      <c r="D37" s="49" t="str">
        <f>unidad</f>
        <v>psi</v>
      </c>
      <c r="E37" s="49" t="str">
        <f>unidad</f>
        <v>psi</v>
      </c>
      <c r="F37" s="102" t="str">
        <f>unidad</f>
        <v>psi</v>
      </c>
      <c r="G37" s="99" t="s">
        <v>340</v>
      </c>
      <c r="H37" s="49" t="s">
        <v>340</v>
      </c>
      <c r="I37" s="49" t="s">
        <v>340</v>
      </c>
      <c r="J37" s="49" t="s">
        <v>340</v>
      </c>
      <c r="K37" s="49" t="str">
        <f>unidad</f>
        <v>psi</v>
      </c>
      <c r="M37" s="197" t="s">
        <v>275</v>
      </c>
      <c r="N37" s="193">
        <v>1</v>
      </c>
      <c r="O37" s="193">
        <v>1</v>
      </c>
      <c r="P37" s="193">
        <v>6.8947599999999998E-2</v>
      </c>
      <c r="Q37" s="28">
        <v>6.8947570000000002</v>
      </c>
      <c r="S37" s="21">
        <v>1</v>
      </c>
      <c r="T37" s="191">
        <f>INDEX(Cert_patrones[[#All],[Código Patrón]:[Deriva]],MATCH($U$35,Cert_patrones[Código Patrón],0)+S37,3)*coef_unidad</f>
        <v>-11.73</v>
      </c>
      <c r="U37" s="191">
        <f>INDEX(Cert_patrones[[#All],[Código Patrón]:[Deriva]],MATCH($U$35,Cert_patrones[Código Patrón],0)+S37,4)*coef_unidad</f>
        <v>0.27</v>
      </c>
      <c r="V37" s="191">
        <f>INDEX(Cert_patrones[[#All],[Código Patrón]:[Deriva]],MATCH($U$35,Cert_patrones[Código Patrón],0)+S37,5)*coef_unidad</f>
        <v>0.59</v>
      </c>
      <c r="W37" s="191">
        <f>INDEX(Cert_patrones[[#All],[Código Patrón]:[Deriva]],MATCH($U$35,Cert_patrones[Código Patrón],0)+S37,9)*coef_unidad</f>
        <v>5.7735026918962581E-2</v>
      </c>
      <c r="Y37" s="21">
        <v>1</v>
      </c>
      <c r="Z37" s="191" t="str">
        <f>IFERROR(INDEX(Cert_patrones[[#All],[Código Patrón]:[Deriva]],MATCH($AA$35,Cert_patrones[Código Patrón],0)+Y37,3)*coef_unidad,"")</f>
        <v/>
      </c>
      <c r="AA37" s="191" t="str">
        <f>IFERROR(INDEX(Cert_patrones[[#All],[Código Patrón]:[Deriva]],MATCH($AA$35,Cert_patrones[Código Patrón],0)+Y37,4)*coef_unidad,"")</f>
        <v/>
      </c>
      <c r="AB37" s="191" t="str">
        <f>IFERROR(INDEX(Cert_patrones[[#All],[Código Patrón]:[Deriva]],MATCH($AA$35,Cert_patrones[Código Patrón],0)+Y37,5)*coef_unidad,"")</f>
        <v/>
      </c>
      <c r="AC37" s="191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IFERROR(IF(C38&lt;&gt;"",tblCompU[[#Totals],[1]]*'kU(E)'!G56,""),"")</f>
        <v/>
      </c>
      <c r="G38" s="255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09" t="str">
        <f ca="1">IFERROR(IF(C38="","",#REF!),"")</f>
        <v/>
      </c>
      <c r="M38" s="197" t="s">
        <v>276</v>
      </c>
      <c r="N38" s="193">
        <v>6.8947999999999995E-2</v>
      </c>
      <c r="O38" s="193">
        <v>6.8947999999999995E-2</v>
      </c>
      <c r="P38" s="193">
        <v>1</v>
      </c>
      <c r="Q38" s="28">
        <v>100</v>
      </c>
      <c r="S38" s="21">
        <v>2</v>
      </c>
      <c r="T38" s="192">
        <f>INDEX(Cert_patrones[[#All],[Código Patrón]:[Deriva]],MATCH($U$35,Cert_patrones[Código Patrón],0)+S38,3)*coef_unidad</f>
        <v>-9.7799999999999994</v>
      </c>
      <c r="U38" s="192">
        <f>INDEX(Cert_patrones[[#All],[Código Patrón]:[Deriva]],MATCH($U$35,Cert_patrones[Código Patrón],0)+S38,4)*coef_unidad</f>
        <v>0.22</v>
      </c>
      <c r="V38" s="192">
        <f>INDEX(Cert_patrones[[#All],[Código Patrón]:[Deriva]],MATCH($U$35,Cert_patrones[Código Patrón],0)+S38,5)*coef_unidad</f>
        <v>0.57999999999999996</v>
      </c>
      <c r="W38" s="192">
        <f>INDEX(Cert_patrones[[#All],[Código Patrón]:[Deriva]],MATCH($U$35,Cert_patrones[Código Patrón],0)+S38,9)*coef_unidad</f>
        <v>5.7735026918962581E-2</v>
      </c>
      <c r="Y38" s="21">
        <v>2</v>
      </c>
      <c r="Z38" s="192" t="str">
        <f>IFERROR(INDEX(Cert_patrones[[#All],[Código Patrón]:[Deriva]],MATCH($AA$35,Cert_patrones[Código Patrón],0)+Y38,3)*coef_unidad,"")</f>
        <v/>
      </c>
      <c r="AA38" s="192" t="str">
        <f>IFERROR(INDEX(Cert_patrones[[#All],[Código Patrón]:[Deriva]],MATCH($AA$35,Cert_patrones[Código Patrón],0)+Y38,4)*coef_unidad,"")</f>
        <v/>
      </c>
      <c r="AB38" s="192" t="str">
        <f>IFERROR(INDEX(Cert_patrones[[#All],[Código Patrón]:[Deriva]],MATCH($AA$35,Cert_patrones[Código Patrón],0)+Y38,5)*coef_unidad,"")</f>
        <v/>
      </c>
      <c r="AC38" s="192" t="str">
        <f>IFERROR(INDEX(Cert_patrones[[#All],[Código Patrón]:[Deriva]],MATCH($AA$35,Cert_patrones[Código Patrón],0)+Y38,9)*coef_unidad,"")</f>
        <v/>
      </c>
      <c r="AE38" s="48" t="s">
        <v>173</v>
      </c>
      <c r="AF38" s="48">
        <v>1</v>
      </c>
      <c r="AG38" s="48">
        <v>2</v>
      </c>
      <c r="AH38" s="48">
        <v>3</v>
      </c>
      <c r="AI38" s="48">
        <v>4</v>
      </c>
      <c r="AJ38" s="48">
        <v>5</v>
      </c>
      <c r="AK38" s="48">
        <v>6</v>
      </c>
      <c r="AL38" s="48">
        <v>7</v>
      </c>
      <c r="AM38" s="48">
        <v>8</v>
      </c>
      <c r="AN38" s="48">
        <v>9</v>
      </c>
      <c r="AO38" s="48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IFERROR(IF(C39&lt;&gt;"",tblCompU[[#Totals],[2]]*'kU(E)'!G57,""),"")</f>
        <v/>
      </c>
      <c r="G39" s="255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09" t="str">
        <f ca="1">IFERROR(IF(C39="","",#REF!),"")</f>
        <v/>
      </c>
      <c r="M39" s="197" t="s">
        <v>277</v>
      </c>
      <c r="N39" s="193">
        <v>6894.7573000000002</v>
      </c>
      <c r="O39" s="193">
        <v>6894.7573000000002</v>
      </c>
      <c r="P39" s="193">
        <v>1.0000000000000001E-5</v>
      </c>
      <c r="Q39" s="28">
        <v>1E-3</v>
      </c>
      <c r="S39" s="21">
        <v>3</v>
      </c>
      <c r="T39" s="192">
        <f>INDEX(Cert_patrones[[#All],[Código Patrón]:[Deriva]],MATCH($U$35,Cert_patrones[Código Patrón],0)+S39,3)*coef_unidad</f>
        <v>-4.59</v>
      </c>
      <c r="U39" s="192">
        <f>INDEX(Cert_patrones[[#All],[Código Patrón]:[Deriva]],MATCH($U$35,Cert_patrones[Código Patrón],0)+S39,4)*coef_unidad</f>
        <v>0.41</v>
      </c>
      <c r="V39" s="192">
        <f>INDEX(Cert_patrones[[#All],[Código Patrón]:[Deriva]],MATCH($U$35,Cert_patrones[Código Patrón],0)+S39,5)*coef_unidad</f>
        <v>0.59</v>
      </c>
      <c r="W39" s="192">
        <f>INDEX(Cert_patrones[[#All],[Código Patrón]:[Deriva]],MATCH($U$35,Cert_patrones[Código Patrón],0)+S39,9)*coef_unidad</f>
        <v>5.7735026918962581E-2</v>
      </c>
      <c r="Y39" s="21">
        <v>3</v>
      </c>
      <c r="Z39" s="192" t="str">
        <f>IFERROR(INDEX(Cert_patrones[[#All],[Código Patrón]:[Deriva]],MATCH($AA$35,Cert_patrones[Código Patrón],0)+Y39,3)*coef_unidad,"")</f>
        <v/>
      </c>
      <c r="AA39" s="192" t="str">
        <f>IFERROR(INDEX(Cert_patrones[[#All],[Código Patrón]:[Deriva]],MATCH($AA$35,Cert_patrones[Código Patrón],0)+Y39,4)*coef_unidad,"")</f>
        <v/>
      </c>
      <c r="AB39" s="192" t="str">
        <f>IFERROR(INDEX(Cert_patrones[[#All],[Código Patrón]:[Deriva]],MATCH($AA$35,Cert_patrones[Código Patrón],0)+Y39,5)*coef_unidad,"")</f>
        <v/>
      </c>
      <c r="AC39" s="192" t="str">
        <f>IFERROR(INDEX(Cert_patrones[[#All],[Código Patrón]:[Deriva]],MATCH($AA$35,Cert_patrones[Código Patrón],0)+Y39,9)*coef_unidad,"")</f>
        <v/>
      </c>
      <c r="AE39" s="71" t="s">
        <v>167</v>
      </c>
      <c r="AF39" s="72" t="str">
        <f t="array" aca="1" ref="AF39:AO39" ca="1">TRANSPOSE($T$15:$T$29)</f>
        <v/>
      </c>
      <c r="AG39" s="72" t="str">
        <f ca="1"/>
        <v/>
      </c>
      <c r="AH39" s="72" t="str">
        <f ca="1"/>
        <v/>
      </c>
      <c r="AI39" s="72" t="str">
        <f ca="1"/>
        <v/>
      </c>
      <c r="AJ39" s="72" t="str">
        <f ca="1"/>
        <v/>
      </c>
      <c r="AK39" s="72" t="str">
        <f ca="1"/>
        <v/>
      </c>
      <c r="AL39" s="67" t="str">
        <f ca="1"/>
        <v/>
      </c>
      <c r="AM39" s="67" t="str">
        <f ca="1"/>
        <v/>
      </c>
      <c r="AN39" s="67" t="str">
        <f ca="1"/>
        <v/>
      </c>
      <c r="AO39" s="67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IFERROR(IF(C40&lt;&gt;"",tblCompU[[#Totals],[3]]*'kU(E)'!G58,""),"")</f>
        <v/>
      </c>
      <c r="G40" s="255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09" t="str">
        <f ca="1">IFERROR(IF(C40="","",#REF!),"")</f>
        <v/>
      </c>
      <c r="M40" s="197" t="s">
        <v>340</v>
      </c>
      <c r="N40" s="193">
        <v>6.8948</v>
      </c>
      <c r="O40" s="193">
        <v>6.8948</v>
      </c>
      <c r="P40" s="193">
        <v>0.01</v>
      </c>
      <c r="Q40" s="28">
        <v>1</v>
      </c>
      <c r="S40" s="21">
        <v>4</v>
      </c>
      <c r="T40" s="192">
        <f>INDEX(Cert_patrones[[#All],[Código Patrón]:[Deriva]],MATCH($U$35,Cert_patrones[Código Patrón],0)+S40,3)*coef_unidad</f>
        <v>-2.6</v>
      </c>
      <c r="U40" s="192">
        <f>INDEX(Cert_patrones[[#All],[Código Patrón]:[Deriva]],MATCH($U$35,Cert_patrones[Código Patrón],0)+S40,4)*coef_unidad</f>
        <v>0.4</v>
      </c>
      <c r="V40" s="192">
        <f>INDEX(Cert_patrones[[#All],[Código Patrón]:[Deriva]],MATCH($U$35,Cert_patrones[Código Patrón],0)+S40,5)*coef_unidad</f>
        <v>0.57999999999999996</v>
      </c>
      <c r="W40" s="192">
        <f>INDEX(Cert_patrones[[#All],[Código Patrón]:[Deriva]],MATCH($U$35,Cert_patrones[Código Patrón],0)+S40,9)*coef_unidad</f>
        <v>5.7735026918962581E-2</v>
      </c>
      <c r="Y40" s="21">
        <v>4</v>
      </c>
      <c r="Z40" s="192" t="str">
        <f>IFERROR(INDEX(Cert_patrones[[#All],[Código Patrón]:[Deriva]],MATCH($AA$35,Cert_patrones[Código Patrón],0)+Y40,3)*coef_unidad,"")</f>
        <v/>
      </c>
      <c r="AA40" s="192" t="str">
        <f>IFERROR(INDEX(Cert_patrones[[#All],[Código Patrón]:[Deriva]],MATCH($AA$35,Cert_patrones[Código Patrón],0)+Y40,4)*coef_unidad,"")</f>
        <v/>
      </c>
      <c r="AB40" s="192" t="str">
        <f>IFERROR(INDEX(Cert_patrones[[#All],[Código Patrón]:[Deriva]],MATCH($AA$35,Cert_patrones[Código Patrón],0)+Y40,5)*coef_unidad,"")</f>
        <v/>
      </c>
      <c r="AC40" s="192" t="str">
        <f>IFERROR(INDEX(Cert_patrones[[#All],[Código Patrón]:[Deriva]],MATCH($AA$35,Cert_patrones[Código Patrón],0)+Y40,9)*coef_unidad,"")</f>
        <v/>
      </c>
      <c r="AE40" s="71" t="s">
        <v>168</v>
      </c>
      <c r="AF40" s="68" t="str">
        <f ca="1">IFERROR(INDEX($Z$37:$Z$51,MATCH(AF$39,$Z$37:OFFSET($Z$37,NumPuntosCalib2-1,0),1)),"")</f>
        <v/>
      </c>
      <c r="AG40" s="68" t="str">
        <f ca="1">IFERROR(INDEX($Z$37:$Z$51,MATCH(AG$39,$Z$37:OFFSET($Z$37,NumPuntosCalib2-1,0),1)),"")</f>
        <v/>
      </c>
      <c r="AH40" s="68" t="str">
        <f ca="1">IFERROR(INDEX($Z$37:$Z$51,MATCH(AH$39,$Z$37:OFFSET($Z$37,NumPuntosCalib2-1,0),1)),"")</f>
        <v/>
      </c>
      <c r="AI40" s="68" t="str">
        <f ca="1">IFERROR(INDEX($Z$37:$Z$51,MATCH(AI$39,$Z$37:OFFSET($Z$37,NumPuntosCalib2-1,0),1)),"")</f>
        <v/>
      </c>
      <c r="AJ40" s="68" t="str">
        <f ca="1">IFERROR(INDEX($Z$37:$Z$51,MATCH(AJ$39,$Z$37:OFFSET($Z$37,NumPuntosCalib2-1,0),1)),"")</f>
        <v/>
      </c>
      <c r="AK40" s="68" t="str">
        <f ca="1">IFERROR(INDEX($Z$37:$Z$51,MATCH(AK$39,$Z$37:OFFSET($Z$37,NumPuntosCalib2-1,0),1)),"")</f>
        <v/>
      </c>
      <c r="AL40" s="68" t="str">
        <f ca="1">IFERROR(INDEX($Z$37:$Z$51,MATCH(AL$39,$Z$37:OFFSET($Z$37,NumPuntosCalib2-1,0),1)),"")</f>
        <v/>
      </c>
      <c r="AM40" s="68" t="str">
        <f ca="1">IFERROR(INDEX($Z$37:$Z$51,MATCH(AM$39,$Z$37:OFFSET($Z$37,NumPuntosCalib2-1,0),1)),"")</f>
        <v/>
      </c>
      <c r="AN40" s="68" t="str">
        <f ca="1">IFERROR(INDEX($Z$37:$Z$51,MATCH(AN$39,$Z$37:OFFSET($Z$37,NumPuntosCalib2-1,0),1)),"")</f>
        <v/>
      </c>
      <c r="AO40" s="68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IFERROR(IF(C41&lt;&gt;"",tblCompU[[#Totals],[4]]*'kU(E)'!G59,""),"")</f>
        <v/>
      </c>
      <c r="G41" s="255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09" t="str">
        <f ca="1">IFERROR(IF(C41="","",#REF!),"")</f>
        <v/>
      </c>
      <c r="M41" s="197" t="s">
        <v>278</v>
      </c>
      <c r="N41" s="193">
        <v>68.947999999999993</v>
      </c>
      <c r="O41" s="193">
        <v>68.947999999999993</v>
      </c>
      <c r="P41" s="193">
        <v>1E-3</v>
      </c>
      <c r="Q41" s="28">
        <v>0.01</v>
      </c>
      <c r="S41" s="21">
        <v>5</v>
      </c>
      <c r="T41" s="192">
        <f>INDEX(Cert_patrones[[#All],[Código Patrón]:[Deriva]],MATCH($U$35,Cert_patrones[Código Patrón],0)+S41,3)*coef_unidad</f>
        <v>0</v>
      </c>
      <c r="U41" s="192">
        <f>INDEX(Cert_patrones[[#All],[Código Patrón]:[Deriva]],MATCH($U$35,Cert_patrones[Código Patrón],0)+S41,4)*coef_unidad</f>
        <v>0</v>
      </c>
      <c r="V41" s="192">
        <f>INDEX(Cert_patrones[[#All],[Código Patrón]:[Deriva]],MATCH($U$35,Cert_patrones[Código Patrón],0)+S41,5)*coef_unidad</f>
        <v>0.57999999999999996</v>
      </c>
      <c r="W41" s="192">
        <f>INDEX(Cert_patrones[[#All],[Código Patrón]:[Deriva]],MATCH($U$35,Cert_patrones[Código Patrón],0)+S41,9)*coef_unidad</f>
        <v>1.1547005383792516E-2</v>
      </c>
      <c r="Y41" s="21">
        <v>5</v>
      </c>
      <c r="Z41" s="192" t="str">
        <f>IFERROR(INDEX(Cert_patrones[[#All],[Código Patrón]:[Deriva]],MATCH($AA$35,Cert_patrones[Código Patrón],0)+Y41,3)*coef_unidad,"")</f>
        <v/>
      </c>
      <c r="AA41" s="192" t="str">
        <f>IFERROR(INDEX(Cert_patrones[[#All],[Código Patrón]:[Deriva]],MATCH($AA$35,Cert_patrones[Código Patrón],0)+Y41,4)*coef_unidad,"")</f>
        <v/>
      </c>
      <c r="AB41" s="192" t="str">
        <f>IFERROR(INDEX(Cert_patrones[[#All],[Código Patrón]:[Deriva]],MATCH($AA$35,Cert_patrones[Código Patrón],0)+Y41,5)*coef_unidad,"")</f>
        <v/>
      </c>
      <c r="AC41" s="192" t="str">
        <f>IFERROR(INDEX(Cert_patrones[[#All],[Código Patrón]:[Deriva]],MATCH($AA$35,Cert_patrones[Código Patrón],0)+Y41,9)*coef_unidad,"")</f>
        <v/>
      </c>
      <c r="AE41" s="71" t="s">
        <v>170</v>
      </c>
      <c r="AF41" s="68" t="str">
        <f ca="1">IFERROR(INDEX($AA$37:$AA$51,MATCH(AF$39,$Z$37:OFFSET($Z$37,NumPuntosCalib2-1,0),1)),"")</f>
        <v/>
      </c>
      <c r="AG41" s="68" t="str">
        <f ca="1">IFERROR(INDEX($AA$37:$AA$51,MATCH(AG$39,$Z$37:OFFSET($Z$37,NumPuntosCalib2-1,0),1)),"")</f>
        <v/>
      </c>
      <c r="AH41" s="68" t="str">
        <f ca="1">IFERROR(INDEX($AA$37:$AA$51,MATCH(AH$39,$Z$37:OFFSET($Z$37,NumPuntosCalib2-1,0),1)),"")</f>
        <v/>
      </c>
      <c r="AI41" s="68" t="str">
        <f ca="1">IFERROR(INDEX($AA$37:$AA$51,MATCH(AI$39,$Z$37:OFFSET($Z$37,NumPuntosCalib2-1,0),1)),"")</f>
        <v/>
      </c>
      <c r="AJ41" s="68" t="str">
        <f ca="1">IFERROR(INDEX($AA$37:$AA$51,MATCH(AJ$39,$Z$37:OFFSET($Z$37,NumPuntosCalib2-1,0),1)),"")</f>
        <v/>
      </c>
      <c r="AK41" s="68" t="str">
        <f ca="1">IFERROR(INDEX($AA$37:$AA$51,MATCH(AK$39,$Z$37:OFFSET($Z$37,NumPuntosCalib2-1,0),1)),"")</f>
        <v/>
      </c>
      <c r="AL41" s="68" t="str">
        <f ca="1">IFERROR(INDEX($AA$37:$AA$51,MATCH(AL$39,$Z$37:OFFSET($Z$37,NumPuntosCalib2-1,0),1)),"")</f>
        <v/>
      </c>
      <c r="AM41" s="68" t="str">
        <f ca="1">IFERROR(INDEX($AA$37:$AA$51,MATCH(AM$39,$Z$37:OFFSET($Z$37,NumPuntosCalib2-1,0),1)),"")</f>
        <v/>
      </c>
      <c r="AN41" s="68" t="str">
        <f ca="1">IFERROR(INDEX($AA$37:$AA$51,MATCH(AN$39,$Z$37:OFFSET($Z$37,NumPuntosCalib2-1,0),1)),"")</f>
        <v/>
      </c>
      <c r="AO41" s="68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IFERROR(IF(C42&lt;&gt;"",tblCompU[[#Totals],[5]]*'kU(E)'!G60,""),"")</f>
        <v/>
      </c>
      <c r="G42" s="255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09" t="str">
        <f ca="1">IFERROR(IF(C42="","",#REF!),"")</f>
        <v/>
      </c>
      <c r="M42" s="197" t="s">
        <v>506</v>
      </c>
      <c r="N42" s="193">
        <v>6.8948000000000004E-3</v>
      </c>
      <c r="O42" s="193">
        <v>6.8948000000000004E-3</v>
      </c>
      <c r="P42" s="193">
        <v>10</v>
      </c>
      <c r="Q42" s="28">
        <v>1000</v>
      </c>
      <c r="S42" s="21">
        <v>6</v>
      </c>
      <c r="T42" s="192">
        <f>INDEX(Cert_patrones[[#All],[Código Patrón]:[Deriva]],MATCH($U$35,Cert_patrones[Código Patrón],0)+S42,3)*coef_unidad</f>
        <v>-0.11</v>
      </c>
      <c r="U42" s="192">
        <f>INDEX(Cert_patrones[[#All],[Código Patrón]:[Deriva]],MATCH($U$35,Cert_patrones[Código Patrón],0)+S42,4)*coef_unidad</f>
        <v>-0.11</v>
      </c>
      <c r="V42" s="192">
        <f>INDEX(Cert_patrones[[#All],[Código Patrón]:[Deriva]],MATCH($U$35,Cert_patrones[Código Patrón],0)+S42,5)*coef_unidad</f>
        <v>0.59</v>
      </c>
      <c r="W42" s="192">
        <f>INDEX(Cert_patrones[[#All],[Código Patrón]:[Deriva]],MATCH($U$35,Cert_patrones[Código Patrón],0)+S42,9)*coef_unidad</f>
        <v>5.7735026918962581E-2</v>
      </c>
      <c r="Y42" s="21">
        <v>6</v>
      </c>
      <c r="Z42" s="192" t="str">
        <f>IFERROR(INDEX(Cert_patrones[[#All],[Código Patrón]:[Deriva]],MATCH($AA$35,Cert_patrones[Código Patrón],0)+Y42,3)*coef_unidad,"")</f>
        <v/>
      </c>
      <c r="AA42" s="192" t="str">
        <f>IFERROR(INDEX(Cert_patrones[[#All],[Código Patrón]:[Deriva]],MATCH($AA$35,Cert_patrones[Código Patrón],0)+Y42,4)*coef_unidad,"")</f>
        <v/>
      </c>
      <c r="AB42" s="192" t="str">
        <f>IFERROR(INDEX(Cert_patrones[[#All],[Código Patrón]:[Deriva]],MATCH($AA$35,Cert_patrones[Código Patrón],0)+Y42,5)*coef_unidad,"")</f>
        <v/>
      </c>
      <c r="AC42" s="192" t="str">
        <f>IFERROR(INDEX(Cert_patrones[[#All],[Código Patrón]:[Deriva]],MATCH($AA$35,Cert_patrones[Código Patrón],0)+Y42,9)*coef_unidad,"")</f>
        <v/>
      </c>
      <c r="AE42" s="71" t="s">
        <v>169</v>
      </c>
      <c r="AF42" s="68" t="str">
        <f ca="1">IFERROR(INDEX($Z$37:$Z$51,MATCH(AF$39,$Z$37:OFFSET($Z$37,NumPuntosCalib-1,0),1)+1),"")</f>
        <v/>
      </c>
      <c r="AG42" s="68" t="str">
        <f ca="1">IFERROR(INDEX($Z$37:$Z$51,MATCH(AG$39,$Z$37:OFFSET($Z$37,NumPuntosCalib-1,0),1)+1),"")</f>
        <v/>
      </c>
      <c r="AH42" s="68" t="str">
        <f ca="1">IFERROR(INDEX($Z$37:$Z$51,MATCH(AH$39,$Z$37:OFFSET($Z$37,NumPuntosCalib-1,0),1)+1),"")</f>
        <v/>
      </c>
      <c r="AI42" s="68" t="str">
        <f ca="1">IFERROR(INDEX($Z$37:$Z$51,MATCH(AI$39,$Z$37:OFFSET($Z$37,NumPuntosCalib-1,0),1)+1),"")</f>
        <v/>
      </c>
      <c r="AJ42" s="68" t="str">
        <f ca="1">IFERROR(INDEX($Z$37:$Z$51,MATCH(AJ$39,$Z$37:OFFSET($Z$37,NumPuntosCalib-1,0),1)+1),"")</f>
        <v/>
      </c>
      <c r="AK42" s="68" t="str">
        <f ca="1">IFERROR(INDEX($Z$37:$Z$51,MATCH(AK$39,$Z$37:OFFSET($Z$37,NumPuntosCalib-1,0),1)+1),"")</f>
        <v/>
      </c>
      <c r="AL42" s="68" t="str">
        <f ca="1">IFERROR(INDEX($Z$37:$Z$51,MATCH(AL$39,$Z$37:OFFSET($Z$37,NumPuntosCalib-1,0),1)+1),"")</f>
        <v/>
      </c>
      <c r="AM42" s="68" t="str">
        <f ca="1">IFERROR(INDEX($Z$37:$Z$51,MATCH(AM$39,$Z$37:OFFSET($Z$37,NumPuntosCalib-1,0),1)+1),"")</f>
        <v/>
      </c>
      <c r="AN42" s="68" t="str">
        <f ca="1">IFERROR(INDEX($Z$37:$Z$51,MATCH(AN$39,$Z$37:OFFSET($Z$37,NumPuntosCalib-1,0),1)+1),"")</f>
        <v/>
      </c>
      <c r="AO42" s="68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IFERROR(IF(C43&lt;&gt;"",tblCompU[[#Totals],[6]]*'kU(E)'!G61,""),"")</f>
        <v/>
      </c>
      <c r="G43" s="255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197" t="s">
        <v>519</v>
      </c>
      <c r="N43" s="193">
        <v>7.0309999999999997E-2</v>
      </c>
      <c r="O43" s="193">
        <v>7.0309999999999997E-2</v>
      </c>
      <c r="P43" s="193">
        <v>0.98066500000000001</v>
      </c>
      <c r="Q43" s="28">
        <v>98.066500000000005</v>
      </c>
      <c r="S43" s="21">
        <v>7</v>
      </c>
      <c r="T43" s="192">
        <f>INDEX(Cert_patrones[[#All],[Código Patrón]:[Deriva]],MATCH($U$35,Cert_patrones[Código Patrón],0)+S43,3)*coef_unidad</f>
        <v>99.59</v>
      </c>
      <c r="U43" s="192">
        <f>INDEX(Cert_patrones[[#All],[Código Patrón]:[Deriva]],MATCH($U$35,Cert_patrones[Código Patrón],0)+S43,4)*coef_unidad</f>
        <v>-0.41</v>
      </c>
      <c r="V43" s="192">
        <f>INDEX(Cert_patrones[[#All],[Código Patrón]:[Deriva]],MATCH($U$35,Cert_patrones[Código Patrón],0)+S43,5)*coef_unidad</f>
        <v>0.6</v>
      </c>
      <c r="W43" s="192">
        <f>INDEX(Cert_patrones[[#All],[Código Patrón]:[Deriva]],MATCH($U$35,Cert_patrones[Código Patrón],0)+S43,9)*coef_unidad</f>
        <v>1.1547005383792516E-2</v>
      </c>
      <c r="Y43" s="21">
        <v>7</v>
      </c>
      <c r="Z43" s="192" t="str">
        <f>IFERROR(INDEX(Cert_patrones[[#All],[Código Patrón]:[Deriva]],MATCH($AA$35,Cert_patrones[Código Patrón],0)+Y43,3)*coef_unidad,"")</f>
        <v/>
      </c>
      <c r="AA43" s="192" t="str">
        <f>IFERROR(INDEX(Cert_patrones[[#All],[Código Patrón]:[Deriva]],MATCH($AA$35,Cert_patrones[Código Patrón],0)+Y43,4)*coef_unidad,"")</f>
        <v/>
      </c>
      <c r="AB43" s="192" t="str">
        <f>IFERROR(INDEX(Cert_patrones[[#All],[Código Patrón]:[Deriva]],MATCH($AA$35,Cert_patrones[Código Patrón],0)+Y43,5)*coef_unidad,"")</f>
        <v/>
      </c>
      <c r="AC43" s="192" t="str">
        <f>IFERROR(INDEX(Cert_patrones[[#All],[Código Patrón]:[Deriva]],MATCH($AA$35,Cert_patrones[Código Patrón],0)+Y43,9)*coef_unidad,"")</f>
        <v/>
      </c>
      <c r="AE43" s="71" t="s">
        <v>171</v>
      </c>
      <c r="AF43" s="68" t="str">
        <f ca="1">IFERROR(INDEX($AA$37:$AA$51,MATCH(AF$39,$Z$37:OFFSET($Z$37,NumPuntosCalib2-1,0),1)+1),"")</f>
        <v/>
      </c>
      <c r="AG43" s="68" t="str">
        <f ca="1">IFERROR(INDEX($AA$37:$AA$51,MATCH(AG$39,$Z$37:OFFSET($Z$37,NumPuntosCalib2-1,0),1)+1),"")</f>
        <v/>
      </c>
      <c r="AH43" s="68" t="str">
        <f ca="1">IFERROR(INDEX($AA$37:$AA$51,MATCH(AH$39,$Z$37:OFFSET($Z$37,NumPuntosCalib2-1,0),1)+1),"")</f>
        <v/>
      </c>
      <c r="AI43" s="68" t="str">
        <f ca="1">IFERROR(INDEX($AA$37:$AA$51,MATCH(AI$39,$Z$37:OFFSET($Z$37,NumPuntosCalib2-1,0),1)+1),"")</f>
        <v/>
      </c>
      <c r="AJ43" s="68" t="str">
        <f ca="1">IFERROR(INDEX($AA$37:$AA$51,MATCH(AJ$39,$Z$37:OFFSET($Z$37,NumPuntosCalib2-1,0),1)+1),"")</f>
        <v/>
      </c>
      <c r="AK43" s="68" t="str">
        <f ca="1">IFERROR(INDEX($AA$37:$AA$51,MATCH(AK$39,$Z$37:OFFSET($Z$37,NumPuntosCalib2-1,0),1)+1),"")</f>
        <v/>
      </c>
      <c r="AL43" s="68" t="str">
        <f ca="1">IFERROR(INDEX($AA$37:$AA$51,MATCH(AL$39,$Z$37:OFFSET($Z$37,NumPuntosCalib2-1,0),1)+1),"")</f>
        <v/>
      </c>
      <c r="AM43" s="68" t="str">
        <f ca="1">IFERROR(INDEX($AA$37:$AA$51,MATCH(AM$39,$Z$37:OFFSET($Z$37,NumPuntosCalib2-1,0),1)+1),"")</f>
        <v/>
      </c>
      <c r="AN43" s="68" t="str">
        <f ca="1">IFERROR(INDEX($AA$37:$AA$51,MATCH(AN$39,$Z$37:OFFSET($Z$37,NumPuntosCalib2-1,0),1)+1),"")</f>
        <v/>
      </c>
      <c r="AO43" s="68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IFERROR(IF(C44&lt;&gt;"",tblCompU[[#Totals],[7]]*'kU(E)'!G62,""),"")</f>
        <v/>
      </c>
      <c r="G44" s="255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197" t="s">
        <v>354</v>
      </c>
      <c r="N44" s="193">
        <v>2.036</v>
      </c>
      <c r="O44" s="193">
        <v>2.036</v>
      </c>
      <c r="P44" s="193">
        <v>3.3863900000000002E-2</v>
      </c>
      <c r="Q44" s="28">
        <v>3.38639</v>
      </c>
      <c r="S44" s="21">
        <v>8</v>
      </c>
      <c r="T44" s="192">
        <f>INDEX(Cert_patrones[[#All],[Código Patrón]:[Deriva]],MATCH($U$35,Cert_patrones[Código Patrón],0)+S44,3)*coef_unidad</f>
        <v>999.97</v>
      </c>
      <c r="U44" s="192">
        <f>INDEX(Cert_patrones[[#All],[Código Patrón]:[Deriva]],MATCH($U$35,Cert_patrones[Código Patrón],0)+S44,4)*coef_unidad</f>
        <v>-0.03</v>
      </c>
      <c r="V44" s="192">
        <f>INDEX(Cert_patrones[[#All],[Código Patrón]:[Deriva]],MATCH($U$35,Cert_patrones[Código Patrón],0)+S44,5)*coef_unidad</f>
        <v>0.69</v>
      </c>
      <c r="W44" s="192">
        <f>INDEX(Cert_patrones[[#All],[Código Patrón]:[Deriva]],MATCH($U$35,Cert_patrones[Código Patrón],0)+S44,9)*coef_unidad</f>
        <v>1.1547005383792516E-2</v>
      </c>
      <c r="Y44" s="21">
        <v>8</v>
      </c>
      <c r="Z44" s="192" t="str">
        <f>IFERROR(INDEX(Cert_patrones[[#All],[Código Patrón]:[Deriva]],MATCH($AA$35,Cert_patrones[Código Patrón],0)+Y44,3)*coef_unidad,"")</f>
        <v/>
      </c>
      <c r="AA44" s="192" t="str">
        <f>IFERROR(INDEX(Cert_patrones[[#All],[Código Patrón]:[Deriva]],MATCH($AA$35,Cert_patrones[Código Patrón],0)+Y44,4)*coef_unidad,"")</f>
        <v/>
      </c>
      <c r="AB44" s="192" t="str">
        <f>IFERROR(INDEX(Cert_patrones[[#All],[Código Patrón]:[Deriva]],MATCH($AA$35,Cert_patrones[Código Patrón],0)+Y44,5)*coef_unidad,"")</f>
        <v/>
      </c>
      <c r="AC44" s="192" t="str">
        <f>IFERROR(INDEX(Cert_patrones[[#All],[Código Patrón]:[Deriva]],MATCH($AA$35,Cert_patrones[Código Patrón],0)+Y44,9)*coef_unidad,"")</f>
        <v/>
      </c>
      <c r="AE44" s="71" t="s">
        <v>172</v>
      </c>
      <c r="AF44" s="119" t="str">
        <f t="shared" ref="AF44:AO44" ca="1" si="15">IFERROR(AF41+(AF39-AF40)*(AF43-AF41)/(AF42-AF40),"")</f>
        <v/>
      </c>
      <c r="AG44" s="119" t="str">
        <f t="shared" ca="1" si="15"/>
        <v/>
      </c>
      <c r="AH44" s="119" t="str">
        <f t="shared" ca="1" si="15"/>
        <v/>
      </c>
      <c r="AI44" s="119" t="str">
        <f t="shared" ca="1" si="15"/>
        <v/>
      </c>
      <c r="AJ44" s="119" t="str">
        <f t="shared" ca="1" si="15"/>
        <v/>
      </c>
      <c r="AK44" s="119" t="str">
        <f t="shared" ca="1" si="15"/>
        <v/>
      </c>
      <c r="AL44" s="119" t="str">
        <f t="shared" ca="1" si="15"/>
        <v/>
      </c>
      <c r="AM44" s="119" t="str">
        <f t="shared" ca="1" si="15"/>
        <v/>
      </c>
      <c r="AN44" s="119" t="str">
        <f t="shared" ca="1" si="15"/>
        <v/>
      </c>
      <c r="AO44" s="119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IFERROR(IF(C45&lt;&gt;"",tblCompU[[#Totals],[8]]*'kU(E)'!G63,""),"")</f>
        <v/>
      </c>
      <c r="G45" s="255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197" t="s">
        <v>355</v>
      </c>
      <c r="N45" s="193">
        <v>51.7149</v>
      </c>
      <c r="O45" s="193">
        <v>51.7149</v>
      </c>
      <c r="P45" s="193">
        <v>1.333E-3</v>
      </c>
      <c r="Q45" s="28">
        <v>0.133322</v>
      </c>
      <c r="S45" s="21">
        <v>9</v>
      </c>
      <c r="T45" s="192">
        <f>INDEX(Cert_patrones[[#All],[Código Patrón]:[Deriva]],MATCH($U$35,Cert_patrones[Código Patrón],0)+S45,3)*coef_unidad</f>
        <v>2000.05</v>
      </c>
      <c r="U45" s="192">
        <f>INDEX(Cert_patrones[[#All],[Código Patrón]:[Deriva]],MATCH($U$35,Cert_patrones[Código Patrón],0)+S45,4)*coef_unidad</f>
        <v>0.05</v>
      </c>
      <c r="V45" s="192">
        <f>INDEX(Cert_patrones[[#All],[Código Patrón]:[Deriva]],MATCH($U$35,Cert_patrones[Código Patrón],0)+S45,5)*coef_unidad</f>
        <v>0.61</v>
      </c>
      <c r="W45" s="192">
        <f>INDEX(Cert_patrones[[#All],[Código Patrón]:[Deriva]],MATCH($U$35,Cert_patrones[Código Patrón],0)+S45,9)*coef_unidad</f>
        <v>1.1547005383792516E-2</v>
      </c>
      <c r="Y45" s="21">
        <v>9</v>
      </c>
      <c r="Z45" s="192" t="str">
        <f>IFERROR(INDEX(Cert_patrones[[#All],[Código Patrón]:[Deriva]],MATCH($AA$35,Cert_patrones[Código Patrón],0)+Y45,3)*coef_unidad,"")</f>
        <v/>
      </c>
      <c r="AA45" s="192" t="str">
        <f>IFERROR(INDEX(Cert_patrones[[#All],[Código Patrón]:[Deriva]],MATCH($AA$35,Cert_patrones[Código Patrón],0)+Y45,4)*coef_unidad,"")</f>
        <v/>
      </c>
      <c r="AB45" s="192" t="str">
        <f>IFERROR(INDEX(Cert_patrones[[#All],[Código Patrón]:[Deriva]],MATCH($AA$35,Cert_patrones[Código Patrón],0)+Y45,5)*coef_unidad,"")</f>
        <v/>
      </c>
      <c r="AC45" s="192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IFERROR(IF(C46&lt;&gt;"",tblCompU[[#Totals],[9]]*'kU(E)'!G64,""),"")</f>
        <v/>
      </c>
      <c r="G46" s="255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197" t="s">
        <v>356</v>
      </c>
      <c r="N46" s="193">
        <v>5.1710000000000003</v>
      </c>
      <c r="O46" s="193">
        <v>5.1710000000000003</v>
      </c>
      <c r="P46" s="28">
        <v>1.333E-2</v>
      </c>
      <c r="Q46" s="28">
        <v>1.3332200000000001</v>
      </c>
      <c r="S46" s="21">
        <v>10</v>
      </c>
      <c r="T46" s="192">
        <f>INDEX(Cert_patrones[[#All],[Código Patrón]:[Deriva]],MATCH($U$35,Cert_patrones[Código Patrón],0)+S46,3)*coef_unidad</f>
        <v>3000.71</v>
      </c>
      <c r="U46" s="192">
        <f>INDEX(Cert_patrones[[#All],[Código Patrón]:[Deriva]],MATCH($U$35,Cert_patrones[Código Patrón],0)+S46,4)*coef_unidad</f>
        <v>0.71</v>
      </c>
      <c r="V46" s="192">
        <f>INDEX(Cert_patrones[[#All],[Código Patrón]:[Deriva]],MATCH($U$35,Cert_patrones[Código Patrón],0)+S46,5)*coef_unidad</f>
        <v>0.64</v>
      </c>
      <c r="W46" s="192">
        <f>INDEX(Cert_patrones[[#All],[Código Patrón]:[Deriva]],MATCH($U$35,Cert_patrones[Código Patrón],0)+S46,9)*coef_unidad</f>
        <v>1.1547005383792516E-2</v>
      </c>
      <c r="Y46" s="21">
        <v>10</v>
      </c>
      <c r="Z46" s="192" t="str">
        <f>IFERROR(INDEX(Cert_patrones[[#All],[Código Patrón]:[Deriva]],MATCH($AA$35,Cert_patrones[Código Patrón],0)+Y46,3)*coef_unidad,"")</f>
        <v/>
      </c>
      <c r="AA46" s="192" t="str">
        <f>IFERROR(INDEX(Cert_patrones[[#All],[Código Patrón]:[Deriva]],MATCH($AA$35,Cert_patrones[Código Patrón],0)+Y46,4)*coef_unidad,"")</f>
        <v/>
      </c>
      <c r="AB46" s="192" t="str">
        <f>IFERROR(INDEX(Cert_patrones[[#All],[Código Patrón]:[Deriva]],MATCH($AA$35,Cert_patrones[Código Patrón],0)+Y46,5)*coef_unidad,"")</f>
        <v/>
      </c>
      <c r="AC46" s="192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IFERROR(IF(C47&lt;&gt;"",tblCompU[[#Totals],[10]]*'kU(E)'!G65,""),"")</f>
        <v/>
      </c>
      <c r="G47" s="255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197" t="s">
        <v>520</v>
      </c>
      <c r="N47" s="193">
        <v>703.06960000000004</v>
      </c>
      <c r="O47" s="193">
        <v>703.06960000000004</v>
      </c>
      <c r="P47" s="193">
        <v>9.7999999999999997E-5</v>
      </c>
      <c r="Q47" s="28">
        <v>9.7999999999999997E-3</v>
      </c>
      <c r="S47" s="21">
        <v>11</v>
      </c>
      <c r="T47" s="192">
        <f>INDEX(Cert_patrones[[#All],[Código Patrón]:[Deriva]],MATCH($U$35,Cert_patrones[Código Patrón],0)+S47,3)*coef_unidad</f>
        <v>4000.37</v>
      </c>
      <c r="U47" s="192">
        <f>INDEX(Cert_patrones[[#All],[Código Patrón]:[Deriva]],MATCH($U$35,Cert_patrones[Código Patrón],0)+S47,4)*coef_unidad</f>
        <v>0.37</v>
      </c>
      <c r="V47" s="192">
        <f>INDEX(Cert_patrones[[#All],[Código Patrón]:[Deriva]],MATCH($U$35,Cert_patrones[Código Patrón],0)+S47,5)*coef_unidad</f>
        <v>0.63</v>
      </c>
      <c r="W47" s="192">
        <f>INDEX(Cert_patrones[[#All],[Código Patrón]:[Deriva]],MATCH($U$35,Cert_patrones[Código Patrón],0)+S47,9)*coef_unidad</f>
        <v>1.1547005383792516E-2</v>
      </c>
      <c r="Y47" s="21">
        <v>11</v>
      </c>
      <c r="Z47" s="192" t="str">
        <f>IFERROR(INDEX(Cert_patrones[[#All],[Código Patrón]:[Deriva]],MATCH($AA$35,Cert_patrones[Código Patrón],0)+Y47,3)*coef_unidad,"")</f>
        <v/>
      </c>
      <c r="AA47" s="192" t="str">
        <f>IFERROR(INDEX(Cert_patrones[[#All],[Código Patrón]:[Deriva]],MATCH($AA$35,Cert_patrones[Código Patrón],0)+Y47,4)*coef_unidad,"")</f>
        <v/>
      </c>
      <c r="AB47" s="192" t="str">
        <f>IFERROR(INDEX(Cert_patrones[[#All],[Código Patrón]:[Deriva]],MATCH($AA$35,Cert_patrones[Código Patrón],0)+Y47,5)*coef_unidad,"")</f>
        <v/>
      </c>
      <c r="AC47" s="192" t="str">
        <f>IFERROR(INDEX(Cert_patrones[[#All],[Código Patrón]:[Deriva]],MATCH($AA$35,Cert_patrones[Código Patrón],0)+Y47,9)*coef_unidad,"")</f>
        <v/>
      </c>
      <c r="AE47" s="16" t="s">
        <v>393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IFERROR(IF(C48&lt;&gt;"",tblCompU[[#Totals],[10]]*'kU(E)'!G66,""),"")</f>
        <v/>
      </c>
      <c r="G48" s="255" t="str">
        <f t="shared" ca="1" si="10"/>
        <v/>
      </c>
      <c r="H48" s="97" t="str">
        <f t="shared" ca="1" si="11"/>
        <v/>
      </c>
      <c r="I48" s="97" t="str">
        <f t="shared" ca="1" si="12"/>
        <v/>
      </c>
      <c r="J48" s="100" t="str">
        <f t="shared" ca="1" si="13"/>
        <v/>
      </c>
      <c r="K48" s="97" t="str">
        <f ca="1">IFERROR(IF(C48="","",#REF!),"")</f>
        <v/>
      </c>
      <c r="M48" s="197" t="s">
        <v>521</v>
      </c>
      <c r="N48" s="193">
        <v>70.306960000000004</v>
      </c>
      <c r="O48" s="193">
        <v>70.306960000000004</v>
      </c>
      <c r="P48" s="193">
        <v>9.7999999999999997E-4</v>
      </c>
      <c r="Q48" s="28">
        <v>9.8000000000000004E-2</v>
      </c>
      <c r="S48" s="21">
        <v>12</v>
      </c>
      <c r="T48" s="192">
        <f>INDEX(Cert_patrones[[#All],[Código Patrón]:[Deriva]],MATCH($U$35,Cert_patrones[Código Patrón],0)+S48,3)*coef_unidad</f>
        <v>5000.26</v>
      </c>
      <c r="U48" s="192">
        <f>INDEX(Cert_patrones[[#All],[Código Patrón]:[Deriva]],MATCH($U$35,Cert_patrones[Código Patrón],0)+S48,4)*coef_unidad</f>
        <v>0.26</v>
      </c>
      <c r="V48" s="192">
        <f>INDEX(Cert_patrones[[#All],[Código Patrón]:[Deriva]],MATCH($U$35,Cert_patrones[Código Patrón],0)+S48,5)*coef_unidad</f>
        <v>0.66</v>
      </c>
      <c r="W48" s="192">
        <f>INDEX(Cert_patrones[[#All],[Código Patrón]:[Deriva]],MATCH($U$35,Cert_patrones[Código Patrón],0)+S48,9)*coef_unidad</f>
        <v>1.1547005383792516E-2</v>
      </c>
      <c r="Y48" s="21">
        <v>12</v>
      </c>
      <c r="Z48" s="192" t="str">
        <f>IFERROR(INDEX(Cert_patrones[[#All],[Código Patrón]:[Deriva]],MATCH($AA$35,Cert_patrones[Código Patrón],0)+Y48,3)*coef_unidad,"")</f>
        <v/>
      </c>
      <c r="AA48" s="192" t="str">
        <f>IFERROR(INDEX(Cert_patrones[[#All],[Código Patrón]:[Deriva]],MATCH($AA$35,Cert_patrones[Código Patrón],0)+Y48,4)*coef_unidad,"")</f>
        <v/>
      </c>
      <c r="AB48" s="192" t="str">
        <f>IFERROR(INDEX(Cert_patrones[[#All],[Código Patrón]:[Deriva]],MATCH($AA$35,Cert_patrones[Código Patrón],0)+Y48,5)*coef_unidad,"")</f>
        <v/>
      </c>
      <c r="AC48" s="192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IFERROR(IF(C49&lt;&gt;"",tblCompU[[#Totals],[10]]*'kU(E)'!G67,""),"")</f>
        <v/>
      </c>
      <c r="G49" s="255" t="str">
        <f t="shared" ca="1" si="10"/>
        <v/>
      </c>
      <c r="H49" s="97" t="str">
        <f t="shared" ca="1" si="11"/>
        <v/>
      </c>
      <c r="I49" s="97" t="str">
        <f t="shared" ca="1" si="12"/>
        <v/>
      </c>
      <c r="J49" s="100" t="str">
        <f t="shared" ca="1" si="13"/>
        <v/>
      </c>
      <c r="K49" s="97" t="str">
        <f ca="1">IFERROR(IF(C49="","",#REF!),"")</f>
        <v/>
      </c>
      <c r="M49" s="197" t="s">
        <v>522</v>
      </c>
      <c r="N49" s="193">
        <v>27.6799</v>
      </c>
      <c r="O49" s="193">
        <v>27.6799</v>
      </c>
      <c r="P49" s="193">
        <v>2.5000000000000001E-3</v>
      </c>
      <c r="Q49" s="28">
        <v>0.249089</v>
      </c>
      <c r="S49" s="21">
        <v>13</v>
      </c>
      <c r="T49" s="192">
        <f>INDEX(Cert_patrones[[#All],[Código Patrón]:[Deriva]],MATCH($U$35,Cert_patrones[Código Patrón],0)+S49,3)*coef_unidad</f>
        <v>5000.34</v>
      </c>
      <c r="U49" s="192">
        <f>INDEX(Cert_patrones[[#All],[Código Patrón]:[Deriva]],MATCH($U$35,Cert_patrones[Código Patrón],0)+S49,4)*coef_unidad</f>
        <v>0.34</v>
      </c>
      <c r="V49" s="192">
        <f>INDEX(Cert_patrones[[#All],[Código Patrón]:[Deriva]],MATCH($U$35,Cert_patrones[Código Patrón],0)+S49,5)*coef_unidad</f>
        <v>0.8</v>
      </c>
      <c r="W49" s="192">
        <f>INDEX(Cert_patrones[[#All],[Código Patrón]:[Deriva]],MATCH($U$35,Cert_patrones[Código Patrón],0)+S49,9)*coef_unidad</f>
        <v>1.1547005383792516E-2</v>
      </c>
      <c r="Y49" s="21">
        <v>13</v>
      </c>
      <c r="Z49" s="192" t="str">
        <f>IFERROR(INDEX(Cert_patrones[[#All],[Código Patrón]:[Deriva]],MATCH($AA$35,Cert_patrones[Código Patrón],0)+Y49,3)*coef_unidad,"")</f>
        <v/>
      </c>
      <c r="AA49" s="192" t="str">
        <f>IFERROR(INDEX(Cert_patrones[[#All],[Código Patrón]:[Deriva]],MATCH($AA$35,Cert_patrones[Código Patrón],0)+Y49,4)*coef_unidad,"")</f>
        <v/>
      </c>
      <c r="AB49" s="192" t="str">
        <f>IFERROR(INDEX(Cert_patrones[[#All],[Código Patrón]:[Deriva]],MATCH($AA$35,Cert_patrones[Código Patrón],0)+Y49,5)*coef_unidad,"")</f>
        <v/>
      </c>
      <c r="AC49" s="192" t="str">
        <f>IFERROR(INDEX(Cert_patrones[[#All],[Código Patrón]:[Deriva]],MATCH($AA$35,Cert_patrones[Código Patrón],0)+Y49,9)*coef_unidad,"")</f>
        <v/>
      </c>
      <c r="AE49" s="48" t="s">
        <v>173</v>
      </c>
      <c r="AF49" s="48">
        <v>1</v>
      </c>
      <c r="AG49" s="48">
        <v>2</v>
      </c>
      <c r="AH49" s="48">
        <v>3</v>
      </c>
      <c r="AI49" s="48">
        <v>4</v>
      </c>
      <c r="AJ49" s="48">
        <v>5</v>
      </c>
      <c r="AK49" s="48">
        <v>6</v>
      </c>
      <c r="AL49" s="48">
        <v>7</v>
      </c>
      <c r="AM49" s="48">
        <v>8</v>
      </c>
      <c r="AN49" s="48">
        <v>9</v>
      </c>
      <c r="AO49" s="48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IFERROR(IF(C50&lt;&gt;"",tblCompU[[#Totals],[10]]*'kU(E)'!G68,""),"")</f>
        <v/>
      </c>
      <c r="G50" s="255" t="str">
        <f t="shared" ca="1" si="10"/>
        <v/>
      </c>
      <c r="H50" s="97" t="str">
        <f t="shared" ca="1" si="11"/>
        <v/>
      </c>
      <c r="I50" s="97" t="str">
        <f t="shared" ca="1" si="12"/>
        <v/>
      </c>
      <c r="J50" s="100" t="str">
        <f t="shared" ca="1" si="13"/>
        <v/>
      </c>
      <c r="K50" s="97" t="str">
        <f ca="1">IFERROR(IF(C50="","",#REF!),"")</f>
        <v/>
      </c>
      <c r="M50" s="197" t="s">
        <v>353</v>
      </c>
      <c r="N50" s="193">
        <v>6.8049999999999999E-2</v>
      </c>
      <c r="O50" s="193">
        <v>6.8049999999999999E-2</v>
      </c>
      <c r="P50" s="193">
        <v>1.0132000000000001</v>
      </c>
      <c r="Q50" s="28">
        <v>101.325</v>
      </c>
      <c r="S50" s="21">
        <v>14</v>
      </c>
      <c r="T50" s="192">
        <f>INDEX(Cert_patrones[[#All],[Código Patrón]:[Deriva]],MATCH($U$35,Cert_patrones[Código Patrón],0)+S50,3)*coef_unidad</f>
        <v>4000.23</v>
      </c>
      <c r="U50" s="192">
        <f>INDEX(Cert_patrones[[#All],[Código Patrón]:[Deriva]],MATCH($U$35,Cert_patrones[Código Patrón],0)+S50,4)*coef_unidad</f>
        <v>0.23</v>
      </c>
      <c r="V50" s="192">
        <f>INDEX(Cert_patrones[[#All],[Código Patrón]:[Deriva]],MATCH($U$35,Cert_patrones[Código Patrón],0)+S50,5)*coef_unidad</f>
        <v>0.63</v>
      </c>
      <c r="W50" s="192">
        <f>INDEX(Cert_patrones[[#All],[Código Patrón]:[Deriva]],MATCH($U$35,Cert_patrones[Código Patrón],0)+S50,9)*coef_unidad</f>
        <v>1.1547005383792516E-2</v>
      </c>
      <c r="Y50" s="21">
        <v>14</v>
      </c>
      <c r="Z50" s="192" t="str">
        <f>IFERROR(INDEX(Cert_patrones[[#All],[Código Patrón]:[Deriva]],MATCH($AA$35,Cert_patrones[Código Patrón],0)+Y50,3)*coef_unidad,"")</f>
        <v/>
      </c>
      <c r="AA50" s="192" t="str">
        <f>IFERROR(INDEX(Cert_patrones[[#All],[Código Patrón]:[Deriva]],MATCH($AA$35,Cert_patrones[Código Patrón],0)+Y50,4)*coef_unidad,"")</f>
        <v/>
      </c>
      <c r="AB50" s="192" t="str">
        <f>IFERROR(INDEX(Cert_patrones[[#All],[Código Patrón]:[Deriva]],MATCH($AA$35,Cert_patrones[Código Patrón],0)+Y50,5)*coef_unidad,"")</f>
        <v/>
      </c>
      <c r="AC50" s="192" t="str">
        <f>IFERROR(INDEX(Cert_patrones[[#All],[Código Patrón]:[Deriva]],MATCH($AA$35,Cert_patrones[Código Patrón],0)+Y50,9)*coef_unidad,"")</f>
        <v/>
      </c>
      <c r="AE50" s="71" t="s">
        <v>167</v>
      </c>
      <c r="AF50" s="72" t="str">
        <f t="array" aca="1" ref="AF50:AO50" ca="1">TRANSPOSE($T$15:$T$29)</f>
        <v/>
      </c>
      <c r="AG50" s="72" t="str">
        <f ca="1"/>
        <v/>
      </c>
      <c r="AH50" s="72" t="str">
        <f ca="1"/>
        <v/>
      </c>
      <c r="AI50" s="72" t="str">
        <f ca="1"/>
        <v/>
      </c>
      <c r="AJ50" s="72" t="str">
        <f ca="1"/>
        <v/>
      </c>
      <c r="AK50" s="72" t="str">
        <f ca="1"/>
        <v/>
      </c>
      <c r="AL50" s="67" t="str">
        <f ca="1"/>
        <v/>
      </c>
      <c r="AM50" s="67" t="str">
        <f ca="1"/>
        <v/>
      </c>
      <c r="AN50" s="67" t="str">
        <f ca="1"/>
        <v/>
      </c>
      <c r="AO50" s="67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IFERROR(IF(C51&lt;&gt;"",tblCompU[[#Totals],[10]]*'kU(E)'!G69,""),"")</f>
        <v/>
      </c>
      <c r="G51" s="255" t="str">
        <f t="shared" ca="1" si="10"/>
        <v/>
      </c>
      <c r="H51" s="97" t="str">
        <f t="shared" ca="1" si="11"/>
        <v/>
      </c>
      <c r="I51" s="97" t="str">
        <f t="shared" ca="1" si="12"/>
        <v/>
      </c>
      <c r="J51" s="100" t="str">
        <f t="shared" ca="1" si="13"/>
        <v/>
      </c>
      <c r="K51" s="97" t="str">
        <f ca="1">IFERROR(IF(C51="","",#REF!),"")</f>
        <v/>
      </c>
      <c r="M51" s="28" t="s">
        <v>523</v>
      </c>
      <c r="N51" s="28">
        <v>0.70306000000000002</v>
      </c>
      <c r="O51" s="28">
        <v>0.70306000000000002</v>
      </c>
      <c r="P51" s="28">
        <v>9.8100000000000007E-2</v>
      </c>
      <c r="Q51" s="28">
        <v>9.81</v>
      </c>
      <c r="S51" s="21">
        <v>15</v>
      </c>
      <c r="T51" s="192">
        <f>INDEX(Cert_patrones[[#All],[Código Patrón]:[Deriva]],MATCH($U$35,Cert_patrones[Código Patrón],0)+S51,3)*coef_unidad</f>
        <v>3000.14</v>
      </c>
      <c r="U51" s="192">
        <f>INDEX(Cert_patrones[[#All],[Código Patrón]:[Deriva]],MATCH($U$35,Cert_patrones[Código Patrón],0)+S51,4)*coef_unidad</f>
        <v>0.14000000000000001</v>
      </c>
      <c r="V51" s="192">
        <f>INDEX(Cert_patrones[[#All],[Código Patrón]:[Deriva]],MATCH($U$35,Cert_patrones[Código Patrón],0)+S51,5)*coef_unidad</f>
        <v>0.63</v>
      </c>
      <c r="W51" s="192">
        <f>INDEX(Cert_patrones[[#All],[Código Patrón]:[Deriva]],MATCH($U$35,Cert_patrones[Código Patrón],0)+S51,9)*coef_unidad</f>
        <v>1.1547005383792516E-2</v>
      </c>
      <c r="Y51" s="21">
        <v>15</v>
      </c>
      <c r="Z51" s="192" t="str">
        <f>IFERROR(INDEX(Cert_patrones[[#All],[Código Patrón]:[Deriva]],MATCH($AA$35,Cert_patrones[Código Patrón],0)+Y51,3)*coef_unidad,"")</f>
        <v/>
      </c>
      <c r="AA51" s="192" t="str">
        <f>IFERROR(INDEX(Cert_patrones[[#All],[Código Patrón]:[Deriva]],MATCH($AA$35,Cert_patrones[Código Patrón],0)+Y51,4)*coef_unidad,"")</f>
        <v/>
      </c>
      <c r="AB51" s="192" t="str">
        <f>IFERROR(INDEX(Cert_patrones[[#All],[Código Patrón]:[Deriva]],MATCH($AA$35,Cert_patrones[Código Patrón],0)+Y51,5)*coef_unidad,"")</f>
        <v/>
      </c>
      <c r="AC51" s="192" t="str">
        <f>IFERROR(INDEX(Cert_patrones[[#All],[Código Patrón]:[Deriva]],MATCH($AA$35,Cert_patrones[Código Patrón],0)+Y51,9)*coef_unidad,"")</f>
        <v/>
      </c>
      <c r="AE51" s="71" t="s">
        <v>168</v>
      </c>
      <c r="AF51" s="68" t="str">
        <f ca="1">IFERROR(INDEX($Z$37:$Z$51,MATCH(AF$50,$Z$37:OFFSET($Z$37,NumPuntosCalib2-1,0),1)),"")</f>
        <v/>
      </c>
      <c r="AG51" s="68" t="str">
        <f ca="1">IFERROR(INDEX($Z$37:$Z$51,MATCH(AG$50,$Z$37:OFFSET($Z$37,NumPuntosCalib2-1,0),1)),"")</f>
        <v/>
      </c>
      <c r="AH51" s="68" t="str">
        <f ca="1">IFERROR(INDEX($Z$37:$Z$51,MATCH(AH$50,$Z$37:OFFSET($Z$37,NumPuntosCalib2-1,0),1)),"")</f>
        <v/>
      </c>
      <c r="AI51" s="68" t="str">
        <f ca="1">IFERROR(INDEX($Z$37:$Z$51,MATCH(AI$50,$Z$37:OFFSET($Z$37,NumPuntosCalib2-1,0),1)),"")</f>
        <v/>
      </c>
      <c r="AJ51" s="68" t="str">
        <f ca="1">IFERROR(INDEX($Z$37:$Z$51,MATCH(AJ$50,$Z$37:OFFSET($Z$37,NumPuntosCalib2-1,0),1)),"")</f>
        <v/>
      </c>
      <c r="AK51" s="68" t="str">
        <f ca="1">IFERROR(INDEX($Z$37:$Z$51,MATCH(AK$50,$Z$37:OFFSET($Z$37,NumPuntosCalib2-1,0),1)),"")</f>
        <v/>
      </c>
      <c r="AL51" s="68" t="str">
        <f ca="1">IFERROR(INDEX($Z$37:$Z$51,MATCH(AL$50,$Z$37:OFFSET($Z$37,NumPuntosCalib2-1,0),1)),"")</f>
        <v/>
      </c>
      <c r="AM51" s="68" t="str">
        <f ca="1">IFERROR(INDEX($Z$37:$Z$51,MATCH(AM$50,$Z$37:OFFSET($Z$37,NumPuntosCalib2-1,0),1)),"")</f>
        <v/>
      </c>
      <c r="AN51" s="68" t="str">
        <f ca="1">IFERROR(INDEX($Z$37:$Z$51,MATCH(AN$50,$Z$37:OFFSET($Z$37,NumPuntosCalib2-1,0),1)),"")</f>
        <v/>
      </c>
      <c r="AO51" s="68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IFERROR(IF(C52&lt;&gt;"",tblCompU[[#Totals],[10]]*'kU(E)'!G70,""),"")</f>
        <v/>
      </c>
      <c r="G52" s="255" t="str">
        <f t="shared" ca="1" si="10"/>
        <v/>
      </c>
      <c r="H52" s="97" t="str">
        <f t="shared" ca="1" si="11"/>
        <v/>
      </c>
      <c r="I52" s="97" t="str">
        <f t="shared" ca="1" si="12"/>
        <v/>
      </c>
      <c r="J52" s="100" t="str">
        <f t="shared" ca="1" si="13"/>
        <v/>
      </c>
      <c r="K52" s="97" t="str">
        <f ca="1">IFERROR(IF(C52="","",#REF!),"")</f>
        <v/>
      </c>
      <c r="S52" s="21"/>
      <c r="T52" s="21" t="s">
        <v>162</v>
      </c>
      <c r="U52" s="21"/>
      <c r="V52" s="49">
        <f>COUNTIF(V37:V51,"&lt;&gt;0")</f>
        <v>15</v>
      </c>
      <c r="W52" s="21"/>
      <c r="Y52" s="21"/>
      <c r="Z52" s="21" t="s">
        <v>162</v>
      </c>
      <c r="AA52" s="21"/>
      <c r="AB52" s="49">
        <f>COUNTIF(AB37:AB51,"&lt;&gt;0")</f>
        <v>15</v>
      </c>
      <c r="AC52" s="21"/>
      <c r="AE52" s="71" t="s">
        <v>170</v>
      </c>
      <c r="AF52" s="68" t="str">
        <f ca="1">IFERROR(INDEX($AB$37:$AB$51,MATCH(AF$50,$Z$37:OFFSET($Z$37,NumPuntosCalib2-1,0),1)),"")</f>
        <v/>
      </c>
      <c r="AG52" s="68" t="str">
        <f ca="1">IFERROR(INDEX($AB$37:$AB$51,MATCH(AG$50,$Z$37:OFFSET($Z$37,NumPuntosCalib2-1,0),1)),"")</f>
        <v/>
      </c>
      <c r="AH52" s="68" t="str">
        <f ca="1">IFERROR(INDEX($AB$37:$AB$51,MATCH(AH$50,$Z$37:OFFSET($Z$37,NumPuntosCalib2-1,0),1)),"")</f>
        <v/>
      </c>
      <c r="AI52" s="68" t="str">
        <f ca="1">IFERROR(INDEX($AB$37:$AB$51,MATCH(AI$50,$Z$37:OFFSET($Z$37,NumPuntosCalib2-1,0),1)),"")</f>
        <v/>
      </c>
      <c r="AJ52" s="68" t="str">
        <f ca="1">IFERROR(INDEX($AB$37:$AB$51,MATCH(AJ$50,$Z$37:OFFSET($Z$37,NumPuntosCalib2-1,0),1)),"")</f>
        <v/>
      </c>
      <c r="AK52" s="68" t="str">
        <f ca="1">IFERROR(INDEX($AB$37:$AB$51,MATCH(AK$50,$Z$37:OFFSET($Z$37,NumPuntosCalib2-1,0),1)),"")</f>
        <v/>
      </c>
      <c r="AL52" s="68" t="str">
        <f ca="1">IFERROR(INDEX($AB$37:$AB$51,MATCH(AL$50,$Z$37:OFFSET($Z$37,NumPuntosCalib2-1,0),1)),"")</f>
        <v/>
      </c>
      <c r="AM52" s="68" t="str">
        <f ca="1">IFERROR(INDEX($AB$37:$AB$51,MATCH(AM$50,$Z$37:OFFSET($Z$37,NumPuntosCalib2-1,0),1)),"")</f>
        <v/>
      </c>
      <c r="AN52" s="68" t="str">
        <f ca="1">IFERROR(INDEX($AB$37:$AB$51,MATCH(AN$50,$Z$37:OFFSET($Z$37,NumPuntosCalib2-1,0),1)),"")</f>
        <v/>
      </c>
      <c r="AO52" s="68" t="str">
        <f ca="1">IFERROR(INDEX($AB$37:$AB$51,MATCH(AO$50,$Z$37:OFFSET($Z$37,NumPuntosCalib2-1,0),1)),"")</f>
        <v/>
      </c>
    </row>
    <row r="53" spans="2:41" ht="16.2" x14ac:dyDescent="0.3">
      <c r="T53" s="116" t="s">
        <v>238</v>
      </c>
      <c r="U53" s="125">
        <f t="array" aca="1" ref="U53" ca="1">RSQ($U$37:OFFSET($U$37,MATCH(TRUE,$V$37:$V$51&lt;&gt;0,1)-1,0),$T$37:OFFSET($T$37,MATCH(TRUE,$V$37:$V$51&lt;&gt;0,1)-1,0))</f>
        <v>0.14409815531450187</v>
      </c>
      <c r="V53" s="125">
        <f t="array" aca="1" ref="V53" ca="1">RSQ($V$37:OFFSET($V$37,MATCH(TRUE,$V$37:$V$51&lt;&gt;0,1)-1,0),$T$37:OFFSET($T$37,MATCH(TRUE,$V$37:$V$51&lt;&gt;0,1)-1,0))</f>
        <v>0.49182082397043014</v>
      </c>
      <c r="W53" s="125">
        <f t="array" aca="1" ref="W53" ca="1">IFERROR(RSQ($W$37:OFFSET($V$37,MATCH(TRUE,$V$37:$V$51&lt;&gt;0,1)-1,0),$T$37:OFFSET($T$37,MATCH(TRUE,$V$37:$V$51&lt;&gt;0,1)-1,0)),1)</f>
        <v>1</v>
      </c>
      <c r="Z53" s="116" t="s">
        <v>238</v>
      </c>
      <c r="AA53" s="125">
        <f t="array" aca="1" ref="AA53" ca="1">IFERROR(RSQ($AA$37:OFFSET($AA$37,MATCH(TRUE,$AB$37:$AB$51&lt;&gt;0,1)-1,0),$Z$37:OFFSET($Z$37,MATCH(TRUE,$AB$37:$AB$51&lt;&gt;0,1)-1,0)),0)</f>
        <v>0</v>
      </c>
      <c r="AB53" s="125">
        <f t="array" aca="1" ref="AB53" ca="1">IFERROR(RSQ($AB$37:OFFSET($AB$37,MATCH(TRUE,$AA$37:$AA$51&lt;&gt;0,1)-1,0),$Z$37:OFFSET($Z$37,MATCH(TRUE,$AA$37:$AA$51&lt;&gt;0,1)-1,0)),0)</f>
        <v>0</v>
      </c>
      <c r="AC53" s="125">
        <f t="array" aca="1" ref="AC53" ca="1">IFERROR(RSQ($AC$37:OFFSET($AC$37,MATCH(TRUE,$AA$37:$AA$51&lt;&gt;0,1)-1,0),$Z$37:OFFSET($Z$37,MATCH(TRUE,$AA$37:$AA$51&lt;&gt;0,1)-1,0)),0)</f>
        <v>0</v>
      </c>
      <c r="AE53" s="71" t="s">
        <v>169</v>
      </c>
      <c r="AF53" s="68" t="str">
        <f ca="1">IFERROR(INDEX($Z$37:$Z$51,MATCH(AF$50,$Z$37:OFFSET($Z$37,NumPuntosCalib2-1,0),1)+1),"")</f>
        <v/>
      </c>
      <c r="AG53" s="68" t="str">
        <f ca="1">IFERROR(INDEX($Z$37:$Z$51,MATCH(AG$50,$Z$37:OFFSET($Z$37,NumPuntosCalib2-1,0),1)+1),"")</f>
        <v/>
      </c>
      <c r="AH53" s="68" t="str">
        <f ca="1">IFERROR(INDEX($Z$37:$Z$51,MATCH(AH$50,$Z$37:OFFSET($Z$37,NumPuntosCalib2-1,0),1)+1),"")</f>
        <v/>
      </c>
      <c r="AI53" s="68" t="str">
        <f ca="1">IFERROR(INDEX($Z$37:$Z$51,MATCH(AI$50,$Z$37:OFFSET($Z$37,NumPuntosCalib2-1,0),1)+1),"")</f>
        <v/>
      </c>
      <c r="AJ53" s="68" t="str">
        <f ca="1">IFERROR(INDEX($Z$37:$Z$51,MATCH(AJ$50,$Z$37:OFFSET($Z$37,NumPuntosCalib2-1,0),1)+1),"")</f>
        <v/>
      </c>
      <c r="AK53" s="68" t="str">
        <f ca="1">IFERROR(INDEX($Z$37:$Z$51,MATCH(AK$50,$Z$37:OFFSET($Z$37,NumPuntosCalib2-1,0),1)+1),"")</f>
        <v/>
      </c>
      <c r="AL53" s="68" t="str">
        <f ca="1">IFERROR(INDEX($Z$37:$Z$51,MATCH(AL$50,$Z$37:OFFSET($Z$37,NumPuntosCalib2-1,0),1)+1),"")</f>
        <v/>
      </c>
      <c r="AM53" s="68" t="str">
        <f ca="1">IFERROR(INDEX($Z$37:$Z$51,MATCH(AM$50,$Z$37:OFFSET($Z$37,NumPuntosCalib2-1,0),1)+1),"")</f>
        <v/>
      </c>
      <c r="AN53" s="68" t="str">
        <f ca="1">IFERROR(INDEX($Z$37:$Z$51,MATCH(AN$50,$Z$37:OFFSET($Z$37,NumPuntosCalib2-1,0),1)+1),"")</f>
        <v/>
      </c>
      <c r="AO53" s="68" t="str">
        <f ca="1">IFERROR(INDEX($Z$37:$Z$51,MATCH(AO$50,$Z$37:OFFSET($Z$37,NumPuntosCalib2-1,0),1)+1),"")</f>
        <v/>
      </c>
    </row>
    <row r="54" spans="2:41" x14ac:dyDescent="0.3">
      <c r="M54" t="s">
        <v>357</v>
      </c>
      <c r="AE54" s="71" t="s">
        <v>171</v>
      </c>
      <c r="AF54" s="68" t="str">
        <f ca="1">IFERROR(INDEX($AB$37:$AB$51,MATCH(AF$50,$Z$37:OFFSET($Z$37,NumPuntosCalib2-1,0),1)+1),"")</f>
        <v/>
      </c>
      <c r="AG54" s="68" t="str">
        <f ca="1">IFERROR(INDEX($AB$37:$AB$51,MATCH(AG$50,$Z$37:OFFSET($Z$37,NumPuntosCalib2-1,0),1)+1),"")</f>
        <v/>
      </c>
      <c r="AH54" s="68" t="str">
        <f ca="1">IFERROR(INDEX($AB$37:$AB$51,MATCH(AH$50,$Z$37:OFFSET($Z$37,NumPuntosCalib2-1,0),1)+1),"")</f>
        <v/>
      </c>
      <c r="AI54" s="68" t="str">
        <f ca="1">IFERROR(INDEX($AB$37:$AB$51,MATCH(AI$50,$Z$37:OFFSET($Z$37,NumPuntosCalib2-1,0),1)+1),"")</f>
        <v/>
      </c>
      <c r="AJ54" s="68" t="str">
        <f ca="1">IFERROR(INDEX($AB$37:$AB$51,MATCH(AJ$50,$Z$37:OFFSET($Z$37,NumPuntosCalib2-1,0),1)+1),"")</f>
        <v/>
      </c>
      <c r="AK54" s="68" t="str">
        <f ca="1">IFERROR(INDEX($AB$37:$AB$51,MATCH(AK$50,$Z$37:OFFSET($Z$37,NumPuntosCalib2-1,0),1)+1),"")</f>
        <v/>
      </c>
      <c r="AL54" s="68" t="str">
        <f ca="1">IFERROR(INDEX($AB$37:$AB$51,MATCH(AL$50,$Z$37:OFFSET($Z$37,NumPuntosCalib2-1,0),1)+1),"")</f>
        <v/>
      </c>
      <c r="AM54" s="68" t="str">
        <f ca="1">IFERROR(INDEX($AB$37:$AB$51,MATCH(AM$50,$Z$37:OFFSET($Z$37,NumPuntosCalib2-1,0),1)+1),"")</f>
        <v/>
      </c>
      <c r="AN54" s="68" t="str">
        <f ca="1">IFERROR(INDEX($AB$37:$AB$51,MATCH(AN$50,$Z$37:OFFSET($Z$37,NumPuntosCalib2-1,0),1)+1),"")</f>
        <v/>
      </c>
      <c r="AO54" s="68" t="str">
        <f ca="1">IFERROR(INDEX($AB$37:$AB$51,MATCH(AO$50,$Z$37:OFFSET($Z$37,NumPuntosCalib2-1,0),1)+1),"")</f>
        <v/>
      </c>
    </row>
    <row r="55" spans="2:41" x14ac:dyDescent="0.3">
      <c r="AE55" s="71" t="s">
        <v>172</v>
      </c>
      <c r="AF55" s="119" t="str">
        <f t="shared" ref="AF55:AO55" ca="1" si="16">IFERROR(AF52+(AF50-AF51)*(AF54-AF52)/(AF53-AF51),"")</f>
        <v/>
      </c>
      <c r="AG55" s="119" t="str">
        <f t="shared" ca="1" si="16"/>
        <v/>
      </c>
      <c r="AH55" s="119" t="str">
        <f t="shared" ca="1" si="16"/>
        <v/>
      </c>
      <c r="AI55" s="119" t="str">
        <f t="shared" ca="1" si="16"/>
        <v/>
      </c>
      <c r="AJ55" s="119" t="str">
        <f t="shared" ca="1" si="16"/>
        <v/>
      </c>
      <c r="AK55" s="119" t="str">
        <f t="shared" ca="1" si="16"/>
        <v/>
      </c>
      <c r="AL55" s="119" t="str">
        <f t="shared" ca="1" si="16"/>
        <v/>
      </c>
      <c r="AM55" s="119" t="str">
        <f t="shared" ca="1" si="16"/>
        <v/>
      </c>
      <c r="AN55" s="119" t="str">
        <f t="shared" ca="1" si="16"/>
        <v/>
      </c>
      <c r="AO55" s="119" t="str">
        <f t="shared" ca="1" si="16"/>
        <v/>
      </c>
    </row>
    <row r="58" spans="2:41" x14ac:dyDescent="0.3">
      <c r="AE58" s="16" t="s">
        <v>397</v>
      </c>
      <c r="AF58" s="16"/>
      <c r="AG58" s="16"/>
      <c r="AH58" s="16"/>
      <c r="AI58" s="16" t="str">
        <f>CONCATENATE("[Todo en ", unidad,"]")</f>
        <v>[Todo en psi]</v>
      </c>
      <c r="AJ58" s="16"/>
    </row>
    <row r="60" spans="2:41" x14ac:dyDescent="0.3">
      <c r="AE60" s="48" t="s">
        <v>173</v>
      </c>
      <c r="AF60" s="48">
        <v>1</v>
      </c>
      <c r="AG60" s="48">
        <v>2</v>
      </c>
      <c r="AH60" s="48">
        <v>3</v>
      </c>
      <c r="AI60" s="48">
        <v>4</v>
      </c>
      <c r="AJ60" s="48">
        <v>5</v>
      </c>
      <c r="AK60" s="48">
        <v>6</v>
      </c>
      <c r="AL60" s="48">
        <v>7</v>
      </c>
      <c r="AM60" s="48">
        <v>8</v>
      </c>
      <c r="AN60" s="48">
        <v>9</v>
      </c>
      <c r="AO60" s="48">
        <v>10</v>
      </c>
    </row>
    <row r="61" spans="2:41" x14ac:dyDescent="0.3">
      <c r="AE61" s="71" t="s">
        <v>167</v>
      </c>
      <c r="AF61" s="72" t="str">
        <f t="array" aca="1" ref="AF61:AO61" ca="1">TRANSPOSE($T$15:$T$29)</f>
        <v/>
      </c>
      <c r="AG61" s="72" t="str">
        <f ca="1"/>
        <v/>
      </c>
      <c r="AH61" s="72" t="str">
        <f ca="1"/>
        <v/>
      </c>
      <c r="AI61" s="72" t="str">
        <f ca="1"/>
        <v/>
      </c>
      <c r="AJ61" s="72" t="str">
        <f ca="1"/>
        <v/>
      </c>
      <c r="AK61" s="72" t="str">
        <f ca="1"/>
        <v/>
      </c>
      <c r="AL61" s="67" t="str">
        <f ca="1"/>
        <v/>
      </c>
      <c r="AM61" s="67" t="str">
        <f ca="1"/>
        <v/>
      </c>
      <c r="AN61" s="67" t="str">
        <f ca="1"/>
        <v/>
      </c>
      <c r="AO61" s="67" t="str">
        <f ca="1"/>
        <v/>
      </c>
    </row>
    <row r="62" spans="2:41" x14ac:dyDescent="0.3">
      <c r="AE62" s="71" t="s">
        <v>168</v>
      </c>
      <c r="AF62" s="68" t="str">
        <f ca="1">IFERROR(INDEX($Z$37:$Z$51,MATCH(AF$61,$Z$37:OFFSET($Z$37,NumPuntosCalib2-1,0),1)),"")</f>
        <v/>
      </c>
      <c r="AG62" s="68" t="str">
        <f ca="1">IFERROR(INDEX($Z$37:$Z$51,MATCH(AG$61,$Z$37:OFFSET($Z$37,NumPuntosCalib2-1,0),1)),"")</f>
        <v/>
      </c>
      <c r="AH62" s="68" t="str">
        <f ca="1">IFERROR(INDEX($Z$37:$Z$51,MATCH(AH$61,$Z$37:OFFSET($Z$37,NumPuntosCalib2-1,0),1)),"")</f>
        <v/>
      </c>
      <c r="AI62" s="68" t="str">
        <f ca="1">IFERROR(INDEX($Z$37:$Z$51,MATCH(AI$61,$Z$37:OFFSET($Z$37,NumPuntosCalib2-1,0),1)),"")</f>
        <v/>
      </c>
      <c r="AJ62" s="68" t="str">
        <f ca="1">IFERROR(INDEX($Z$37:$Z$51,MATCH(AJ$61,$Z$37:OFFSET($Z$37,NumPuntosCalib2-1,0),1)),"")</f>
        <v/>
      </c>
      <c r="AK62" s="68" t="str">
        <f ca="1">IFERROR(INDEX($Z$37:$Z$51,MATCH(AK$61,$Z$37:OFFSET($Z$37,NumPuntosCalib2-1,0),1)),"")</f>
        <v/>
      </c>
      <c r="AL62" s="68" t="str">
        <f ca="1">IFERROR(INDEX($Z$37:$Z$51,MATCH(AL$61,$Z$37:OFFSET($Z$37,NumPuntosCalib2-1,0),1)),"")</f>
        <v/>
      </c>
      <c r="AM62" s="68" t="str">
        <f ca="1">IFERROR(INDEX($Z$37:$Z$51,MATCH(AM$61,$Z$37:OFFSET($Z$37,NumPuntosCalib2-1,0),1)),"")</f>
        <v/>
      </c>
      <c r="AN62" s="68" t="str">
        <f ca="1">IFERROR(INDEX($Z$37:$Z$51,MATCH(AN$61,$Z$37:OFFSET($Z$37,NumPuntosCalib2-1,0),1)),"")</f>
        <v/>
      </c>
      <c r="AO62" s="68" t="str">
        <f ca="1">IFERROR(INDEX($Z$37:$Z$51,MATCH(AO$61,$Z$37:OFFSET($Z$37,NumPuntosCalib2-1,0),1)),"")</f>
        <v/>
      </c>
    </row>
    <row r="63" spans="2:41" x14ac:dyDescent="0.3">
      <c r="AE63" s="71" t="s">
        <v>170</v>
      </c>
      <c r="AF63" s="68" t="str">
        <f ca="1">IFERROR(INDEX($AC$37:$AC$51,MATCH(AF$61,$Z$37:OFFSET($Z$37,NumPuntosCalib2-1,0),1)),"")</f>
        <v/>
      </c>
      <c r="AG63" s="68" t="str">
        <f ca="1">IFERROR(INDEX($AC$37:$AC$51,MATCH(AG$61,$Z$37:OFFSET($Z$37,NumPuntosCalib2-1,0),1)),"")</f>
        <v/>
      </c>
      <c r="AH63" s="68" t="str">
        <f ca="1">IFERROR(INDEX($AC$37:$AC$51,MATCH(AH$61,$Z$37:OFFSET($Z$37,NumPuntosCalib2-1,0),1)),"")</f>
        <v/>
      </c>
      <c r="AI63" s="68" t="str">
        <f ca="1">IFERROR(INDEX($AC$37:$AC$51,MATCH(AI$61,$Z$37:OFFSET($Z$37,NumPuntosCalib2-1,0),1)),"")</f>
        <v/>
      </c>
      <c r="AJ63" s="68" t="str">
        <f ca="1">IFERROR(INDEX($AC$37:$AC$51,MATCH(AJ$61,$Z$37:OFFSET($Z$37,NumPuntosCalib2-1,0),1)),"")</f>
        <v/>
      </c>
      <c r="AK63" s="68" t="str">
        <f ca="1">IFERROR(INDEX($AC$37:$AC$51,MATCH(AK$61,$Z$37:OFFSET($Z$37,NumPuntosCalib2-1,0),1)),"")</f>
        <v/>
      </c>
      <c r="AL63" s="68" t="str">
        <f ca="1">IFERROR(INDEX($AC$37:$AC$51,MATCH(AL$61,$Z$37:OFFSET($Z$37,NumPuntosCalib2-1,0),1)),"")</f>
        <v/>
      </c>
      <c r="AM63" s="68" t="str">
        <f ca="1">IFERROR(INDEX($AC$37:$AC$51,MATCH(AM$61,$Z$37:OFFSET($Z$37,NumPuntosCalib2-1,0),1)),"")</f>
        <v/>
      </c>
      <c r="AN63" s="68" t="str">
        <f ca="1">IFERROR(INDEX($AC$37:$AC$51,MATCH(AN$61,$Z$37:OFFSET($Z$37,NumPuntosCalib2-1,0),1)),"")</f>
        <v/>
      </c>
      <c r="AO63" s="68" t="str">
        <f ca="1">IFERROR(INDEX($AC$37:$AC$51,MATCH(AO$61,$Z$37:OFFSET($Z$37,NumPuntosCalib2-1,0),1)),"")</f>
        <v/>
      </c>
    </row>
    <row r="64" spans="2:41" x14ac:dyDescent="0.3">
      <c r="AE64" s="71" t="s">
        <v>169</v>
      </c>
      <c r="AF64" s="68" t="str">
        <f ca="1">IFERROR(INDEX($Z$37:$Z$51,MATCH(AF$61,$Z$37:OFFSET($Z$37,NumPuntosCalib2-1,0),1)+1),"")</f>
        <v/>
      </c>
      <c r="AG64" s="68" t="str">
        <f ca="1">IFERROR(INDEX($Z$37:$Z$51,MATCH(AG$61,$Z$37:OFFSET($Z$37,NumPuntosCalib2-1,0),1)+1),"")</f>
        <v/>
      </c>
      <c r="AH64" s="68" t="str">
        <f ca="1">IFERROR(INDEX($Z$37:$Z$51,MATCH(AH$61,$Z$37:OFFSET($Z$37,NumPuntosCalib2-1,0),1)+1),"")</f>
        <v/>
      </c>
      <c r="AI64" s="68" t="str">
        <f ca="1">IFERROR(INDEX($Z$37:$Z$51,MATCH(AI$61,$Z$37:OFFSET($Z$37,NumPuntosCalib2-1,0),1)+1),"")</f>
        <v/>
      </c>
      <c r="AJ64" s="68" t="str">
        <f ca="1">IFERROR(INDEX($Z$37:$Z$51,MATCH(AJ$61,$Z$37:OFFSET($Z$37,NumPuntosCalib2-1,0),1)+1),"")</f>
        <v/>
      </c>
      <c r="AK64" s="68" t="str">
        <f ca="1">IFERROR(INDEX($Z$37:$Z$51,MATCH(AK$61,$Z$37:OFFSET($Z$37,NumPuntosCalib2-1,0),1)+1),"")</f>
        <v/>
      </c>
      <c r="AL64" s="68" t="str">
        <f ca="1">IFERROR(INDEX($Z$37:$Z$51,MATCH(AL$61,$Z$37:OFFSET($Z$37,NumPuntosCalib2-1,0),1)+1),"")</f>
        <v/>
      </c>
      <c r="AM64" s="68" t="str">
        <f ca="1">IFERROR(INDEX($Z$37:$Z$51,MATCH(AM$61,$Z$37:OFFSET($Z$37,NumPuntosCalib2-1,0),1)+1),"")</f>
        <v/>
      </c>
      <c r="AN64" s="68" t="str">
        <f ca="1">IFERROR(INDEX($Z$37:$Z$51,MATCH(AN$61,$Z$37:OFFSET($Z$37,NumPuntosCalib2-1,0),1)+1),"")</f>
        <v/>
      </c>
      <c r="AO64" s="68" t="str">
        <f ca="1">IFERROR(INDEX($Z$37:$Z$51,MATCH(AO$61,$Z$37:OFFSET($Z$37,NumPuntosCalib2-1,0),1)+1),"")</f>
        <v/>
      </c>
    </row>
    <row r="65" spans="31:41" x14ac:dyDescent="0.3">
      <c r="AE65" s="71" t="s">
        <v>171</v>
      </c>
      <c r="AF65" s="68" t="str">
        <f ca="1">IFERROR(INDEX($AC$37:$AC$51,MATCH(AF$61,$Z$37:OFFSET($Z$37,NumPuntosCalib2-1,0),1)+1),"")</f>
        <v/>
      </c>
      <c r="AG65" s="68" t="str">
        <f ca="1">IFERROR(INDEX($AC$37:$AC$51,MATCH(AG$61,$Z$37:OFFSET($Z$37,NumPuntosCalib2-1,0),1)+1),"")</f>
        <v/>
      </c>
      <c r="AH65" s="68" t="str">
        <f ca="1">IFERROR(INDEX($AC$37:$AC$51,MATCH(AH$61,$Z$37:OFFSET($Z$37,NumPuntosCalib2-1,0),1)+1),"")</f>
        <v/>
      </c>
      <c r="AI65" s="68" t="str">
        <f ca="1">IFERROR(INDEX($AC$37:$AC$51,MATCH(AI$61,$Z$37:OFFSET($Z$37,NumPuntosCalib2-1,0),1)+1),"")</f>
        <v/>
      </c>
      <c r="AJ65" s="68" t="str">
        <f ca="1">IFERROR(INDEX($AC$37:$AC$51,MATCH(AJ$61,$Z$37:OFFSET($Z$37,NumPuntosCalib2-1,0),1)+1),"")</f>
        <v/>
      </c>
      <c r="AK65" s="68" t="str">
        <f ca="1">IFERROR(INDEX($AC$37:$AC$51,MATCH(AK$61,$Z$37:OFFSET($Z$37,NumPuntosCalib2-1,0),1)+1),"")</f>
        <v/>
      </c>
      <c r="AL65" s="68" t="str">
        <f ca="1">IFERROR(INDEX($AC$37:$AC$51,MATCH(AL$61,$Z$37:OFFSET($Z$37,NumPuntosCalib2-1,0),1)+1),"")</f>
        <v/>
      </c>
      <c r="AM65" s="68" t="str">
        <f ca="1">IFERROR(INDEX($AC$37:$AC$51,MATCH(AM$61,$Z$37:OFFSET($Z$37,NumPuntosCalib2-1,0),1)+1),"")</f>
        <v/>
      </c>
      <c r="AN65" s="68" t="str">
        <f ca="1">IFERROR(INDEX($AC$37:$AC$51,MATCH(AN$61,$Z$37:OFFSET($Z$37,NumPuntosCalib2-1,0),1)+1),"")</f>
        <v/>
      </c>
      <c r="AO65" s="68" t="str">
        <f ca="1">IFERROR(INDEX($AC$37:$AC$51,MATCH(AO$61,$Z$37:OFFSET($Z$37,NumPuntosCalib2-1,0),1)+1),"")</f>
        <v/>
      </c>
    </row>
    <row r="66" spans="31:41" x14ac:dyDescent="0.3">
      <c r="AE66" s="71" t="s">
        <v>172</v>
      </c>
      <c r="AF66" s="119" t="str">
        <f t="shared" ref="AF66:AO66" ca="1" si="17">IFERROR(AF63+(AF61-AF62)*(AF65-AF63)/(AF64-AF62),"")</f>
        <v/>
      </c>
      <c r="AG66" s="119" t="str">
        <f t="shared" ca="1" si="17"/>
        <v/>
      </c>
      <c r="AH66" s="119" t="str">
        <f t="shared" ca="1" si="17"/>
        <v/>
      </c>
      <c r="AI66" s="119" t="str">
        <f t="shared" ca="1" si="17"/>
        <v/>
      </c>
      <c r="AJ66" s="119" t="str">
        <f t="shared" ca="1" si="17"/>
        <v/>
      </c>
      <c r="AK66" s="119" t="str">
        <f t="shared" ca="1" si="17"/>
        <v/>
      </c>
      <c r="AL66" s="119" t="str">
        <f t="shared" ca="1" si="17"/>
        <v/>
      </c>
      <c r="AM66" s="119" t="str">
        <f t="shared" ca="1" si="17"/>
        <v/>
      </c>
      <c r="AN66" s="119" t="str">
        <f t="shared" ca="1" si="17"/>
        <v/>
      </c>
      <c r="AO66" s="119" t="str">
        <f t="shared" ca="1" si="17"/>
        <v/>
      </c>
    </row>
    <row r="124" spans="59:59" x14ac:dyDescent="0.3">
      <c r="BG124" s="70" t="s">
        <v>42</v>
      </c>
    </row>
    <row r="125" spans="59:59" x14ac:dyDescent="0.3">
      <c r="BG125" s="70" t="s">
        <v>43</v>
      </c>
    </row>
    <row r="128" spans="59:59" x14ac:dyDescent="0.3">
      <c r="BG128" s="70" t="s">
        <v>371</v>
      </c>
    </row>
    <row r="129" spans="59:59" x14ac:dyDescent="0.3">
      <c r="BG129" s="70" t="s">
        <v>372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33" priority="12" operator="notBetween">
      <formula>MAX($U$5:$U$6)</formula>
      <formula>MIN($V$5:$V$6)</formula>
    </cfRule>
  </conditionalFormatting>
  <conditionalFormatting sqref="D15:F19 H15:H19 J15:J19">
    <cfRule type="cellIs" dxfId="32" priority="1" operator="notBetween">
      <formula>MAX($U$5:$U$6)</formula>
      <formula>MIN($V$5:$V$6)</formula>
    </cfRule>
  </conditionalFormatting>
  <conditionalFormatting sqref="E20:E24 G22:G24">
    <cfRule type="cellIs" dxfId="31" priority="75" operator="notBetween">
      <formula>MAX($U$5:$U$6)</formula>
      <formula>MIN($V$5:$V$6)</formula>
    </cfRule>
  </conditionalFormatting>
  <conditionalFormatting sqref="E20:E24">
    <cfRule type="cellIs" dxfId="30" priority="46" operator="between">
      <formula>"max($U$4:$U$5)"</formula>
      <formula>"min($V$4:$V$5)"</formula>
    </cfRule>
  </conditionalFormatting>
  <conditionalFormatting sqref="F38:F52">
    <cfRule type="cellIs" dxfId="29" priority="26" operator="lessThan">
      <formula>K38</formula>
    </cfRule>
  </conditionalFormatting>
  <conditionalFormatting sqref="G15:G20 I15:I20">
    <cfRule type="cellIs" dxfId="28" priority="7" operator="notBetween">
      <formula>MAX($U$5:$U$6)</formula>
      <formula>MIN($V$5:$V$6)</formula>
    </cfRule>
  </conditionalFormatting>
  <conditionalFormatting sqref="G20 G22:G24">
    <cfRule type="cellIs" dxfId="27" priority="44" operator="between">
      <formula>"max($U$4:$U$5)"</formula>
      <formula>"min($V$4:$V$5)"</formula>
    </cfRule>
  </conditionalFormatting>
  <conditionalFormatting sqref="K15:N21 H22:N29">
    <cfRule type="cellIs" dxfId="26" priority="19" operator="notBetween">
      <formula>MAX($U$5:$U$6)</formula>
      <formula>MIN($V$5:$V$6)</formula>
    </cfRule>
  </conditionalFormatting>
  <conditionalFormatting sqref="O15:O29">
    <cfRule type="expression" dxfId="25" priority="21">
      <formula>$C15&lt;&gt;0</formula>
    </cfRule>
  </conditionalFormatting>
  <conditionalFormatting sqref="T14">
    <cfRule type="duplicateValues" dxfId="24" priority="54"/>
  </conditionalFormatting>
  <conditionalFormatting sqref="T15:Z29">
    <cfRule type="expression" dxfId="23" priority="62">
      <formula>$T15&lt;&gt;0</formula>
    </cfRule>
  </conditionalFormatting>
  <conditionalFormatting sqref="W5:W7">
    <cfRule type="expression" dxfId="22" priority="24">
      <formula>CertTempC&lt;W5</formula>
    </cfRule>
  </conditionalFormatting>
  <conditionalFormatting sqref="X5:X7">
    <cfRule type="expression" dxfId="21" priority="25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0 G22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topLeftCell="A15" zoomScale="82" zoomScaleNormal="82" workbookViewId="0">
      <selection activeCell="J30" sqref="J3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5" t="s">
        <v>139</v>
      </c>
      <c r="C2" s="16"/>
      <c r="G2" s="94" t="s">
        <v>242</v>
      </c>
      <c r="H2" s="94"/>
      <c r="I2" s="94"/>
      <c r="J2" s="94"/>
      <c r="K2" s="94"/>
      <c r="L2" s="94"/>
      <c r="M2" s="94"/>
      <c r="N2" s="94"/>
      <c r="O2" s="94"/>
      <c r="P2" s="94"/>
      <c r="U2" s="343" t="s">
        <v>366</v>
      </c>
      <c r="V2" s="343"/>
      <c r="W2" s="343"/>
      <c r="X2" s="343"/>
      <c r="Y2" s="343"/>
      <c r="Z2" s="343"/>
      <c r="AA2" s="343"/>
      <c r="AB2" s="343"/>
      <c r="AC2" s="343"/>
      <c r="AD2" s="289" t="s">
        <v>277</v>
      </c>
      <c r="AG2" s="290" t="s">
        <v>141</v>
      </c>
      <c r="AH2" s="290" t="s">
        <v>340</v>
      </c>
      <c r="AI2" s="290" t="s">
        <v>277</v>
      </c>
    </row>
    <row r="3" spans="2:35" x14ac:dyDescent="0.3">
      <c r="B3" s="50" t="s">
        <v>140</v>
      </c>
      <c r="C3" s="50" t="s">
        <v>179</v>
      </c>
      <c r="D3" s="50" t="s">
        <v>141</v>
      </c>
      <c r="E3" s="50" t="s">
        <v>142</v>
      </c>
      <c r="G3" s="94" t="s">
        <v>243</v>
      </c>
      <c r="H3" s="94"/>
      <c r="I3" s="94"/>
      <c r="J3" s="94"/>
      <c r="K3" s="94"/>
      <c r="L3" s="94"/>
      <c r="M3" s="94"/>
      <c r="N3" s="94"/>
      <c r="O3" s="94"/>
      <c r="P3" s="94"/>
      <c r="U3" s="28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1" t="s">
        <v>275</v>
      </c>
      <c r="AH3" s="291">
        <v>6.8947570000000002</v>
      </c>
      <c r="AI3" s="292">
        <f>AH3*1000</f>
        <v>6894.7570000000005</v>
      </c>
    </row>
    <row r="4" spans="2:35" x14ac:dyDescent="0.3">
      <c r="B4" s="76" t="s">
        <v>180</v>
      </c>
      <c r="C4" s="79" t="s">
        <v>181</v>
      </c>
      <c r="D4" s="51" t="s">
        <v>97</v>
      </c>
      <c r="E4" s="77">
        <v>0</v>
      </c>
      <c r="G4" s="94" t="s">
        <v>244</v>
      </c>
      <c r="H4" s="94"/>
      <c r="I4" s="94"/>
      <c r="J4" s="94"/>
      <c r="K4" s="94"/>
      <c r="L4" s="94"/>
      <c r="M4" s="94"/>
      <c r="N4" s="94"/>
      <c r="O4" s="94"/>
      <c r="P4" s="94"/>
      <c r="AG4" s="291" t="s">
        <v>276</v>
      </c>
      <c r="AH4" s="291">
        <v>100</v>
      </c>
      <c r="AI4" s="292">
        <f t="shared" ref="AI4:AI17" si="0">AH4*1000</f>
        <v>100000</v>
      </c>
    </row>
    <row r="5" spans="2:35" ht="15.6" x14ac:dyDescent="0.3">
      <c r="B5" s="76" t="s">
        <v>143</v>
      </c>
      <c r="C5" s="79" t="s">
        <v>182</v>
      </c>
      <c r="D5" s="51" t="s">
        <v>144</v>
      </c>
      <c r="E5" s="78">
        <v>30</v>
      </c>
      <c r="U5" s="343" t="s">
        <v>366</v>
      </c>
      <c r="V5" s="343"/>
      <c r="W5" s="343"/>
      <c r="X5" s="343"/>
      <c r="Y5" s="343"/>
      <c r="Z5" s="343"/>
      <c r="AA5" s="343"/>
      <c r="AB5" s="343"/>
      <c r="AC5" s="344" t="str">
        <f>CONCATENATE("Todo en [",unidad,"]")</f>
        <v>Todo en [psi]</v>
      </c>
      <c r="AD5" s="344"/>
      <c r="AG5" s="291" t="s">
        <v>277</v>
      </c>
      <c r="AH5" s="291">
        <v>1E-3</v>
      </c>
      <c r="AI5" s="292">
        <f t="shared" si="0"/>
        <v>1</v>
      </c>
    </row>
    <row r="6" spans="2:35" x14ac:dyDescent="0.3">
      <c r="U6" s="288">
        <f ca="1">IF(unidad="Pa",U3*1,(U3/INDEX($AG$3:$AI$17,MATCH(General!$F$16,$AG$3:$AG$17,0),3)))</f>
        <v>0</v>
      </c>
      <c r="V6" s="288">
        <f ca="1">IF(unidad="Pa",V3*1,(V3/INDEX($AG$3:$AI$17,MATCH(General!$F$16,$AG$3:$AG$17,0),3)))</f>
        <v>0</v>
      </c>
      <c r="W6" s="288">
        <f ca="1">IF(unidad="Pa",W3*1,(W3/INDEX($AG$3:$AI$17,MATCH(General!$F$16,$AG$3:$AG$17,0),3)))</f>
        <v>0</v>
      </c>
      <c r="X6" s="288">
        <f ca="1">IF(unidad="Pa",X3*1,(X3/INDEX($AG$3:$AI$17,MATCH(General!$F$16,$AG$3:$AG$17,0),3)))</f>
        <v>0</v>
      </c>
      <c r="Y6" s="288">
        <f ca="1">IF(unidad="Pa",Y3*1,(Y3/INDEX($AG$3:$AI$17,MATCH(General!$F$16,$AG$3:$AG$17,0),3)))</f>
        <v>0</v>
      </c>
      <c r="Z6" s="288">
        <f ca="1">IF(unidad="Pa",Z3*1,(Z3/INDEX($AG$3:$AI$17,MATCH(General!$F$16,$AG$3:$AG$17,0),3)))</f>
        <v>0</v>
      </c>
      <c r="AA6" s="288">
        <f ca="1">IF(unidad="Pa",AA3*1,(AA3/INDEX($AG$3:$AI$17,MATCH(General!$F$16,$AG$3:$AG$17,0),3)))</f>
        <v>0</v>
      </c>
      <c r="AB6" s="288">
        <f ca="1">IF(unidad="Pa",AB3*1,(AB3/INDEX($AG$3:$AI$17,MATCH(General!$F$16,$AG$3:$AG$17,0),3)))</f>
        <v>0</v>
      </c>
      <c r="AC6" s="288">
        <f ca="1">IF(unidad="Pa",AC3*1,(AC3/INDEX($AG$3:$AI$17,MATCH(General!$F$16,$AG$3:$AG$17,0),3)))</f>
        <v>0</v>
      </c>
      <c r="AD6" s="288">
        <f ca="1">IF(unidad="Pa",AD3*1,(AD3/INDEX($AG$3:$AI$17,MATCH(General!$F$16,$AG$3:$AG$17,0),3)))</f>
        <v>0</v>
      </c>
      <c r="AG6" s="291" t="s">
        <v>340</v>
      </c>
      <c r="AH6" s="291">
        <v>1</v>
      </c>
      <c r="AI6" s="292">
        <f t="shared" si="0"/>
        <v>1000</v>
      </c>
    </row>
    <row r="7" spans="2:35" x14ac:dyDescent="0.3">
      <c r="B7" s="52" t="s">
        <v>155</v>
      </c>
      <c r="C7" s="16"/>
      <c r="D7" s="16"/>
      <c r="E7" s="16"/>
      <c r="F7" s="16"/>
      <c r="G7" s="139" t="str">
        <f ca="1">IFERROR(CONCATENATE(FIXED(Calibración!C38,decim),unidad),"")</f>
        <v/>
      </c>
      <c r="H7" s="139" t="str">
        <f ca="1">IFERROR(CONCATENATE(FIXED(Calibración!C39,decim),unidad),"")</f>
        <v/>
      </c>
      <c r="I7" s="139" t="str">
        <f ca="1">IFERROR(CONCATENATE(FIXED(Calibración!C40,decim),unidad),"")</f>
        <v/>
      </c>
      <c r="J7" s="139" t="str">
        <f ca="1">IFERROR(CONCATENATE(FIXED(Calibración!C41,decim),unidad),"")</f>
        <v/>
      </c>
      <c r="K7" s="139" t="str">
        <f ca="1">IFERROR(CONCATENATE(FIXED(Calibración!C42,decim),unidad),"")</f>
        <v/>
      </c>
      <c r="L7" s="139" t="str">
        <f ca="1">IFERROR(CONCATENATE(FIXED(Calibración!C43,decim),unidad),"")</f>
        <v/>
      </c>
      <c r="M7" s="139" t="str">
        <f ca="1">IFERROR(CONCATENATE(FIXED(Calibración!C44,decim),unidad),"")</f>
        <v/>
      </c>
      <c r="N7" s="139" t="str">
        <f ca="1">IFERROR(CONCATENATE(FIXED(Calibración!C45,decim),unidad),"")</f>
        <v/>
      </c>
      <c r="O7" s="139" t="str">
        <f ca="1">IFERROR(CONCATENATE(FIXED(Calibración!C46,decim),unidad),"")</f>
        <v/>
      </c>
      <c r="P7" s="139" t="str">
        <f ca="1">IFERROR(CONCATENATE(FIXED(Calibración!C47,decim),unidad),"")</f>
        <v/>
      </c>
      <c r="AG7" s="291" t="s">
        <v>278</v>
      </c>
      <c r="AH7" s="291">
        <v>0.01</v>
      </c>
      <c r="AI7" s="292">
        <f t="shared" si="0"/>
        <v>10</v>
      </c>
    </row>
    <row r="8" spans="2:35" ht="15" x14ac:dyDescent="0.3">
      <c r="B8" s="53" t="s">
        <v>156</v>
      </c>
      <c r="C8" s="54" t="s">
        <v>179</v>
      </c>
      <c r="D8" s="54" t="s">
        <v>178</v>
      </c>
      <c r="E8" s="54" t="s">
        <v>177</v>
      </c>
      <c r="F8" s="54" t="s">
        <v>183</v>
      </c>
      <c r="G8" s="55" t="s">
        <v>188</v>
      </c>
      <c r="H8" s="55" t="s">
        <v>189</v>
      </c>
      <c r="I8" s="55" t="s">
        <v>190</v>
      </c>
      <c r="J8" s="55" t="s">
        <v>191</v>
      </c>
      <c r="K8" s="55" t="s">
        <v>192</v>
      </c>
      <c r="L8" s="55" t="s">
        <v>193</v>
      </c>
      <c r="M8" s="55" t="s">
        <v>194</v>
      </c>
      <c r="N8" s="55" t="s">
        <v>195</v>
      </c>
      <c r="O8" s="55" t="s">
        <v>196</v>
      </c>
      <c r="P8" s="56" t="s">
        <v>197</v>
      </c>
      <c r="AG8" s="291" t="s">
        <v>506</v>
      </c>
      <c r="AH8" s="291">
        <v>1000</v>
      </c>
      <c r="AI8" s="292">
        <f t="shared" si="0"/>
        <v>1000000</v>
      </c>
    </row>
    <row r="9" spans="2:35" x14ac:dyDescent="0.3">
      <c r="B9" s="57" t="s">
        <v>159</v>
      </c>
      <c r="C9" s="58" t="s">
        <v>327</v>
      </c>
      <c r="D9" s="74" t="s">
        <v>176</v>
      </c>
      <c r="E9" s="75">
        <f>SQRT(12)</f>
        <v>3.4641016151377544</v>
      </c>
      <c r="F9" s="80">
        <v>1</v>
      </c>
      <c r="G9" s="103">
        <f ca="1">IF(G10=0,0,DivEscalaPatr*tblCompU[[#This Row],[Coef. ci]]/tblCompU[[#This Row],[Divisor]])</f>
        <v>0</v>
      </c>
      <c r="H9" s="103">
        <f ca="1">IF(H10=0,0,DivEscalaPatr*tblCompU[[#This Row],[Coef. ci]]/tblCompU[[#This Row],[Divisor]])</f>
        <v>0</v>
      </c>
      <c r="I9" s="103">
        <f ca="1">IF(I10=0,0,DivEscalaPatr*tblCompU[[#This Row],[Coef. ci]]/tblCompU[[#This Row],[Divisor]])</f>
        <v>0</v>
      </c>
      <c r="J9" s="103">
        <f ca="1">IF(J10=0,0,DivEscalaPatr*tblCompU[[#This Row],[Coef. ci]]/tblCompU[[#This Row],[Divisor]])</f>
        <v>0</v>
      </c>
      <c r="K9" s="103">
        <f ca="1">IF(K10=0,0,DivEscalaPatr*tblCompU[[#This Row],[Coef. ci]]/tblCompU[[#This Row],[Divisor]])</f>
        <v>0</v>
      </c>
      <c r="L9" s="103">
        <f ca="1">IF(L10=0,0,DivEscalaPatr*tblCompU[[#This Row],[Coef. ci]]/tblCompU[[#This Row],[Divisor]])</f>
        <v>0</v>
      </c>
      <c r="M9" s="103">
        <f ca="1">IF(M10=0,0,DivEscalaPatr*tblCompU[[#This Row],[Coef. ci]]/tblCompU[[#This Row],[Divisor]])</f>
        <v>0</v>
      </c>
      <c r="N9" s="103">
        <f ca="1">IF(N10=0,0,DivEscalaPatr*tblCompU[[#This Row],[Coef. ci]]/tblCompU[[#This Row],[Divisor]])</f>
        <v>0</v>
      </c>
      <c r="O9" s="103">
        <f ca="1">IF(O10=0,0,DivEscalaPatr*tblCompU[[#This Row],[Coef. ci]]/tblCompU[[#This Row],[Divisor]])</f>
        <v>0</v>
      </c>
      <c r="P9" s="104">
        <f ca="1">IF(P10=0,0,DivEscalaPatr*tblCompU[[#This Row],[Coef. ci]]/tblCompU[[#This Row],[Divisor]])</f>
        <v>0</v>
      </c>
      <c r="AG9" s="291" t="s">
        <v>519</v>
      </c>
      <c r="AH9" s="291">
        <v>98.066500000000005</v>
      </c>
      <c r="AI9" s="292">
        <f t="shared" si="0"/>
        <v>98066.5</v>
      </c>
    </row>
    <row r="10" spans="2:35" x14ac:dyDescent="0.3">
      <c r="B10" s="57" t="s">
        <v>175</v>
      </c>
      <c r="C10" s="58" t="s">
        <v>328</v>
      </c>
      <c r="D10" s="74" t="s">
        <v>202</v>
      </c>
      <c r="E10" s="80">
        <v>2</v>
      </c>
      <c r="F10" s="80">
        <v>1</v>
      </c>
      <c r="G10" s="103">
        <f ca="1">IFERROR(INDEX(tblResultCalib[Incertid. patrón],MATCH(_xlfn.NUMBERVALUE(INDIRECT(ADDRESS(8,COLUMN()))),tblResultCalib['#],0))*tblCompU[[#This Row],[Coef. ci]]/tblCompU[[#This Row],[Divisor]],0)</f>
        <v>0</v>
      </c>
      <c r="H10" s="103">
        <f ca="1">IFERROR(INDEX(tblResultCalib[Incertid. patrón],MATCH(_xlfn.NUMBERVALUE(INDIRECT(ADDRESS(8,COLUMN()))),tblResultCalib['#],0))*tblCompU[[#This Row],[Coef. ci]]/tblCompU[[#This Row],[Divisor]],0)</f>
        <v>0</v>
      </c>
      <c r="I10" s="103">
        <f ca="1">IFERROR(INDEX(tblResultCalib[Incertid. patrón],MATCH(_xlfn.NUMBERVALUE(INDIRECT(ADDRESS(8,COLUMN()))),tblResultCalib['#],0))*tblCompU[[#This Row],[Coef. ci]]/tblCompU[[#This Row],[Divisor]],0)</f>
        <v>0</v>
      </c>
      <c r="J10" s="103">
        <f ca="1">IFERROR(INDEX(tblResultCalib[Incertid. patrón],MATCH(_xlfn.NUMBERVALUE(INDIRECT(ADDRESS(8,COLUMN()))),tblResultCalib['#],0))*tblCompU[[#This Row],[Coef. ci]]/tblCompU[[#This Row],[Divisor]],0)</f>
        <v>0</v>
      </c>
      <c r="K10" s="103">
        <f ca="1">IFERROR(INDEX(tblResultCalib[Incertid. patrón],MATCH(_xlfn.NUMBERVALUE(INDIRECT(ADDRESS(8,COLUMN()))),tblResultCalib['#],0))*tblCompU[[#This Row],[Coef. ci]]/tblCompU[[#This Row],[Divisor]],0)</f>
        <v>0</v>
      </c>
      <c r="L10" s="103">
        <f ca="1">IFERROR(INDEX(tblResultCalib[Incertid. patrón],MATCH(_xlfn.NUMBERVALUE(INDIRECT(ADDRESS(8,COLUMN()))),tblResultCalib['#],0))*tblCompU[[#This Row],[Coef. ci]]/tblCompU[[#This Row],[Divisor]],0)</f>
        <v>0</v>
      </c>
      <c r="M10" s="103">
        <f ca="1">IFERROR(INDEX(tblResultCalib[Incertid. patrón],MATCH(_xlfn.NUMBERVALUE(INDIRECT(ADDRESS(8,COLUMN()))),tblResultCalib['#],0))*tblCompU[[#This Row],[Coef. ci]]/tblCompU[[#This Row],[Divisor]],0)</f>
        <v>0</v>
      </c>
      <c r="N10" s="103">
        <f ca="1">IFERROR(INDEX(tblResultCalib[Incertid. patrón],MATCH(_xlfn.NUMBERVALUE(INDIRECT(ADDRESS(8,COLUMN()))),tblResultCalib['#],0))*tblCompU[[#This Row],[Coef. ci]]/tblCompU[[#This Row],[Divisor]],0)</f>
        <v>0</v>
      </c>
      <c r="O10" s="103">
        <f ca="1">IFERROR(INDEX(tblResultCalib[Incertid. patrón],MATCH(_xlfn.NUMBERVALUE(INDIRECT(ADDRESS(8,COLUMN()))),tblResultCalib['#],0))*tblCompU[[#This Row],[Coef. ci]]/tblCompU[[#This Row],[Divisor]],0)</f>
        <v>0</v>
      </c>
      <c r="P10" s="104">
        <f ca="1">IFERROR(INDEX(tblResultCalib[Incertid. patrón],MATCH(_xlfn.NUMBERVALUE(INDIRECT(ADDRESS(8,COLUMN()))),tblResultCalib['#],0))*tblCompU[[#This Row],[Coef. ci]]/tblCompU[[#This Row],[Divisor]],0)</f>
        <v>0</v>
      </c>
      <c r="AG10" s="291" t="s">
        <v>354</v>
      </c>
      <c r="AH10" s="291">
        <v>3.38639</v>
      </c>
      <c r="AI10" s="292">
        <f t="shared" si="0"/>
        <v>3386.39</v>
      </c>
    </row>
    <row r="11" spans="2:35" x14ac:dyDescent="0.3">
      <c r="B11" s="57" t="s">
        <v>184</v>
      </c>
      <c r="C11" s="58" t="s">
        <v>337</v>
      </c>
      <c r="D11" s="74" t="s">
        <v>185</v>
      </c>
      <c r="E11" s="75">
        <f>SQRT(6)</f>
        <v>2.4494897427831779</v>
      </c>
      <c r="F11" s="80">
        <v>1</v>
      </c>
      <c r="G11" s="103">
        <f ca="1">IFERROR(INDEX(tblResultCalib[Corrección patrón],MATCH(_xlfn.NUMBERVALUE(INDIRECT(ADDRESS(8,COLUMN()))),tblResultCalib['#],0))*tblCompU[[#This Row],[Coef. ci]]/tblCompU[[#This Row],[Divisor]],0)</f>
        <v>0</v>
      </c>
      <c r="H11" s="103">
        <f ca="1">IFERROR(INDEX(tblResultCalib[Corrección patrón],MATCH(_xlfn.NUMBERVALUE(INDIRECT(ADDRESS(8,COLUMN()))),tblResultCalib['#],0))*tblCompU[[#This Row],[Coef. ci]]/tblCompU[[#This Row],[Divisor]],0)</f>
        <v>0</v>
      </c>
      <c r="I11" s="103">
        <f ca="1">IFERROR(INDEX(tblResultCalib[Corrección patrón],MATCH(_xlfn.NUMBERVALUE(INDIRECT(ADDRESS(8,COLUMN()))),tblResultCalib['#],0))*tblCompU[[#This Row],[Coef. ci]]/tblCompU[[#This Row],[Divisor]],0)</f>
        <v>0</v>
      </c>
      <c r="J11" s="103">
        <f ca="1">IFERROR(INDEX(tblResultCalib[Corrección patrón],MATCH(_xlfn.NUMBERVALUE(INDIRECT(ADDRESS(8,COLUMN()))),tblResultCalib['#],0))*tblCompU[[#This Row],[Coef. ci]]/tblCompU[[#This Row],[Divisor]],0)</f>
        <v>0</v>
      </c>
      <c r="K11" s="103">
        <f ca="1">IFERROR(INDEX(tblResultCalib[Corrección patrón],MATCH(_xlfn.NUMBERVALUE(INDIRECT(ADDRESS(8,COLUMN()))),tblResultCalib['#],0))*tblCompU[[#This Row],[Coef. ci]]/tblCompU[[#This Row],[Divisor]],0)</f>
        <v>0</v>
      </c>
      <c r="L11" s="103">
        <f ca="1">IFERROR(INDEX(tblResultCalib[Corrección patrón],MATCH(_xlfn.NUMBERVALUE(INDIRECT(ADDRESS(8,COLUMN()))),tblResultCalib['#],0))*tblCompU[[#This Row],[Coef. ci]]/tblCompU[[#This Row],[Divisor]],0)</f>
        <v>0</v>
      </c>
      <c r="M11" s="103">
        <f ca="1">IFERROR(INDEX(tblResultCalib[Corrección patrón],MATCH(_xlfn.NUMBERVALUE(INDIRECT(ADDRESS(8,COLUMN()))),tblResultCalib['#],0))*tblCompU[[#This Row],[Coef. ci]]/tblCompU[[#This Row],[Divisor]],0)</f>
        <v>0</v>
      </c>
      <c r="N11" s="103">
        <f ca="1">IFERROR(INDEX(tblResultCalib[Corrección patrón],MATCH(_xlfn.NUMBERVALUE(INDIRECT(ADDRESS(8,COLUMN()))),tblResultCalib['#],0))*tblCompU[[#This Row],[Coef. ci]]/tblCompU[[#This Row],[Divisor]],0)</f>
        <v>0</v>
      </c>
      <c r="O11" s="103">
        <f ca="1">IFERROR(INDEX(tblResultCalib[Corrección patrón],MATCH(_xlfn.NUMBERVALUE(INDIRECT(ADDRESS(8,COLUMN()))),tblResultCalib['#],0))*tblCompU[[#This Row],[Coef. ci]]/tblCompU[[#This Row],[Divisor]],0)</f>
        <v>0</v>
      </c>
      <c r="P11" s="103">
        <f ca="1">IFERROR(INDEX(tblResultCalib[Corrección patrón],MATCH(_xlfn.NUMBERVALUE(INDIRECT(ADDRESS(8,COLUMN()))),tblResultCalib['#],0))*tblCompU[[#This Row],[Coef. ci]]/tblCompU[[#This Row],[Divisor]],0)</f>
        <v>0</v>
      </c>
      <c r="AG11" s="291" t="s">
        <v>355</v>
      </c>
      <c r="AH11" s="291">
        <v>0.133322</v>
      </c>
      <c r="AI11" s="292">
        <f t="shared" si="0"/>
        <v>133.322</v>
      </c>
    </row>
    <row r="12" spans="2:35" x14ac:dyDescent="0.3">
      <c r="B12" s="57" t="s">
        <v>160</v>
      </c>
      <c r="C12" s="58" t="s">
        <v>338</v>
      </c>
      <c r="D12" s="74" t="s">
        <v>176</v>
      </c>
      <c r="E12" s="75">
        <f>SQRT(3)</f>
        <v>1.7320508075688772</v>
      </c>
      <c r="F12" s="80">
        <v>1</v>
      </c>
      <c r="G12" s="103">
        <f ca="1">IFERROR(INDEX(tblResultCalib[Deriva patrón],MATCH(_xlfn.NUMBERVALUE(INDIRECT(ADDRESS(8,COLUMN()))),tblResultCalib['#],0))*tblCompU[[#This Row],[Coef. ci]]/tblCompU[[#This Row],[Divisor]],0)</f>
        <v>0</v>
      </c>
      <c r="H12" s="103">
        <f ca="1">IFERROR(INDEX(tblResultCalib[Deriva patrón],MATCH(_xlfn.NUMBERVALUE(INDIRECT(ADDRESS(8,COLUMN()))),tblResultCalib['#],0))*tblCompU[[#This Row],[Coef. ci]]/tblCompU[[#This Row],[Divisor]],0)</f>
        <v>0</v>
      </c>
      <c r="I12" s="103">
        <f ca="1">IFERROR(INDEX(tblResultCalib[Deriva patrón],MATCH(_xlfn.NUMBERVALUE(INDIRECT(ADDRESS(8,COLUMN()))),tblResultCalib['#],0))*tblCompU[[#This Row],[Coef. ci]]/tblCompU[[#This Row],[Divisor]],0)</f>
        <v>0</v>
      </c>
      <c r="J12" s="103">
        <f ca="1">IFERROR(INDEX(tblResultCalib[Deriva patrón],MATCH(_xlfn.NUMBERVALUE(INDIRECT(ADDRESS(8,COLUMN()))),tblResultCalib['#],0))*tblCompU[[#This Row],[Coef. ci]]/tblCompU[[#This Row],[Divisor]],0)</f>
        <v>0</v>
      </c>
      <c r="K12" s="103">
        <f ca="1">IFERROR(INDEX(tblResultCalib[Deriva patrón],MATCH(_xlfn.NUMBERVALUE(INDIRECT(ADDRESS(8,COLUMN()))),tblResultCalib['#],0))*tblCompU[[#This Row],[Coef. ci]]/tblCompU[[#This Row],[Divisor]],0)</f>
        <v>0</v>
      </c>
      <c r="L12" s="103">
        <f ca="1">IFERROR(INDEX(tblResultCalib[Deriva patrón],MATCH(_xlfn.NUMBERVALUE(INDIRECT(ADDRESS(8,COLUMN()))),tblResultCalib['#],0))*tblCompU[[#This Row],[Coef. ci]]/tblCompU[[#This Row],[Divisor]],0)</f>
        <v>0</v>
      </c>
      <c r="M12" s="103">
        <f ca="1">IFERROR(INDEX(tblResultCalib[Deriva patrón],MATCH(_xlfn.NUMBERVALUE(INDIRECT(ADDRESS(8,COLUMN()))),tblResultCalib['#],0))*tblCompU[[#This Row],[Coef. ci]]/tblCompU[[#This Row],[Divisor]],0)</f>
        <v>0</v>
      </c>
      <c r="N12" s="103">
        <f ca="1">IFERROR(INDEX(tblResultCalib[Deriva patrón],MATCH(_xlfn.NUMBERVALUE(INDIRECT(ADDRESS(8,COLUMN()))),tblResultCalib['#],0))*tblCompU[[#This Row],[Coef. ci]]/tblCompU[[#This Row],[Divisor]],0)</f>
        <v>0</v>
      </c>
      <c r="O12" s="103">
        <f ca="1">IFERROR(INDEX(tblResultCalib[Deriva patrón],MATCH(_xlfn.NUMBERVALUE(INDIRECT(ADDRESS(8,COLUMN()))),tblResultCalib['#],0))*tblCompU[[#This Row],[Coef. ci]]/tblCompU[[#This Row],[Divisor]],0)</f>
        <v>0</v>
      </c>
      <c r="P12" s="103">
        <f ca="1">IFERROR(INDEX(tblResultCalib[Deriva patrón],MATCH(_xlfn.NUMBERVALUE(INDIRECT(ADDRESS(8,COLUMN()))),tblResultCalib['#],0))*tblCompU[[#This Row],[Coef. ci]]/tblCompU[[#This Row],[Divisor]],0)</f>
        <v>0</v>
      </c>
      <c r="AG12" s="291" t="s">
        <v>356</v>
      </c>
      <c r="AH12" s="291">
        <v>1.3332200000000001</v>
      </c>
      <c r="AI12" s="292">
        <f t="shared" si="0"/>
        <v>1333.22</v>
      </c>
    </row>
    <row r="13" spans="2:35" x14ac:dyDescent="0.3">
      <c r="B13" s="57" t="s">
        <v>365</v>
      </c>
      <c r="C13" s="58" t="s">
        <v>364</v>
      </c>
      <c r="D13" s="74" t="s">
        <v>176</v>
      </c>
      <c r="E13" s="84">
        <f>SQRT(3)</f>
        <v>1.7320508075688772</v>
      </c>
      <c r="F13" s="87">
        <v>1</v>
      </c>
      <c r="G13" s="103">
        <f ca="1">IFERROR(IF(G10=0,0,SQRT(POWER(Calibración!$AA$15*tblCompU[[#This Row],[Coef. ci]]/tblCompU[[#This Row],[Divisor]],2)+POWER(Calibración!$AB$15*tblCompU[[#This Row],[Coef. ci]]/tblCompU[[#This Row],[Divisor]],2))),0)</f>
        <v>0</v>
      </c>
      <c r="H13" s="103">
        <f ca="1">IFERROR(IF(H10=0,0,SQRT(POWER(Calibración!$AA$15*tblCompU[[#This Row],[Coef. ci]]/tblCompU[[#This Row],[Divisor]],2)+POWER(Calibración!$AB$15*tblCompU[[#This Row],[Coef. ci]]/tblCompU[[#This Row],[Divisor]],2))),0)</f>
        <v>0</v>
      </c>
      <c r="I13" s="103">
        <f ca="1">IFERROR(IF(I10=0,0,SQRT(POWER(Calibración!$AA$15*tblCompU[[#This Row],[Coef. ci]]/tblCompU[[#This Row],[Divisor]],2)+POWER(Calibración!$AB$15*tblCompU[[#This Row],[Coef. ci]]/tblCompU[[#This Row],[Divisor]],2))),0)</f>
        <v>0</v>
      </c>
      <c r="J13" s="103">
        <f ca="1">IFERROR(IF(J10=0,0,SQRT(POWER(Calibración!$AA$15*tblCompU[[#This Row],[Coef. ci]]/tblCompU[[#This Row],[Divisor]],2)+POWER(Calibración!$AB$15*tblCompU[[#This Row],[Coef. ci]]/tblCompU[[#This Row],[Divisor]],2))),0)</f>
        <v>0</v>
      </c>
      <c r="K13" s="103">
        <f ca="1">IFERROR(IF(K10=0,0,SQRT(POWER(Calibración!$AA$15*tblCompU[[#This Row],[Coef. ci]]/tblCompU[[#This Row],[Divisor]],2)+POWER(Calibración!$AB$15*tblCompU[[#This Row],[Coef. ci]]/tblCompU[[#This Row],[Divisor]],2))),0)</f>
        <v>0</v>
      </c>
      <c r="L13" s="103">
        <f ca="1">IFERROR(IF(L10=0,0,SQRT(POWER(Calibración!$AA$15*tblCompU[[#This Row],[Coef. ci]]/tblCompU[[#This Row],[Divisor]],2)+POWER(Calibración!$AB$15*tblCompU[[#This Row],[Coef. ci]]/tblCompU[[#This Row],[Divisor]],2))),0)</f>
        <v>0</v>
      </c>
      <c r="M13" s="103">
        <f ca="1">IFERROR(IF(M10=0,0,SQRT(POWER(Calibración!$AA$15*tblCompU[[#This Row],[Coef. ci]]/tblCompU[[#This Row],[Divisor]],2)+POWER(Calibración!$AB$15*tblCompU[[#This Row],[Coef. ci]]/tblCompU[[#This Row],[Divisor]],2))),0)</f>
        <v>0</v>
      </c>
      <c r="N13" s="103">
        <f ca="1">IFERROR(IF(N10=0,0,SQRT(POWER(Calibración!$AA$15*tblCompU[[#This Row],[Coef. ci]]/tblCompU[[#This Row],[Divisor]],2)+POWER(Calibración!$AB$15*tblCompU[[#This Row],[Coef. ci]]/tblCompU[[#This Row],[Divisor]],2))),0)</f>
        <v>0</v>
      </c>
      <c r="O13" s="103">
        <f ca="1">IFERROR(IF(O10=0,0,SQRT(POWER(Calibración!$AA$15*tblCompU[[#This Row],[Coef. ci]]/tblCompU[[#This Row],[Divisor]],2)+POWER(Calibración!$AB$15*tblCompU[[#This Row],[Coef. ci]]/tblCompU[[#This Row],[Divisor]],2))),0)</f>
        <v>0</v>
      </c>
      <c r="P13" s="103">
        <f ca="1">IFERROR(IF(P10=0,0,SQRT(POWER(Calibración!$AA$15*tblCompU[[#This Row],[Coef. ci]]/tblCompU[[#This Row],[Divisor]],2)+POWER(Calibración!$AB$15*tblCompU[[#This Row],[Coef. ci]]/tblCompU[[#This Row],[Divisor]],2))),0)</f>
        <v>0</v>
      </c>
      <c r="AG13" s="291" t="s">
        <v>520</v>
      </c>
      <c r="AH13" s="291">
        <v>9.7999999999999997E-3</v>
      </c>
      <c r="AI13" s="292">
        <f t="shared" si="0"/>
        <v>9.7999999999999989</v>
      </c>
    </row>
    <row r="14" spans="2:35" x14ac:dyDescent="0.3">
      <c r="B14" s="138" t="s">
        <v>366</v>
      </c>
      <c r="C14" s="199" t="s">
        <v>367</v>
      </c>
      <c r="D14" s="74" t="s">
        <v>202</v>
      </c>
      <c r="E14" s="201">
        <v>1</v>
      </c>
      <c r="F14" s="200">
        <v>1</v>
      </c>
      <c r="G14" s="103">
        <f ca="1">U6</f>
        <v>0</v>
      </c>
      <c r="H14" s="103">
        <f t="shared" ref="H14:P14" ca="1" si="1">V6</f>
        <v>0</v>
      </c>
      <c r="I14" s="103">
        <f t="shared" ca="1" si="1"/>
        <v>0</v>
      </c>
      <c r="J14" s="103">
        <f t="shared" ca="1" si="1"/>
        <v>0</v>
      </c>
      <c r="K14" s="103">
        <f t="shared" ca="1" si="1"/>
        <v>0</v>
      </c>
      <c r="L14" s="103">
        <f t="shared" ca="1" si="1"/>
        <v>0</v>
      </c>
      <c r="M14" s="103">
        <f t="shared" ca="1" si="1"/>
        <v>0</v>
      </c>
      <c r="N14" s="103">
        <f t="shared" ca="1" si="1"/>
        <v>0</v>
      </c>
      <c r="O14" s="103">
        <f t="shared" ca="1" si="1"/>
        <v>0</v>
      </c>
      <c r="P14" s="103">
        <f t="shared" ca="1" si="1"/>
        <v>0</v>
      </c>
      <c r="AG14" s="291" t="s">
        <v>521</v>
      </c>
      <c r="AH14" s="291">
        <v>9.8000000000000004E-2</v>
      </c>
      <c r="AI14" s="292">
        <f t="shared" si="0"/>
        <v>98</v>
      </c>
    </row>
    <row r="15" spans="2:35" ht="15" x14ac:dyDescent="0.3">
      <c r="B15" s="57" t="s">
        <v>158</v>
      </c>
      <c r="C15" s="58" t="s">
        <v>384</v>
      </c>
      <c r="D15" s="74" t="s">
        <v>176</v>
      </c>
      <c r="E15" s="84">
        <f>2*SQRT(3)</f>
        <v>3.4641016151377544</v>
      </c>
      <c r="F15" s="80">
        <v>1</v>
      </c>
      <c r="G15" s="103">
        <f ca="1">IF(G10=0,0,ResolInst*tblCompU[[#This Row],[Coef. ci]]/tblCompU[[#This Row],[Divisor]])</f>
        <v>0</v>
      </c>
      <c r="H15" s="103">
        <f ca="1">IF(H10=0,0,ResolInst*tblCompU[[#This Row],[Coef. ci]]/tblCompU[[#This Row],[Divisor]])</f>
        <v>0</v>
      </c>
      <c r="I15" s="103">
        <f ca="1">IF(I10=0,0,ResolInst*tblCompU[[#This Row],[Coef. ci]]/tblCompU[[#This Row],[Divisor]])</f>
        <v>0</v>
      </c>
      <c r="J15" s="103">
        <f ca="1">IF(J10=0,0,ResolInst*tblCompU[[#This Row],[Coef. ci]]/tblCompU[[#This Row],[Divisor]])</f>
        <v>0</v>
      </c>
      <c r="K15" s="103">
        <f ca="1">IF(K10=0,0,ResolInst*tblCompU[[#This Row],[Coef. ci]]/tblCompU[[#This Row],[Divisor]])</f>
        <v>0</v>
      </c>
      <c r="L15" s="103">
        <f ca="1">IF(L10=0,0,ResolInst*tblCompU[[#This Row],[Coef. ci]]/tblCompU[[#This Row],[Divisor]])</f>
        <v>0</v>
      </c>
      <c r="M15" s="103">
        <f ca="1">IF(M10=0,0,ResolInst*tblCompU[[#This Row],[Coef. ci]]/tblCompU[[#This Row],[Divisor]])</f>
        <v>0</v>
      </c>
      <c r="N15" s="103">
        <f ca="1">IF(N10=0,0,ResolInst*tblCompU[[#This Row],[Coef. ci]]/tblCompU[[#This Row],[Divisor]])</f>
        <v>0</v>
      </c>
      <c r="O15" s="103">
        <f ca="1">IF(O10=0,0,ResolInst*tblCompU[[#This Row],[Coef. ci]]/tblCompU[[#This Row],[Divisor]])</f>
        <v>0</v>
      </c>
      <c r="P15" s="103">
        <f ca="1">IF(P10=0,0,ResolInst*tblCompU[[#This Row],[Coef. ci]]/tblCompU[[#This Row],[Divisor]])</f>
        <v>0</v>
      </c>
      <c r="AG15" s="291" t="s">
        <v>522</v>
      </c>
      <c r="AH15" s="291">
        <v>0.249089</v>
      </c>
      <c r="AI15" s="292">
        <f t="shared" si="0"/>
        <v>249.089</v>
      </c>
    </row>
    <row r="16" spans="2:35" ht="15" x14ac:dyDescent="0.3">
      <c r="B16" s="57" t="s">
        <v>157</v>
      </c>
      <c r="C16" s="58" t="s">
        <v>385</v>
      </c>
      <c r="D16" s="74" t="s">
        <v>176</v>
      </c>
      <c r="E16" s="84">
        <f>IF(Calibración!E10="2",SQRT(4),SQRT(6))</f>
        <v>2</v>
      </c>
      <c r="F16" s="87">
        <v>1</v>
      </c>
      <c r="G16" s="103">
        <f ca="1">IFERROR(OFFSET(Calibración!$P$15,G$8-1,0)*tblCompU[[#This Row],[Coef. ci]]/tblCompU[[#This Row],[Divisor]],0)</f>
        <v>0</v>
      </c>
      <c r="H16" s="103">
        <f ca="1">IFERROR(OFFSET(Calibración!$P$15,H$8-1,0)*tblCompU[[#This Row],[Coef. ci]]/tblCompU[[#This Row],[Divisor]],0)</f>
        <v>0</v>
      </c>
      <c r="I16" s="103">
        <f ca="1">IFERROR(OFFSET(Calibración!$P$15,I$8-1,0)*tblCompU[[#This Row],[Coef. ci]]/tblCompU[[#This Row],[Divisor]],0)</f>
        <v>0</v>
      </c>
      <c r="J16" s="103">
        <f ca="1">IFERROR(OFFSET(Calibración!$P$15,J$8-1,0)*tblCompU[[#This Row],[Coef. ci]]/tblCompU[[#This Row],[Divisor]],0)</f>
        <v>0</v>
      </c>
      <c r="K16" s="103">
        <f ca="1">IFERROR(OFFSET(Calibración!$P$15,K$8-1,0)*tblCompU[[#This Row],[Coef. ci]]/tblCompU[[#This Row],[Divisor]],0)</f>
        <v>0</v>
      </c>
      <c r="L16" s="103">
        <f ca="1">IFERROR(OFFSET(Calibración!$P$15,L$8-1,0)*tblCompU[[#This Row],[Coef. ci]]/tblCompU[[#This Row],[Divisor]],0)</f>
        <v>0</v>
      </c>
      <c r="M16" s="103">
        <f ca="1">IFERROR(OFFSET(Calibración!$P$15,M$8-1,0)*tblCompU[[#This Row],[Coef. ci]]/tblCompU[[#This Row],[Divisor]],0)</f>
        <v>0</v>
      </c>
      <c r="N16" s="103">
        <f ca="1">IFERROR(OFFSET(Calibración!$P$15,N$8-1,0)*tblCompU[[#This Row],[Coef. ci]]/tblCompU[[#This Row],[Divisor]],0)</f>
        <v>0</v>
      </c>
      <c r="O16" s="103">
        <f ca="1">IFERROR(OFFSET(Calibración!$P$15,O$8-1,0)*tblCompU[[#This Row],[Coef. ci]]/tblCompU[[#This Row],[Divisor]],0)</f>
        <v>0</v>
      </c>
      <c r="P16" s="103">
        <f ca="1">IFERROR(OFFSET(Calibración!$P$15,P$8-1,0)*tblCompU[[#This Row],[Coef. ci]]/tblCompU[[#This Row],[Divisor]],0)</f>
        <v>0</v>
      </c>
      <c r="AG16" s="291" t="s">
        <v>353</v>
      </c>
      <c r="AH16" s="291">
        <v>101.325</v>
      </c>
      <c r="AI16" s="292">
        <f t="shared" si="0"/>
        <v>101325</v>
      </c>
    </row>
    <row r="17" spans="2:35" ht="15" x14ac:dyDescent="0.3">
      <c r="B17" s="207" t="s">
        <v>386</v>
      </c>
      <c r="C17" s="58" t="s">
        <v>387</v>
      </c>
      <c r="D17" s="74" t="s">
        <v>176</v>
      </c>
      <c r="E17" s="84">
        <f>SQRT(12)</f>
        <v>3.4641016151377544</v>
      </c>
      <c r="F17" s="87">
        <v>1</v>
      </c>
      <c r="G17" s="103">
        <f ca="1">IFERROR(IF(G10=0,0,OFFSET(Calibración!$O$15,G$8-1,0)*tblCompU[[#This Row],[Coef. ci]]/tblCompU[[#This Row],[Divisor]]),0)</f>
        <v>0</v>
      </c>
      <c r="H17" s="103">
        <f ca="1">IFERROR(IF(H10=0,0,OFFSET(Calibración!$O$15,H$8-1,0)*tblCompU[[#This Row],[Coef. ci]]/tblCompU[[#This Row],[Divisor]]),0)</f>
        <v>0</v>
      </c>
      <c r="I17" s="103">
        <f ca="1">IFERROR(IF(I10=0,0,OFFSET(Calibración!$O$15,I$8-1,0)*tblCompU[[#This Row],[Coef. ci]]/tblCompU[[#This Row],[Divisor]]),0)</f>
        <v>0</v>
      </c>
      <c r="J17" s="103">
        <f ca="1">IFERROR(IF(J10=0,0,OFFSET(Calibración!$O$15,J$8-1,0)*tblCompU[[#This Row],[Coef. ci]]/tblCompU[[#This Row],[Divisor]]),0)</f>
        <v>0</v>
      </c>
      <c r="K17" s="103">
        <f ca="1">IFERROR(IF(K10=0,0,OFFSET(Calibración!$O$15,K$8-1,0)*tblCompU[[#This Row],[Coef. ci]]/tblCompU[[#This Row],[Divisor]]),0)</f>
        <v>0</v>
      </c>
      <c r="L17" s="103">
        <f ca="1">IFERROR(IF(L10=0,0,OFFSET(Calibración!$O$15,L$8-1,0)*tblCompU[[#This Row],[Coef. ci]]/tblCompU[[#This Row],[Divisor]]),0)</f>
        <v>0</v>
      </c>
      <c r="M17" s="103">
        <f ca="1">IFERROR(IF(M10=0,0,OFFSET(Calibración!$O$15,M$8-1,0)*tblCompU[[#This Row],[Coef. ci]]/tblCompU[[#This Row],[Divisor]]),0)</f>
        <v>0</v>
      </c>
      <c r="N17" s="103">
        <f ca="1">IFERROR(IF(N10=0,0,OFFSET(Calibración!$O$15,N$8-1,0)*tblCompU[[#This Row],[Coef. ci]]/tblCompU[[#This Row],[Divisor]]),0)</f>
        <v>0</v>
      </c>
      <c r="O17" s="103">
        <f ca="1">IFERROR(IF(O10=0,0,OFFSET(Calibración!$O$15,O$8-1,0)*tblCompU[[#This Row],[Coef. ci]]/tblCompU[[#This Row],[Divisor]]),0)</f>
        <v>0</v>
      </c>
      <c r="P17" s="103">
        <f ca="1">IFERROR(IF(P10=0,0,OFFSET(Calibración!$O$15,P$8-1,0)*tblCompU[[#This Row],[Coef. ci]]/tblCompU[[#This Row],[Divisor]]),0)</f>
        <v>0</v>
      </c>
      <c r="AG17" s="291" t="s">
        <v>523</v>
      </c>
      <c r="AH17" s="291">
        <v>9.81</v>
      </c>
      <c r="AI17" s="292">
        <f t="shared" si="0"/>
        <v>9810</v>
      </c>
    </row>
    <row r="18" spans="2:35" ht="15" x14ac:dyDescent="0.3">
      <c r="B18" s="138" t="s">
        <v>388</v>
      </c>
      <c r="C18" s="58" t="s">
        <v>389</v>
      </c>
      <c r="D18" s="74" t="s">
        <v>176</v>
      </c>
      <c r="E18" s="84">
        <f>SQRT(12)</f>
        <v>3.4641016151377544</v>
      </c>
      <c r="F18" s="87">
        <v>1</v>
      </c>
      <c r="G18" s="103">
        <f ca="1">IFERROR(IF(G10=0,0,(0.04*ABS(CertTempC-20)*OFFSET(Calibración!$Q$15,G$8-1,0))/SQRT(12)),0)</f>
        <v>0</v>
      </c>
      <c r="H18" s="103">
        <f ca="1">IFERROR(IF(H10=0,0,(0.04*ABS(CertTempC-20)*OFFSET(Calibración!$Q$15,H$8-1,0))/SQRT(12)),0)</f>
        <v>0</v>
      </c>
      <c r="I18" s="103">
        <f ca="1">IFERROR(IF(I10=0,0,(0.04*ABS(CertTempC-20)*OFFSET(Calibración!$Q$15,I$8-1,0))/SQRT(12)),0)</f>
        <v>0</v>
      </c>
      <c r="J18" s="103">
        <f ca="1">IFERROR(IF(J10=0,0,(0.04*ABS(CertTempC-20)*OFFSET(Calibración!$Q$15,J$8-1,0))/SQRT(12)),0)</f>
        <v>0</v>
      </c>
      <c r="K18" s="103">
        <f ca="1">IFERROR(IF(K10=0,0,(0.04*ABS(CertTempC-20)*OFFSET(Calibración!$Q$15,K$8-1,0))/SQRT(12)),0)</f>
        <v>0</v>
      </c>
      <c r="L18" s="103">
        <f ca="1">IFERROR(IF(L10=0,0,(0.04*ABS(CertTempC-20)*OFFSET(Calibración!$Q$15,L$8-1,0))/SQRT(12)),0)</f>
        <v>0</v>
      </c>
      <c r="M18" s="103">
        <f ca="1">IFERROR(IF(M10=0,0,(0.04*ABS(CertTempC-20)*OFFSET(Calibración!$Q$15,M$8-1,0))/SQRT(12)),0)</f>
        <v>0</v>
      </c>
      <c r="N18" s="103">
        <f ca="1">IFERROR(IF(N10=0,0,(0.04*ABS(CertTempC-20)*OFFSET(Calibración!$Q$15,N$8-1,0))/SQRT(12)),0)</f>
        <v>0</v>
      </c>
      <c r="O18" s="103">
        <f ca="1">IFERROR(IF(O10=0,0,(0.04*ABS(CertTempC-20)*OFFSET(Calibración!$Q$15,O$8-1,0))/SQRT(12)),0)</f>
        <v>0</v>
      </c>
      <c r="P18" s="103">
        <f ca="1">IFERROR(IF(P10=0,0,(0.04*ABS(CertTempC-20)*OFFSET(Calibración!$Q$15,P$8-1,0))/SQRT(12)),0)</f>
        <v>0</v>
      </c>
    </row>
    <row r="19" spans="2:35" x14ac:dyDescent="0.3">
      <c r="B19" s="138" t="s">
        <v>198</v>
      </c>
      <c r="C19" s="250" t="s">
        <v>245</v>
      </c>
      <c r="D19" s="251" t="s">
        <v>246</v>
      </c>
      <c r="E19" s="16" t="str">
        <f>CONCATENATE("Todo en [psi]")</f>
        <v>Todo en [psi]</v>
      </c>
      <c r="F19" s="252"/>
      <c r="G19" s="105">
        <f t="shared" ref="G19:P19" ca="1" si="2">SQRT(SUMSQ(G9:G18))</f>
        <v>0</v>
      </c>
      <c r="H19" s="105">
        <f t="shared" ca="1" si="2"/>
        <v>0</v>
      </c>
      <c r="I19" s="105">
        <f t="shared" ca="1" si="2"/>
        <v>0</v>
      </c>
      <c r="J19" s="105">
        <f t="shared" ca="1" si="2"/>
        <v>0</v>
      </c>
      <c r="K19" s="105">
        <f t="shared" ca="1" si="2"/>
        <v>0</v>
      </c>
      <c r="L19" s="105">
        <f t="shared" ca="1" si="2"/>
        <v>0</v>
      </c>
      <c r="M19" s="105">
        <f t="shared" ca="1" si="2"/>
        <v>0</v>
      </c>
      <c r="N19" s="105">
        <f t="shared" ca="1" si="2"/>
        <v>0</v>
      </c>
      <c r="O19" s="105">
        <f t="shared" ca="1" si="2"/>
        <v>0</v>
      </c>
      <c r="P19" s="105">
        <f t="shared" ca="1" si="2"/>
        <v>0</v>
      </c>
    </row>
    <row r="22" spans="2:35" x14ac:dyDescent="0.3">
      <c r="J22" s="206" t="s">
        <v>383</v>
      </c>
    </row>
    <row r="25" spans="2:35" x14ac:dyDescent="0.3">
      <c r="B25" s="52" t="s">
        <v>155</v>
      </c>
      <c r="C25" s="16"/>
      <c r="D25" s="16"/>
      <c r="E25" s="16"/>
      <c r="F25" s="16"/>
      <c r="G25" s="139" t="str">
        <f t="shared" ref="G25:P25" ca="1" si="3">G7</f>
        <v/>
      </c>
      <c r="H25" s="139" t="str">
        <f t="shared" ca="1" si="3"/>
        <v/>
      </c>
      <c r="I25" s="139" t="str">
        <f t="shared" ca="1" si="3"/>
        <v/>
      </c>
      <c r="J25" s="139" t="str">
        <f t="shared" ca="1" si="3"/>
        <v/>
      </c>
      <c r="K25" s="139" t="str">
        <f t="shared" ca="1" si="3"/>
        <v/>
      </c>
      <c r="L25" s="139" t="str">
        <f t="shared" ca="1" si="3"/>
        <v/>
      </c>
      <c r="M25" s="139" t="str">
        <f t="shared" ca="1" si="3"/>
        <v/>
      </c>
      <c r="N25" s="139" t="str">
        <f t="shared" ca="1" si="3"/>
        <v/>
      </c>
      <c r="O25" s="139" t="str">
        <f t="shared" ca="1" si="3"/>
        <v/>
      </c>
      <c r="P25" s="139" t="str">
        <f t="shared" ca="1" si="3"/>
        <v/>
      </c>
    </row>
    <row r="26" spans="2:35" ht="15" x14ac:dyDescent="0.3">
      <c r="B26" s="50" t="s">
        <v>156</v>
      </c>
      <c r="C26" s="50" t="s">
        <v>179</v>
      </c>
      <c r="D26" s="50" t="s">
        <v>178</v>
      </c>
      <c r="E26" s="50" t="s">
        <v>177</v>
      </c>
      <c r="F26" s="50" t="s">
        <v>183</v>
      </c>
      <c r="G26" s="316" t="s">
        <v>145</v>
      </c>
      <c r="H26" s="316" t="s">
        <v>146</v>
      </c>
      <c r="I26" s="316" t="s">
        <v>147</v>
      </c>
      <c r="J26" s="316" t="s">
        <v>148</v>
      </c>
      <c r="K26" s="316" t="s">
        <v>149</v>
      </c>
      <c r="L26" s="316" t="s">
        <v>150</v>
      </c>
      <c r="M26" s="316" t="s">
        <v>151</v>
      </c>
      <c r="N26" s="316" t="s">
        <v>152</v>
      </c>
      <c r="O26" s="316" t="s">
        <v>153</v>
      </c>
      <c r="P26" s="316" t="s">
        <v>154</v>
      </c>
    </row>
    <row r="27" spans="2:35" x14ac:dyDescent="0.3">
      <c r="B27" s="313" t="s">
        <v>159</v>
      </c>
      <c r="C27" s="58" t="s">
        <v>327</v>
      </c>
      <c r="D27" s="74" t="s">
        <v>176</v>
      </c>
      <c r="E27" s="75">
        <f>SQRT(12)</f>
        <v>3.4641016151377544</v>
      </c>
      <c r="F27" s="80">
        <v>1</v>
      </c>
      <c r="G27" s="106">
        <f t="array" aca="1" ref="G27" ca="1">IFERROR(ABS(G9)/SUM(ABS(tblCompU[1])),0)</f>
        <v>0</v>
      </c>
      <c r="H27" s="106">
        <f t="array" aca="1" ref="H27" ca="1">IFERROR(ABS(H9)/SUM(ABS(tblCompU[2])),0)</f>
        <v>0</v>
      </c>
      <c r="I27" s="106">
        <f t="array" aca="1" ref="I27" ca="1">IFERROR(ABS(I9)/SUM(ABS(tblCompU[3])),0)</f>
        <v>0</v>
      </c>
      <c r="J27" s="106">
        <f t="array" aca="1" ref="J27" ca="1">IFERROR(ABS(J9)/SUM(ABS(tblCompU[4])),0)</f>
        <v>0</v>
      </c>
      <c r="K27" s="106">
        <f t="array" aca="1" ref="K27" ca="1">IFERROR(ABS(K9)/SUM(ABS(tblCompU[5])),0)</f>
        <v>0</v>
      </c>
      <c r="L27" s="106">
        <f t="array" aca="1" ref="L27" ca="1">IFERROR(ABS(L9)/SUM(ABS(tblCompU[6])),0)</f>
        <v>0</v>
      </c>
      <c r="M27" s="106">
        <f t="array" aca="1" ref="M27" ca="1">IFERROR(ABS(M9)/SUM(ABS(tblCompU[7])),0)</f>
        <v>0</v>
      </c>
      <c r="N27" s="106">
        <f t="array" aca="1" ref="N27" ca="1">IFERROR(ABS(N9)/SUM(ABS(tblCompU[8])),0)</f>
        <v>0</v>
      </c>
      <c r="O27" s="106">
        <f t="array" aca="1" ref="O27" ca="1">IFERROR(ABS(O9)/SUM(ABS(tblCompU[9])),0)</f>
        <v>0</v>
      </c>
      <c r="P27" s="106">
        <f ca="1">IFERROR(ABS(P9)/SUM(ABS(tblCompU[[#This Row],[10]])),0)</f>
        <v>0</v>
      </c>
    </row>
    <row r="28" spans="2:35" x14ac:dyDescent="0.3">
      <c r="B28" s="313" t="s">
        <v>175</v>
      </c>
      <c r="C28" s="58" t="s">
        <v>328</v>
      </c>
      <c r="D28" s="74" t="s">
        <v>202</v>
      </c>
      <c r="E28" s="80">
        <v>2</v>
      </c>
      <c r="F28" s="80">
        <v>1</v>
      </c>
      <c r="G28" s="106">
        <f t="array" aca="1" ref="G28" ca="1">IFERROR(ABS(G10)/SUM(ABS(tblCompU[1])),0)</f>
        <v>0</v>
      </c>
      <c r="H28" s="106">
        <f t="array" aca="1" ref="H28" ca="1">IFERROR(ABS(H10)/SUM(ABS(tblCompU[2])),0)</f>
        <v>0</v>
      </c>
      <c r="I28" s="106">
        <f t="array" aca="1" ref="I28" ca="1">IFERROR(ABS(I10)/SUM(ABS(tblCompU[3])),0)</f>
        <v>0</v>
      </c>
      <c r="J28" s="106">
        <f t="array" aca="1" ref="J28" ca="1">IFERROR(ABS(J10)/SUM(ABS(tblCompU[4])),0)</f>
        <v>0</v>
      </c>
      <c r="K28" s="106">
        <f t="array" aca="1" ref="K28" ca="1">IFERROR(ABS(K10)/SUM(ABS(tblCompU[5])),0)</f>
        <v>0</v>
      </c>
      <c r="L28" s="106">
        <f t="array" aca="1" ref="L28" ca="1">IFERROR(ABS(L10)/SUM(ABS(tblCompU[6])),0)</f>
        <v>0</v>
      </c>
      <c r="M28" s="106">
        <f t="array" aca="1" ref="M28" ca="1">IFERROR(ABS(M10)/SUM(ABS(tblCompU[7])),0)</f>
        <v>0</v>
      </c>
      <c r="N28" s="106">
        <f t="array" aca="1" ref="N28" ca="1">IFERROR(ABS(N10)/SUM(ABS(tblCompU[8])),0)</f>
        <v>0</v>
      </c>
      <c r="O28" s="106">
        <f t="array" aca="1" ref="O28" ca="1">IFERROR(ABS(O10)/SUM(ABS(tblCompU[9])),0)</f>
        <v>0</v>
      </c>
      <c r="P28" s="106">
        <f ca="1">IFERROR(ABS(P10)/SUM(ABS(tblCompU[[#This Row],[10]])),0)</f>
        <v>0</v>
      </c>
    </row>
    <row r="29" spans="2:35" x14ac:dyDescent="0.3">
      <c r="B29" s="313" t="s">
        <v>184</v>
      </c>
      <c r="C29" s="58" t="s">
        <v>337</v>
      </c>
      <c r="D29" s="74" t="s">
        <v>185</v>
      </c>
      <c r="E29" s="75">
        <f>SQRT(6)</f>
        <v>2.4494897427831779</v>
      </c>
      <c r="F29" s="80">
        <v>1</v>
      </c>
      <c r="G29" s="106">
        <f t="array" aca="1" ref="G29" ca="1">IFERROR(ABS(G11)/SUM(ABS(tblCompU[1])),0)</f>
        <v>0</v>
      </c>
      <c r="H29" s="106">
        <f t="array" aca="1" ref="H29" ca="1">IFERROR(ABS(H11)/SUM(ABS(tblCompU[2])),0)</f>
        <v>0</v>
      </c>
      <c r="I29" s="106">
        <f t="array" aca="1" ref="I29" ca="1">IFERROR(ABS(I11)/SUM(ABS(tblCompU[3])),0)</f>
        <v>0</v>
      </c>
      <c r="J29" s="106">
        <f t="array" aca="1" ref="J29" ca="1">IFERROR(ABS(J11)/SUM(ABS(tblCompU[4])),0)</f>
        <v>0</v>
      </c>
      <c r="K29" s="106">
        <f t="array" aca="1" ref="K29" ca="1">IFERROR(ABS(K11)/SUM(ABS(tblCompU[5])),0)</f>
        <v>0</v>
      </c>
      <c r="L29" s="106">
        <f t="array" aca="1" ref="L29" ca="1">IFERROR(ABS(L11)/SUM(ABS(tblCompU[6])),0)</f>
        <v>0</v>
      </c>
      <c r="M29" s="106">
        <f t="array" aca="1" ref="M29" ca="1">IFERROR(ABS(M11)/SUM(ABS(tblCompU[7])),0)</f>
        <v>0</v>
      </c>
      <c r="N29" s="106">
        <f t="array" aca="1" ref="N29" ca="1">IFERROR(ABS(N11)/SUM(ABS(tblCompU[8])),0)</f>
        <v>0</v>
      </c>
      <c r="O29" s="106">
        <f t="array" aca="1" ref="O29" ca="1">IFERROR(ABS(O11)/SUM(ABS(tblCompU[9])),0)</f>
        <v>0</v>
      </c>
      <c r="P29" s="106">
        <f ca="1">IFERROR(ABS(P11)/SUM(ABS(tblCompU[[#This Row],[10]])),0)</f>
        <v>0</v>
      </c>
    </row>
    <row r="30" spans="2:35" x14ac:dyDescent="0.3">
      <c r="B30" s="313" t="s">
        <v>160</v>
      </c>
      <c r="C30" s="58" t="s">
        <v>338</v>
      </c>
      <c r="D30" s="74" t="s">
        <v>176</v>
      </c>
      <c r="E30" s="75">
        <f>SQRT(3)</f>
        <v>1.7320508075688772</v>
      </c>
      <c r="F30" s="80">
        <v>1</v>
      </c>
      <c r="G30" s="106">
        <f t="array" aca="1" ref="G30" ca="1">IFERROR(ABS(G12)/SUM(ABS(tblCompU[1])),0)</f>
        <v>0</v>
      </c>
      <c r="H30" s="106">
        <f t="array" aca="1" ref="H30" ca="1">IFERROR(ABS(H12)/SUM(ABS(tblCompU[2])),0)</f>
        <v>0</v>
      </c>
      <c r="I30" s="106">
        <f t="array" aca="1" ref="I30" ca="1">IFERROR(ABS(I12)/SUM(ABS(tblCompU[3])),0)</f>
        <v>0</v>
      </c>
      <c r="J30" s="106">
        <f t="array" aca="1" ref="J30" ca="1">IFERROR(ABS(J12)/SUM(ABS(tblCompU[4])),0)</f>
        <v>0</v>
      </c>
      <c r="K30" s="106">
        <f t="array" aca="1" ref="K30" ca="1">IFERROR(ABS(K12)/SUM(ABS(tblCompU[5])),0)</f>
        <v>0</v>
      </c>
      <c r="L30" s="106">
        <f t="array" aca="1" ref="L30" ca="1">IFERROR(ABS(L12)/SUM(ABS(tblCompU[6])),0)</f>
        <v>0</v>
      </c>
      <c r="M30" s="106">
        <f t="array" aca="1" ref="M30" ca="1">IFERROR(ABS(M12)/SUM(ABS(tblCompU[7])),0)</f>
        <v>0</v>
      </c>
      <c r="N30" s="106">
        <f t="array" aca="1" ref="N30" ca="1">IFERROR(ABS(N12)/SUM(ABS(tblCompU[8])),0)</f>
        <v>0</v>
      </c>
      <c r="O30" s="106">
        <f t="array" aca="1" ref="O30" ca="1">IFERROR(ABS(O12)/SUM(ABS(tblCompU[9])),0)</f>
        <v>0</v>
      </c>
      <c r="P30" s="106">
        <f ca="1">IFERROR(ABS(P12)/SUM(ABS(tblCompU[[#This Row],[10]])),0)</f>
        <v>0</v>
      </c>
    </row>
    <row r="31" spans="2:35" x14ac:dyDescent="0.3">
      <c r="B31" s="313" t="s">
        <v>365</v>
      </c>
      <c r="C31" s="58" t="s">
        <v>364</v>
      </c>
      <c r="D31" s="74" t="s">
        <v>176</v>
      </c>
      <c r="E31" s="84">
        <f>SQRT(3)</f>
        <v>1.7320508075688772</v>
      </c>
      <c r="F31" s="87">
        <v>1</v>
      </c>
      <c r="G31" s="106">
        <f t="array" aca="1" ref="G31" ca="1">IFERROR(ABS(G13)/SUM(ABS(tblCompU[1])),0)</f>
        <v>0</v>
      </c>
      <c r="H31" s="106">
        <f t="array" aca="1" ref="H31" ca="1">IFERROR(ABS(H13)/SUM(ABS(tblCompU[2])),0)</f>
        <v>0</v>
      </c>
      <c r="I31" s="106">
        <f t="array" aca="1" ref="I31" ca="1">IFERROR(ABS(I13)/SUM(ABS(tblCompU[3])),0)</f>
        <v>0</v>
      </c>
      <c r="J31" s="106">
        <f t="array" aca="1" ref="J31" ca="1">IFERROR(ABS(J13)/SUM(ABS(tblCompU[4])),0)</f>
        <v>0</v>
      </c>
      <c r="K31" s="106">
        <f t="array" aca="1" ref="K31" ca="1">IFERROR(ABS(K13)/SUM(ABS(tblCompU[5])),0)</f>
        <v>0</v>
      </c>
      <c r="L31" s="106">
        <f t="array" aca="1" ref="L31" ca="1">IFERROR(ABS(L13)/SUM(ABS(tblCompU[6])),0)</f>
        <v>0</v>
      </c>
      <c r="M31" s="106">
        <f t="array" aca="1" ref="M31" ca="1">IFERROR(ABS(M13)/SUM(ABS(tblCompU[7])),0)</f>
        <v>0</v>
      </c>
      <c r="N31" s="106">
        <f t="array" aca="1" ref="N31" ca="1">IFERROR(ABS(N13)/SUM(ABS(tblCompU[8])),0)</f>
        <v>0</v>
      </c>
      <c r="O31" s="106">
        <f t="array" aca="1" ref="O31" ca="1">IFERROR(ABS(O13)/SUM(ABS(tblCompU[9])),0)</f>
        <v>0</v>
      </c>
      <c r="P31" s="106">
        <f ca="1">IFERROR(ABS(P13)/SUM(ABS(tblCompU[[#This Row],[10]])),0)</f>
        <v>0</v>
      </c>
    </row>
    <row r="32" spans="2:35" x14ac:dyDescent="0.3">
      <c r="B32" s="314" t="s">
        <v>366</v>
      </c>
      <c r="C32" s="199" t="s">
        <v>367</v>
      </c>
      <c r="D32" s="74" t="s">
        <v>202</v>
      </c>
      <c r="E32" s="201">
        <v>1</v>
      </c>
      <c r="F32" s="200">
        <v>1</v>
      </c>
      <c r="G32" s="106">
        <f t="array" aca="1" ref="G32" ca="1">IFERROR(ABS(G14)/SUM(ABS(tblCompU[1])),0)</f>
        <v>0</v>
      </c>
      <c r="H32" s="106">
        <f t="array" aca="1" ref="H32" ca="1">IFERROR(ABS(H14)/SUM(ABS(tblCompU[2])),0)</f>
        <v>0</v>
      </c>
      <c r="I32" s="106">
        <f t="array" aca="1" ref="I32" ca="1">IFERROR(ABS(I14)/SUM(ABS(tblCompU[3])),0)</f>
        <v>0</v>
      </c>
      <c r="J32" s="106">
        <f t="array" aca="1" ref="J32" ca="1">IFERROR(ABS(J14)/SUM(ABS(tblCompU[4])),0)</f>
        <v>0</v>
      </c>
      <c r="K32" s="106">
        <f t="array" aca="1" ref="K32" ca="1">IFERROR(ABS(K14)/SUM(ABS(tblCompU[5])),0)</f>
        <v>0</v>
      </c>
      <c r="L32" s="106">
        <f t="array" aca="1" ref="L32" ca="1">IFERROR(ABS(L14)/SUM(ABS(tblCompU[6])),0)</f>
        <v>0</v>
      </c>
      <c r="M32" s="106">
        <f t="array" aca="1" ref="M32" ca="1">IFERROR(ABS(M14)/SUM(ABS(tblCompU[7])),0)</f>
        <v>0</v>
      </c>
      <c r="N32" s="106">
        <f t="array" aca="1" ref="N32" ca="1">IFERROR(ABS(N14)/SUM(ABS(tblCompU[8])),0)</f>
        <v>0</v>
      </c>
      <c r="O32" s="106">
        <f t="array" aca="1" ref="O32" ca="1">IFERROR(ABS(O14)/SUM(ABS(tblCompU[9])),0)</f>
        <v>0</v>
      </c>
      <c r="P32" s="106">
        <f ca="1">IFERROR(ABS(P14)/SUM(ABS(tblCompU[[#This Row],[10]])),0)</f>
        <v>0</v>
      </c>
    </row>
    <row r="33" spans="2:16" ht="15" x14ac:dyDescent="0.3">
      <c r="B33" s="313" t="s">
        <v>158</v>
      </c>
      <c r="C33" s="58" t="s">
        <v>384</v>
      </c>
      <c r="D33" s="74" t="s">
        <v>176</v>
      </c>
      <c r="E33" s="84">
        <f>2*SQRT(3)</f>
        <v>3.4641016151377544</v>
      </c>
      <c r="F33" s="80">
        <v>1</v>
      </c>
      <c r="G33" s="106">
        <f t="array" aca="1" ref="G33" ca="1">IFERROR(ABS(G15)/SUM(ABS(tblCompU[1])),0)</f>
        <v>0</v>
      </c>
      <c r="H33" s="106">
        <f t="array" aca="1" ref="H33" ca="1">IFERROR(ABS(H15)/SUM(ABS(tblCompU[2])),0)</f>
        <v>0</v>
      </c>
      <c r="I33" s="106">
        <f t="array" aca="1" ref="I33" ca="1">IFERROR(ABS(I15)/SUM(ABS(tblCompU[3])),0)</f>
        <v>0</v>
      </c>
      <c r="J33" s="106">
        <f t="array" aca="1" ref="J33" ca="1">IFERROR(ABS(J15)/SUM(ABS(tblCompU[4])),0)</f>
        <v>0</v>
      </c>
      <c r="K33" s="106">
        <f t="array" aca="1" ref="K33" ca="1">IFERROR(ABS(K15)/SUM(ABS(tblCompU[5])),0)</f>
        <v>0</v>
      </c>
      <c r="L33" s="106">
        <f t="array" aca="1" ref="L33" ca="1">IFERROR(ABS(L15)/SUM(ABS(tblCompU[6])),0)</f>
        <v>0</v>
      </c>
      <c r="M33" s="106">
        <f t="array" aca="1" ref="M33" ca="1">IFERROR(ABS(M15)/SUM(ABS(tblCompU[7])),0)</f>
        <v>0</v>
      </c>
      <c r="N33" s="106">
        <f t="array" aca="1" ref="N33" ca="1">IFERROR(ABS(N15)/SUM(ABS(tblCompU[8])),0)</f>
        <v>0</v>
      </c>
      <c r="O33" s="106">
        <f t="array" aca="1" ref="O33" ca="1">IFERROR(ABS(O15)/SUM(ABS(tblCompU[9])),0)</f>
        <v>0</v>
      </c>
      <c r="P33" s="106">
        <f ca="1">IFERROR(ABS(P15)/SUM(ABS(tblCompU[[#This Row],[10]])),0)</f>
        <v>0</v>
      </c>
    </row>
    <row r="34" spans="2:16" ht="15" x14ac:dyDescent="0.3">
      <c r="B34" s="313" t="s">
        <v>157</v>
      </c>
      <c r="C34" s="58" t="s">
        <v>385</v>
      </c>
      <c r="D34" s="74" t="s">
        <v>176</v>
      </c>
      <c r="E34" s="84">
        <f>SQRT(12)</f>
        <v>3.4641016151377544</v>
      </c>
      <c r="F34" s="87">
        <v>1</v>
      </c>
      <c r="G34" s="106">
        <f t="array" aca="1" ref="G34" ca="1">IFERROR(ABS(G16)/SUM(ABS(tblCompU[1])),0)</f>
        <v>0</v>
      </c>
      <c r="H34" s="106">
        <f t="array" aca="1" ref="H34" ca="1">IFERROR(ABS(H16)/SUM(ABS(tblCompU[2])),0)</f>
        <v>0</v>
      </c>
      <c r="I34" s="106">
        <f t="array" aca="1" ref="I34" ca="1">IFERROR(ABS(I16)/SUM(ABS(tblCompU[3])),0)</f>
        <v>0</v>
      </c>
      <c r="J34" s="106">
        <f t="array" aca="1" ref="J34" ca="1">IFERROR(ABS(J16)/SUM(ABS(tblCompU[4])),0)</f>
        <v>0</v>
      </c>
      <c r="K34" s="106">
        <f t="array" aca="1" ref="K34" ca="1">IFERROR(ABS(K16)/SUM(ABS(tblCompU[5])),0)</f>
        <v>0</v>
      </c>
      <c r="L34" s="106">
        <f t="array" aca="1" ref="L34" ca="1">IFERROR(ABS(L16)/SUM(ABS(tblCompU[6])),0)</f>
        <v>0</v>
      </c>
      <c r="M34" s="106">
        <f t="array" aca="1" ref="M34" ca="1">IFERROR(ABS(M16)/SUM(ABS(tblCompU[7])),0)</f>
        <v>0</v>
      </c>
      <c r="N34" s="106">
        <f t="array" aca="1" ref="N34" ca="1">IFERROR(ABS(N16)/SUM(ABS(tblCompU[8])),0)</f>
        <v>0</v>
      </c>
      <c r="O34" s="106">
        <f t="array" aca="1" ref="O34" ca="1">IFERROR(ABS(O16)/SUM(ABS(tblCompU[9])),0)</f>
        <v>0</v>
      </c>
      <c r="P34" s="106">
        <f ca="1">IFERROR(ABS(P16)/SUM(ABS(tblCompU[[#This Row],[10]])),0)</f>
        <v>0</v>
      </c>
    </row>
    <row r="35" spans="2:16" ht="15" x14ac:dyDescent="0.3">
      <c r="B35" s="315" t="s">
        <v>386</v>
      </c>
      <c r="C35" s="58" t="s">
        <v>387</v>
      </c>
      <c r="D35" s="74" t="s">
        <v>176</v>
      </c>
      <c r="E35" s="84">
        <f>SQRT(12)</f>
        <v>3.4641016151377544</v>
      </c>
      <c r="F35" s="87">
        <v>1</v>
      </c>
      <c r="G35" s="106">
        <f t="array" aca="1" ref="G35" ca="1">IFERROR(ABS(G17)/SUM(ABS(tblCompU[1])),0)</f>
        <v>0</v>
      </c>
      <c r="H35" s="106">
        <f t="array" aca="1" ref="H35" ca="1">IFERROR(ABS(H17)/SUM(ABS(tblCompU[2])),0)</f>
        <v>0</v>
      </c>
      <c r="I35" s="106">
        <f t="array" aca="1" ref="I35" ca="1">IFERROR(ABS(I17)/SUM(ABS(tblCompU[3])),0)</f>
        <v>0</v>
      </c>
      <c r="J35" s="106">
        <f t="array" aca="1" ref="J35" ca="1">IFERROR(ABS(J17)/SUM(ABS(tblCompU[4])),0)</f>
        <v>0</v>
      </c>
      <c r="K35" s="106">
        <f t="array" aca="1" ref="K35" ca="1">IFERROR(ABS(K17)/SUM(ABS(tblCompU[5])),0)</f>
        <v>0</v>
      </c>
      <c r="L35" s="106">
        <f t="array" aca="1" ref="L35" ca="1">IFERROR(ABS(L17)/SUM(ABS(tblCompU[6])),0)</f>
        <v>0</v>
      </c>
      <c r="M35" s="106">
        <f t="array" aca="1" ref="M35" ca="1">IFERROR(ABS(M17)/SUM(ABS(tblCompU[7])),0)</f>
        <v>0</v>
      </c>
      <c r="N35" s="106">
        <f t="array" aca="1" ref="N35" ca="1">IFERROR(ABS(N17)/SUM(ABS(tblCompU[8])),0)</f>
        <v>0</v>
      </c>
      <c r="O35" s="106">
        <f t="array" aca="1" ref="O35" ca="1">IFERROR(ABS(O17)/SUM(ABS(tblCompU[9])),0)</f>
        <v>0</v>
      </c>
      <c r="P35" s="106">
        <f ca="1">IFERROR(ABS(P17)/SUM(ABS(tblCompU[[#This Row],[10]])),0)</f>
        <v>0</v>
      </c>
    </row>
    <row r="36" spans="2:16" ht="15" x14ac:dyDescent="0.3">
      <c r="B36" s="314" t="s">
        <v>388</v>
      </c>
      <c r="C36" s="58" t="s">
        <v>389</v>
      </c>
      <c r="D36" s="74" t="s">
        <v>176</v>
      </c>
      <c r="E36" s="84">
        <f>SQRT(3)</f>
        <v>1.7320508075688772</v>
      </c>
      <c r="F36" s="87">
        <v>1</v>
      </c>
      <c r="G36" s="106">
        <f t="array" aca="1" ref="G36" ca="1">IFERROR(ABS(G18)/SUM(ABS(tblCompU[1])),0)</f>
        <v>0</v>
      </c>
      <c r="H36" s="106">
        <f t="array" aca="1" ref="H36" ca="1">IFERROR(ABS(H18)/SUM(ABS(tblCompU[2])),0)</f>
        <v>0</v>
      </c>
      <c r="I36" s="106">
        <f t="array" aca="1" ref="I36" ca="1">IFERROR(ABS(I18)/SUM(ABS(tblCompU[3])),0)</f>
        <v>0</v>
      </c>
      <c r="J36" s="106">
        <f t="array" aca="1" ref="J36" ca="1">IFERROR(ABS(J18)/SUM(ABS(tblCompU[4])),0)</f>
        <v>0</v>
      </c>
      <c r="K36" s="106">
        <f t="array" aca="1" ref="K36" ca="1">IFERROR(ABS(K18)/SUM(ABS(tblCompU[5])),0)</f>
        <v>0</v>
      </c>
      <c r="L36" s="106">
        <f t="array" aca="1" ref="L36" ca="1">IFERROR(ABS(L18)/SUM(ABS(tblCompU[6])),0)</f>
        <v>0</v>
      </c>
      <c r="M36" s="106">
        <f t="array" aca="1" ref="M36" ca="1">IFERROR(ABS(M18)/SUM(ABS(tblCompU[7])),0)</f>
        <v>0</v>
      </c>
      <c r="N36" s="106">
        <f t="array" aca="1" ref="N36" ca="1">IFERROR(ABS(N18)/SUM(ABS(tblCompU[8])),0)</f>
        <v>0</v>
      </c>
      <c r="O36" s="106">
        <f t="array" aca="1" ref="O36" ca="1">IFERROR(ABS(O18)/SUM(ABS(tblCompU[9])),0)</f>
        <v>0</v>
      </c>
      <c r="P36" s="106">
        <f ca="1">IFERROR(ABS(P18)/SUM(ABS(tblCompU[[#This Row],[10]])),0)</f>
        <v>0</v>
      </c>
    </row>
    <row r="37" spans="2:16" x14ac:dyDescent="0.3">
      <c r="B37" s="317" t="s">
        <v>187</v>
      </c>
      <c r="C37" s="318"/>
      <c r="D37" s="319"/>
      <c r="E37" s="320"/>
      <c r="F37" s="319"/>
      <c r="G37" s="321">
        <f ca="1">SUBTOTAL(109,'kU(E)'!$G$27:$G$36)</f>
        <v>0</v>
      </c>
      <c r="H37" s="321">
        <f ca="1">SUBTOTAL(109,'kU(E)'!$H$27:$H$36)</f>
        <v>0</v>
      </c>
      <c r="I37" s="321">
        <f ca="1">SUBTOTAL(109,'kU(E)'!$I$27:$I$36)</f>
        <v>0</v>
      </c>
      <c r="J37" s="321">
        <f ca="1">SUBTOTAL(109,'kU(E)'!$J$27:$J$36)</f>
        <v>0</v>
      </c>
      <c r="K37" s="321">
        <f ca="1">SUBTOTAL(109,'kU(E)'!$K$27:$K$36)</f>
        <v>0</v>
      </c>
      <c r="L37" s="321">
        <f ca="1">SUBTOTAL(109,'kU(E)'!$L$27:$L$36)</f>
        <v>0</v>
      </c>
      <c r="M37" s="321">
        <f ca="1">SUBTOTAL(109,'kU(E)'!$M$27:$M$36)</f>
        <v>0</v>
      </c>
      <c r="N37" s="321">
        <f ca="1">SUBTOTAL(109,'kU(E)'!$N$27:$N$36)</f>
        <v>0</v>
      </c>
      <c r="O37" s="321">
        <f ca="1">SUBTOTAL(109,'kU(E)'!$O$27:$O$36)</f>
        <v>0</v>
      </c>
      <c r="P37" s="321">
        <f ca="1">SUBTOTAL(109,'kU(E)'!$P$27:$P$36)</f>
        <v>0</v>
      </c>
    </row>
    <row r="41" spans="2:16" x14ac:dyDescent="0.3">
      <c r="B41" s="16" t="s">
        <v>203</v>
      </c>
    </row>
    <row r="42" spans="2:16" x14ac:dyDescent="0.3">
      <c r="B42" s="86" t="s">
        <v>204</v>
      </c>
      <c r="C42" s="86" t="s">
        <v>208</v>
      </c>
      <c r="D42" s="111"/>
      <c r="E42" s="112" t="s">
        <v>213</v>
      </c>
      <c r="F42" s="112" t="s">
        <v>142</v>
      </c>
    </row>
    <row r="43" spans="2:16" x14ac:dyDescent="0.3">
      <c r="B43" s="89" t="s">
        <v>205</v>
      </c>
      <c r="C43" s="107" t="s">
        <v>209</v>
      </c>
      <c r="D43" s="109"/>
      <c r="E43" s="113" t="s">
        <v>214</v>
      </c>
      <c r="F43" s="68">
        <f>IF(Calibración!E10="2",4,6)</f>
        <v>4</v>
      </c>
    </row>
    <row r="44" spans="2:16" ht="15.6" x14ac:dyDescent="0.35">
      <c r="B44" s="89" t="s">
        <v>206</v>
      </c>
      <c r="C44" s="107" t="s">
        <v>210</v>
      </c>
      <c r="D44" s="109"/>
      <c r="E44" s="113" t="s">
        <v>215</v>
      </c>
      <c r="F44" s="68">
        <f>F43-1</f>
        <v>3</v>
      </c>
    </row>
    <row r="45" spans="2:16" ht="15.6" x14ac:dyDescent="0.35">
      <c r="B45" s="89" t="s">
        <v>207</v>
      </c>
      <c r="C45" s="107" t="s">
        <v>411</v>
      </c>
      <c r="D45" s="107"/>
      <c r="E45" s="113" t="s">
        <v>216</v>
      </c>
      <c r="F45" s="210" t="s">
        <v>391</v>
      </c>
      <c r="G45" s="209">
        <f ca="1">(POWER(G16,4)/$F$44)+(POWER(G17,4)/$F$44)</f>
        <v>0</v>
      </c>
      <c r="H45" s="209">
        <f t="shared" ref="H45:P45" ca="1" si="4">(POWER(H16,4)/$F$44)+(POWER(H17,4)/$F$44)</f>
        <v>0</v>
      </c>
      <c r="I45" s="209">
        <f t="shared" ca="1" si="4"/>
        <v>0</v>
      </c>
      <c r="J45" s="209">
        <f t="shared" ca="1" si="4"/>
        <v>0</v>
      </c>
      <c r="K45" s="209">
        <f t="shared" ca="1" si="4"/>
        <v>0</v>
      </c>
      <c r="L45" s="209">
        <f t="shared" ca="1" si="4"/>
        <v>0</v>
      </c>
      <c r="M45" s="209">
        <f t="shared" ca="1" si="4"/>
        <v>0</v>
      </c>
      <c r="N45" s="209">
        <f t="shared" ca="1" si="4"/>
        <v>0</v>
      </c>
      <c r="O45" s="209">
        <f t="shared" ca="1" si="4"/>
        <v>0</v>
      </c>
      <c r="P45" s="209">
        <f t="shared" ca="1" si="4"/>
        <v>0</v>
      </c>
    </row>
    <row r="46" spans="2:16" ht="16.8" x14ac:dyDescent="0.35">
      <c r="B46" s="89" t="s">
        <v>217</v>
      </c>
      <c r="C46" s="107" t="s">
        <v>211</v>
      </c>
      <c r="D46" s="109"/>
      <c r="E46" s="113"/>
      <c r="F46" s="123">
        <f ca="1">POWER(tblCompU[[#Totals],[1]],4)</f>
        <v>0</v>
      </c>
      <c r="G46" s="122" t="s">
        <v>248</v>
      </c>
      <c r="H46" s="122" t="s">
        <v>249</v>
      </c>
      <c r="I46" s="122" t="s">
        <v>250</v>
      </c>
      <c r="J46" s="122" t="s">
        <v>251</v>
      </c>
      <c r="K46" s="122" t="s">
        <v>252</v>
      </c>
      <c r="L46" s="122" t="s">
        <v>253</v>
      </c>
      <c r="M46" s="122" t="s">
        <v>254</v>
      </c>
      <c r="N46" s="122" t="s">
        <v>255</v>
      </c>
      <c r="O46" s="122" t="s">
        <v>256</v>
      </c>
      <c r="P46" s="122" t="s">
        <v>257</v>
      </c>
    </row>
    <row r="47" spans="2:16" ht="16.8" x14ac:dyDescent="0.35">
      <c r="B47" s="89" t="s">
        <v>218</v>
      </c>
      <c r="C47" s="107" t="s">
        <v>211</v>
      </c>
      <c r="D47" s="109"/>
      <c r="E47" s="113"/>
      <c r="F47" s="123">
        <f ca="1">POWER(tblCompU[[#Totals],[2]],4)</f>
        <v>0</v>
      </c>
      <c r="G47" s="123">
        <f ca="1">G45</f>
        <v>0</v>
      </c>
      <c r="H47" s="123">
        <f t="shared" ref="H47:P47" ca="1" si="5">H45</f>
        <v>0</v>
      </c>
      <c r="I47" s="123">
        <f t="shared" ca="1" si="5"/>
        <v>0</v>
      </c>
      <c r="J47" s="123">
        <f t="shared" ca="1" si="5"/>
        <v>0</v>
      </c>
      <c r="K47" s="123">
        <f t="shared" ca="1" si="5"/>
        <v>0</v>
      </c>
      <c r="L47" s="123">
        <f t="shared" ca="1" si="5"/>
        <v>0</v>
      </c>
      <c r="M47" s="123">
        <f t="shared" ca="1" si="5"/>
        <v>0</v>
      </c>
      <c r="N47" s="123">
        <f t="shared" ca="1" si="5"/>
        <v>0</v>
      </c>
      <c r="O47" s="123">
        <f t="shared" ca="1" si="5"/>
        <v>0</v>
      </c>
      <c r="P47" s="123">
        <f t="shared" ca="1" si="5"/>
        <v>0</v>
      </c>
    </row>
    <row r="48" spans="2:16" ht="16.8" x14ac:dyDescent="0.35">
      <c r="B48" s="89" t="s">
        <v>219</v>
      </c>
      <c r="C48" s="107" t="s">
        <v>211</v>
      </c>
      <c r="D48" s="109"/>
      <c r="E48" s="113"/>
      <c r="F48" s="123">
        <f ca="1">POWER(tblCompU[[#Totals],[3]],4)</f>
        <v>0</v>
      </c>
    </row>
    <row r="49" spans="2:7" ht="16.8" x14ac:dyDescent="0.35">
      <c r="B49" s="89" t="s">
        <v>220</v>
      </c>
      <c r="C49" s="107" t="s">
        <v>211</v>
      </c>
      <c r="D49" s="109"/>
      <c r="E49" s="113"/>
      <c r="F49" s="123">
        <f ca="1">POWER(tblCompU[[#Totals],[4]],4)</f>
        <v>0</v>
      </c>
    </row>
    <row r="50" spans="2:7" ht="16.8" x14ac:dyDescent="0.35">
      <c r="B50" s="89" t="s">
        <v>221</v>
      </c>
      <c r="C50" s="107" t="s">
        <v>211</v>
      </c>
      <c r="D50" s="109"/>
      <c r="E50" s="113"/>
      <c r="F50" s="123">
        <f ca="1">POWER(tblCompU[[#Totals],[5]],4)</f>
        <v>0</v>
      </c>
    </row>
    <row r="51" spans="2:7" ht="16.8" x14ac:dyDescent="0.35">
      <c r="B51" s="89" t="s">
        <v>222</v>
      </c>
      <c r="C51" s="107" t="s">
        <v>211</v>
      </c>
      <c r="D51" s="109"/>
      <c r="E51" s="113"/>
      <c r="F51" s="123">
        <f ca="1">POWER(tblCompU[[#Totals],[6]],4)</f>
        <v>0</v>
      </c>
    </row>
    <row r="52" spans="2:7" ht="16.8" x14ac:dyDescent="0.35">
      <c r="B52" s="89" t="s">
        <v>223</v>
      </c>
      <c r="C52" s="107" t="s">
        <v>211</v>
      </c>
      <c r="D52" s="109"/>
      <c r="E52" s="113"/>
      <c r="F52" s="123">
        <f ca="1">POWER(tblCompU[[#Totals],[7]],4)</f>
        <v>0</v>
      </c>
    </row>
    <row r="53" spans="2:7" ht="16.8" x14ac:dyDescent="0.35">
      <c r="B53" s="89" t="s">
        <v>224</v>
      </c>
      <c r="C53" s="107" t="s">
        <v>211</v>
      </c>
      <c r="D53" s="109"/>
      <c r="E53" s="113"/>
      <c r="F53" s="123">
        <f ca="1">POWER(tblCompU[[#Totals],[8]],4)</f>
        <v>0</v>
      </c>
    </row>
    <row r="54" spans="2:7" ht="16.8" x14ac:dyDescent="0.35">
      <c r="B54" s="89" t="s">
        <v>225</v>
      </c>
      <c r="C54" s="107" t="s">
        <v>211</v>
      </c>
      <c r="D54" s="109"/>
      <c r="E54" s="113"/>
      <c r="F54" s="123">
        <f ca="1">POWER(tblCompU[[#Totals],[9]],4)</f>
        <v>0</v>
      </c>
    </row>
    <row r="55" spans="2:7" ht="16.8" x14ac:dyDescent="0.35">
      <c r="B55" s="89" t="s">
        <v>226</v>
      </c>
      <c r="C55" s="107" t="s">
        <v>211</v>
      </c>
      <c r="D55" s="109"/>
      <c r="E55" s="113"/>
      <c r="F55" s="123">
        <f ca="1">POWER(tblCompU[[#Totals],[10]],4)</f>
        <v>0</v>
      </c>
      <c r="G55" s="30" t="s">
        <v>237</v>
      </c>
    </row>
    <row r="56" spans="2:7" ht="15.6" x14ac:dyDescent="0.35">
      <c r="B56" s="108" t="s">
        <v>227</v>
      </c>
      <c r="C56" s="107" t="s">
        <v>212</v>
      </c>
      <c r="D56" s="110"/>
      <c r="E56" s="114"/>
      <c r="F56" s="126" t="str">
        <f ca="1">IFERROR(F46/G47,"")</f>
        <v/>
      </c>
      <c r="G56" s="115">
        <f ca="1">IF(F56&gt;20,2,HLOOKUP(F56,$C$69:$W$70,2))</f>
        <v>2</v>
      </c>
    </row>
    <row r="57" spans="2:7" ht="15.6" x14ac:dyDescent="0.35">
      <c r="B57" s="108" t="s">
        <v>228</v>
      </c>
      <c r="C57" s="107" t="s">
        <v>212</v>
      </c>
      <c r="D57" s="110"/>
      <c r="E57" s="114"/>
      <c r="F57" s="126" t="str">
        <f ca="1">IFERROR(F47/H47,"")</f>
        <v/>
      </c>
      <c r="G57" s="115">
        <f t="shared" ref="G57:G65" ca="1" si="6">IF(F57&gt;20,2,HLOOKUP(F57,$C$69:$W$70,2))</f>
        <v>2</v>
      </c>
    </row>
    <row r="58" spans="2:7" ht="15.6" x14ac:dyDescent="0.35">
      <c r="B58" s="108" t="s">
        <v>229</v>
      </c>
      <c r="C58" s="107" t="s">
        <v>212</v>
      </c>
      <c r="D58" s="110"/>
      <c r="E58" s="114"/>
      <c r="F58" s="126" t="str">
        <f ca="1">IFERROR(F48/I47,"")</f>
        <v/>
      </c>
      <c r="G58" s="115">
        <f t="shared" ca="1" si="6"/>
        <v>2</v>
      </c>
    </row>
    <row r="59" spans="2:7" ht="15.6" x14ac:dyDescent="0.35">
      <c r="B59" s="108" t="s">
        <v>230</v>
      </c>
      <c r="C59" s="107" t="s">
        <v>212</v>
      </c>
      <c r="D59" s="110"/>
      <c r="E59" s="114"/>
      <c r="F59" s="126" t="str">
        <f ca="1">IFERROR(F49/J47,"")</f>
        <v/>
      </c>
      <c r="G59" s="115">
        <f t="shared" ca="1" si="6"/>
        <v>2</v>
      </c>
    </row>
    <row r="60" spans="2:7" ht="15.6" x14ac:dyDescent="0.35">
      <c r="B60" s="108" t="s">
        <v>231</v>
      </c>
      <c r="C60" s="107" t="s">
        <v>212</v>
      </c>
      <c r="D60" s="110"/>
      <c r="E60" s="114"/>
      <c r="F60" s="126" t="str">
        <f ca="1">IFERROR(F50/K47,"")</f>
        <v/>
      </c>
      <c r="G60" s="115">
        <f t="shared" ca="1" si="6"/>
        <v>2</v>
      </c>
    </row>
    <row r="61" spans="2:7" ht="15.6" x14ac:dyDescent="0.35">
      <c r="B61" s="108" t="s">
        <v>232</v>
      </c>
      <c r="C61" s="107" t="s">
        <v>212</v>
      </c>
      <c r="D61" s="110"/>
      <c r="E61" s="114"/>
      <c r="F61" s="126" t="str">
        <f ca="1">IFERROR(F51/L47,"")</f>
        <v/>
      </c>
      <c r="G61" s="115">
        <f t="shared" ca="1" si="6"/>
        <v>2</v>
      </c>
    </row>
    <row r="62" spans="2:7" ht="15.6" x14ac:dyDescent="0.35">
      <c r="B62" s="108" t="s">
        <v>233</v>
      </c>
      <c r="C62" s="107" t="s">
        <v>212</v>
      </c>
      <c r="D62" s="110"/>
      <c r="E62" s="114"/>
      <c r="F62" s="126" t="str">
        <f ca="1">IFERROR(F52/M47,"")</f>
        <v/>
      </c>
      <c r="G62" s="115">
        <f t="shared" ca="1" si="6"/>
        <v>2</v>
      </c>
    </row>
    <row r="63" spans="2:7" ht="15.6" x14ac:dyDescent="0.35">
      <c r="B63" s="108" t="s">
        <v>234</v>
      </c>
      <c r="C63" s="107" t="s">
        <v>212</v>
      </c>
      <c r="D63" s="110"/>
      <c r="E63" s="114"/>
      <c r="F63" s="126" t="str">
        <f ca="1">IFERROR(F53/N47,"")</f>
        <v/>
      </c>
      <c r="G63" s="115">
        <f t="shared" ca="1" si="6"/>
        <v>2</v>
      </c>
    </row>
    <row r="64" spans="2:7" ht="15.6" x14ac:dyDescent="0.35">
      <c r="B64" s="108" t="s">
        <v>235</v>
      </c>
      <c r="C64" s="107" t="s">
        <v>212</v>
      </c>
      <c r="D64" s="110"/>
      <c r="E64" s="114"/>
      <c r="F64" s="126" t="str">
        <f ca="1">IFERROR(F54/O47,"")</f>
        <v/>
      </c>
      <c r="G64" s="115">
        <f t="shared" ca="1" si="6"/>
        <v>2</v>
      </c>
    </row>
    <row r="65" spans="2:24" ht="15.6" x14ac:dyDescent="0.35">
      <c r="B65" s="108" t="s">
        <v>236</v>
      </c>
      <c r="C65" s="107" t="s">
        <v>212</v>
      </c>
      <c r="D65" s="110"/>
      <c r="E65" s="114"/>
      <c r="F65" s="126" t="str">
        <f ca="1">IFERROR(F55/P47,"")</f>
        <v/>
      </c>
      <c r="G65" s="115">
        <f t="shared" ca="1" si="6"/>
        <v>2</v>
      </c>
    </row>
    <row r="68" spans="2:24" x14ac:dyDescent="0.3">
      <c r="C68" s="340" t="s">
        <v>671</v>
      </c>
      <c r="D68" s="341"/>
      <c r="E68" s="341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341"/>
      <c r="T68" s="341"/>
      <c r="U68" s="341"/>
      <c r="V68" s="341"/>
      <c r="W68" s="341"/>
      <c r="X68" s="342"/>
    </row>
    <row r="69" spans="2:24" x14ac:dyDescent="0.3">
      <c r="C69" s="286" t="s">
        <v>672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673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B18" sqref="B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38" t="s">
        <v>98</v>
      </c>
      <c r="C2" s="238" t="s">
        <v>457</v>
      </c>
      <c r="D2" s="238" t="s">
        <v>458</v>
      </c>
      <c r="E2" s="238" t="s">
        <v>459</v>
      </c>
      <c r="F2" s="239"/>
      <c r="G2" s="239"/>
      <c r="H2" s="239"/>
      <c r="I2" s="239"/>
    </row>
    <row r="3" spans="2:9" x14ac:dyDescent="0.3">
      <c r="B3" s="240" t="str">
        <f>EquipoTipo</f>
        <v xml:space="preserve">Manómetro </v>
      </c>
      <c r="C3" s="241" t="str">
        <f>CertDate</f>
        <v>2022-XXX-YYY</v>
      </c>
      <c r="D3" s="240" t="str">
        <f>EquipoCode</f>
        <v>706340</v>
      </c>
      <c r="E3" s="240" t="str">
        <f>CertNum</f>
        <v>NI-MC-P-XXXX-ZZZZ</v>
      </c>
      <c r="F3" s="242"/>
      <c r="G3" s="239"/>
      <c r="H3" s="239"/>
      <c r="I3" s="23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Y128"/>
  <sheetViews>
    <sheetView view="pageLayout" topLeftCell="A52" zoomScaleNormal="40" zoomScaleSheetLayoutView="100" workbookViewId="0">
      <selection activeCell="L67" sqref="L67:Q6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4" spans="1:24" ht="13.5" customHeight="1" x14ac:dyDescent="0.3"/>
    <row r="5" spans="1:24" ht="9.75" customHeight="1" x14ac:dyDescent="0.3"/>
    <row r="8" spans="1:24" x14ac:dyDescent="0.3">
      <c r="A8" s="220" t="s">
        <v>413</v>
      </c>
      <c r="B8" s="221"/>
      <c r="C8" s="222"/>
      <c r="E8" s="222"/>
      <c r="F8" s="222"/>
      <c r="G8" s="223"/>
      <c r="H8" s="223"/>
      <c r="I8" s="223"/>
      <c r="J8" s="223"/>
      <c r="K8" s="223"/>
      <c r="L8" s="9"/>
      <c r="M8" s="9"/>
      <c r="N8" s="377" t="str">
        <f>General!F3</f>
        <v>NI-MC-P-XXXX-ZZZZ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0" t="s">
        <v>414</v>
      </c>
      <c r="B9" s="221"/>
      <c r="C9" s="222"/>
      <c r="E9" s="222"/>
      <c r="F9" s="222"/>
      <c r="G9" s="223"/>
      <c r="H9" s="223"/>
      <c r="I9" s="223"/>
      <c r="J9" s="223"/>
      <c r="K9" s="223"/>
      <c r="L9" s="9"/>
      <c r="M9" s="9"/>
      <c r="N9" s="376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0" t="s">
        <v>415</v>
      </c>
      <c r="B10" s="221"/>
      <c r="C10" s="221"/>
      <c r="E10" s="221"/>
      <c r="F10" s="221"/>
      <c r="G10" s="223"/>
      <c r="H10" s="223"/>
      <c r="I10" s="223"/>
      <c r="J10" s="223"/>
      <c r="K10" s="223"/>
      <c r="L10" s="224"/>
      <c r="M10" s="9"/>
      <c r="N10" s="378" t="str">
        <f>General!F5</f>
        <v>2022-XXX-YYY</v>
      </c>
      <c r="O10" s="378"/>
      <c r="P10" s="378"/>
      <c r="Q10" s="378"/>
      <c r="R10" s="378"/>
      <c r="S10" s="378"/>
      <c r="T10" s="378"/>
      <c r="U10" s="378"/>
      <c r="V10" s="378"/>
      <c r="W10" s="378"/>
      <c r="X10" s="378"/>
    </row>
    <row r="11" spans="1:24" x14ac:dyDescent="0.3">
      <c r="A11" s="220" t="s">
        <v>668</v>
      </c>
      <c r="B11" s="221"/>
      <c r="C11" s="221"/>
      <c r="E11" s="221"/>
      <c r="F11" s="221"/>
      <c r="G11" s="223"/>
      <c r="H11" s="223"/>
      <c r="I11" s="223"/>
      <c r="J11" s="223"/>
      <c r="K11" s="223"/>
      <c r="L11" s="224"/>
      <c r="M11" s="9"/>
      <c r="N11" s="378">
        <f ca="1">NOW()</f>
        <v>45477.569171875002</v>
      </c>
      <c r="O11" s="378"/>
      <c r="P11" s="378"/>
      <c r="Q11" s="378"/>
      <c r="R11" s="285"/>
      <c r="S11" s="285"/>
      <c r="T11" s="285"/>
      <c r="U11" s="285"/>
      <c r="V11" s="285"/>
      <c r="W11" s="285"/>
      <c r="X11" s="285"/>
    </row>
    <row r="12" spans="1:24" x14ac:dyDescent="0.3">
      <c r="A12" s="220" t="s">
        <v>416</v>
      </c>
      <c r="B12" s="221"/>
      <c r="C12" s="221"/>
      <c r="E12" s="221"/>
      <c r="F12" s="221"/>
      <c r="G12" s="223"/>
      <c r="H12" s="223"/>
      <c r="I12" s="223"/>
      <c r="J12" s="223"/>
      <c r="K12" s="223"/>
      <c r="L12" s="9"/>
      <c r="M12" s="9"/>
      <c r="N12" s="376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0" t="s">
        <v>417</v>
      </c>
      <c r="B13" s="221"/>
      <c r="C13" s="221"/>
      <c r="E13" s="221"/>
      <c r="F13" s="221"/>
      <c r="G13" s="223"/>
      <c r="H13" s="223"/>
      <c r="I13" s="223"/>
      <c r="J13" s="223"/>
      <c r="K13" s="223"/>
      <c r="L13" s="9"/>
      <c r="M13" s="9"/>
      <c r="N13" s="376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0" t="s">
        <v>418</v>
      </c>
      <c r="B14" s="221"/>
      <c r="C14" s="221"/>
      <c r="E14" s="221"/>
      <c r="F14" s="221"/>
      <c r="G14" s="223"/>
      <c r="H14" s="223"/>
      <c r="I14" s="223"/>
      <c r="J14" s="223"/>
      <c r="K14" s="223"/>
      <c r="L14" s="9"/>
      <c r="M14" s="9"/>
      <c r="N14" s="376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0" t="s">
        <v>419</v>
      </c>
      <c r="B15" s="221"/>
      <c r="C15" s="221"/>
      <c r="E15" s="221"/>
      <c r="F15" s="221"/>
      <c r="G15" s="223"/>
      <c r="H15" s="223"/>
      <c r="I15" s="223"/>
      <c r="J15" s="223"/>
      <c r="K15" s="223"/>
      <c r="L15" s="9"/>
      <c r="M15" s="9"/>
      <c r="N15" s="376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0" t="s">
        <v>420</v>
      </c>
      <c r="B16" s="221"/>
      <c r="C16" s="221"/>
      <c r="E16" s="221"/>
      <c r="F16" s="221"/>
      <c r="G16" s="223"/>
      <c r="H16" s="223"/>
      <c r="I16" s="223"/>
      <c r="J16" s="223"/>
      <c r="K16" s="223"/>
      <c r="L16" s="9"/>
      <c r="M16" s="9"/>
      <c r="N16" s="376" t="str">
        <f>General!F18</f>
        <v>0 psi a 1 000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0" t="s">
        <v>421</v>
      </c>
      <c r="B17" s="221"/>
      <c r="C17" s="221"/>
      <c r="E17" s="221"/>
      <c r="F17" s="221"/>
      <c r="G17" s="223"/>
      <c r="H17" s="223"/>
      <c r="I17" s="223"/>
      <c r="J17" s="223"/>
      <c r="K17" s="223"/>
      <c r="L17" s="9"/>
      <c r="M17" s="9"/>
      <c r="N17" s="376" t="str">
        <f>General!F15</f>
        <v>5</v>
      </c>
      <c r="O17" s="364"/>
      <c r="P17" s="376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0" t="s">
        <v>422</v>
      </c>
      <c r="B18" s="221"/>
      <c r="C18" s="221"/>
      <c r="E18" s="221"/>
      <c r="F18" s="221"/>
      <c r="G18" s="223"/>
      <c r="H18" s="223"/>
      <c r="I18" s="223"/>
      <c r="J18" s="223"/>
      <c r="K18" s="223"/>
      <c r="L18" s="9"/>
      <c r="M18" s="9"/>
      <c r="N18" s="376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0" t="s">
        <v>423</v>
      </c>
      <c r="B19" s="221"/>
      <c r="C19" s="221"/>
      <c r="E19" s="221"/>
      <c r="F19" s="221"/>
      <c r="G19" s="223"/>
      <c r="H19" s="223"/>
      <c r="I19" s="223"/>
      <c r="J19" s="223"/>
      <c r="K19" s="223"/>
      <c r="L19" s="9"/>
      <c r="M19" s="9"/>
      <c r="N19" s="376" t="str">
        <f>General!L3</f>
        <v>AgroBioTek Nicaragua S.A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5" t="s">
        <v>424</v>
      </c>
      <c r="C20" s="221"/>
      <c r="D20" s="221"/>
      <c r="E20" s="221"/>
      <c r="F20" s="221"/>
      <c r="G20" s="223"/>
      <c r="H20" s="223"/>
      <c r="I20" s="223"/>
      <c r="J20" s="223"/>
      <c r="K20" s="223"/>
      <c r="L20" s="10"/>
      <c r="M20" s="9"/>
      <c r="N20" s="364" t="str">
        <f>General!L4</f>
        <v>Reparto El Carmen, Hyundai Montoya 200 m Este, Managua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0" t="s">
        <v>425</v>
      </c>
      <c r="C21" s="221"/>
      <c r="D21" s="221"/>
      <c r="E21" s="221"/>
      <c r="F21" s="221"/>
      <c r="G21" s="223"/>
      <c r="H21" s="223"/>
      <c r="I21" s="223"/>
      <c r="J21" s="223"/>
      <c r="K21" s="223"/>
      <c r="L21" s="9"/>
      <c r="M21" s="9"/>
      <c r="N21" s="379" t="str">
        <f>General!L6</f>
        <v>Laboratorio Metrocal (Metrología Consultores S.A)</v>
      </c>
      <c r="O21" s="379"/>
      <c r="P21" s="379"/>
      <c r="Q21" s="379"/>
      <c r="R21" s="379"/>
      <c r="S21" s="379"/>
      <c r="T21" s="379"/>
      <c r="U21" s="379"/>
      <c r="V21" s="379"/>
      <c r="W21" s="379"/>
      <c r="X21" s="379"/>
    </row>
    <row r="22" spans="1:24" ht="13.5" customHeight="1" x14ac:dyDescent="0.3">
      <c r="A22" s="220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</row>
    <row r="23" spans="1:24" x14ac:dyDescent="0.3">
      <c r="A23" s="220" t="s">
        <v>426</v>
      </c>
      <c r="C23" s="221"/>
      <c r="D23" s="221"/>
      <c r="E23" s="221"/>
      <c r="F23" s="221"/>
    </row>
    <row r="24" spans="1:24" x14ac:dyDescent="0.3">
      <c r="A24" s="9"/>
      <c r="B24" s="9"/>
      <c r="C24" s="9"/>
      <c r="D24" s="380" t="s">
        <v>95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</row>
    <row r="25" spans="1:24" ht="15" customHeight="1" x14ac:dyDescent="0.3">
      <c r="A25" s="9"/>
      <c r="B25" s="9"/>
      <c r="C25" s="9"/>
      <c r="D25" s="374" t="s">
        <v>362</v>
      </c>
      <c r="E25" s="374"/>
      <c r="F25" s="375" t="s">
        <v>427</v>
      </c>
      <c r="G25" s="375"/>
      <c r="H25" s="375"/>
      <c r="I25" s="375"/>
      <c r="J25" s="375"/>
      <c r="K25" s="375"/>
      <c r="L25" s="375" t="s">
        <v>96</v>
      </c>
      <c r="M25" s="375"/>
      <c r="N25" s="375"/>
      <c r="O25" s="375"/>
      <c r="P25" s="375"/>
      <c r="Q25" s="375"/>
      <c r="R25" s="374" t="s">
        <v>428</v>
      </c>
      <c r="S25" s="374"/>
      <c r="T25" s="374"/>
      <c r="U25" s="374"/>
      <c r="V25" s="374"/>
      <c r="W25" s="374"/>
    </row>
    <row r="26" spans="1:24" ht="14.25" customHeight="1" x14ac:dyDescent="0.3">
      <c r="A26" s="9"/>
      <c r="B26" s="9"/>
      <c r="C26" s="9"/>
      <c r="D26" s="374"/>
      <c r="E26" s="374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4"/>
      <c r="S26" s="374"/>
      <c r="T26" s="374"/>
      <c r="U26" s="374"/>
      <c r="V26" s="374"/>
      <c r="W26" s="374"/>
    </row>
    <row r="27" spans="1:24" x14ac:dyDescent="0.3">
      <c r="A27" s="9"/>
      <c r="B27" s="9"/>
      <c r="C27" s="9"/>
      <c r="D27" s="370" t="str">
        <f>Calibración!C37</f>
        <v>psi</v>
      </c>
      <c r="E27" s="370"/>
      <c r="F27" s="371" t="str">
        <f>Calibración!D37</f>
        <v>psi</v>
      </c>
      <c r="G27" s="372"/>
      <c r="H27" s="372"/>
      <c r="I27" s="372"/>
      <c r="J27" s="372"/>
      <c r="K27" s="373"/>
      <c r="L27" s="371" t="str">
        <f>Calibración!E37</f>
        <v>psi</v>
      </c>
      <c r="M27" s="372"/>
      <c r="N27" s="372"/>
      <c r="O27" s="372"/>
      <c r="P27" s="372"/>
      <c r="Q27" s="373"/>
      <c r="R27" s="371" t="str">
        <f>Calibración!F37</f>
        <v>psi</v>
      </c>
      <c r="S27" s="372"/>
      <c r="T27" s="372"/>
      <c r="U27" s="372"/>
      <c r="V27" s="372"/>
      <c r="W27" s="373"/>
    </row>
    <row r="28" spans="1:24" x14ac:dyDescent="0.3">
      <c r="A28" s="9"/>
      <c r="B28" s="9"/>
      <c r="C28" s="9"/>
      <c r="D28" s="369" t="str">
        <f ca="1">Calibración!C38</f>
        <v/>
      </c>
      <c r="E28" s="369"/>
      <c r="F28" s="366" t="str">
        <f ca="1">Calibración!D38</f>
        <v/>
      </c>
      <c r="G28" s="367"/>
      <c r="H28" s="367"/>
      <c r="I28" s="367"/>
      <c r="J28" s="367"/>
      <c r="K28" s="368"/>
      <c r="L28" s="366" t="str">
        <f ca="1">Calibración!E38</f>
        <v/>
      </c>
      <c r="M28" s="367"/>
      <c r="N28" s="367"/>
      <c r="O28" s="367"/>
      <c r="P28" s="367"/>
      <c r="Q28" s="368"/>
      <c r="R28" s="366" t="str">
        <f ca="1">Calibración!F38</f>
        <v/>
      </c>
      <c r="S28" s="367"/>
      <c r="T28" s="367"/>
      <c r="U28" s="367"/>
      <c r="V28" s="367"/>
      <c r="W28" s="368"/>
    </row>
    <row r="29" spans="1:24" x14ac:dyDescent="0.3">
      <c r="A29" s="9"/>
      <c r="B29" s="9"/>
      <c r="C29" s="9"/>
      <c r="D29" s="369" t="str">
        <f ca="1">Calibración!C39</f>
        <v/>
      </c>
      <c r="E29" s="369"/>
      <c r="F29" s="366" t="str">
        <f ca="1">Calibración!D39</f>
        <v/>
      </c>
      <c r="G29" s="367"/>
      <c r="H29" s="367"/>
      <c r="I29" s="367"/>
      <c r="J29" s="367"/>
      <c r="K29" s="368"/>
      <c r="L29" s="366" t="str">
        <f ca="1">Calibración!E39</f>
        <v/>
      </c>
      <c r="M29" s="367"/>
      <c r="N29" s="367"/>
      <c r="O29" s="367"/>
      <c r="P29" s="367"/>
      <c r="Q29" s="368"/>
      <c r="R29" s="366" t="str">
        <f ca="1">Calibración!F39</f>
        <v/>
      </c>
      <c r="S29" s="367"/>
      <c r="T29" s="367"/>
      <c r="U29" s="367"/>
      <c r="V29" s="367"/>
      <c r="W29" s="368"/>
    </row>
    <row r="30" spans="1:24" x14ac:dyDescent="0.3">
      <c r="A30" s="9"/>
      <c r="B30" s="9"/>
      <c r="C30" s="9"/>
      <c r="D30" s="369" t="str">
        <f ca="1">Calibración!C40</f>
        <v/>
      </c>
      <c r="E30" s="369"/>
      <c r="F30" s="366" t="str">
        <f ca="1">Calibración!D40</f>
        <v/>
      </c>
      <c r="G30" s="367"/>
      <c r="H30" s="367"/>
      <c r="I30" s="367"/>
      <c r="J30" s="367"/>
      <c r="K30" s="368"/>
      <c r="L30" s="366" t="str">
        <f ca="1">Calibración!E40</f>
        <v/>
      </c>
      <c r="M30" s="367"/>
      <c r="N30" s="367"/>
      <c r="O30" s="367"/>
      <c r="P30" s="367"/>
      <c r="Q30" s="368"/>
      <c r="R30" s="366" t="str">
        <f ca="1">Calibración!F40</f>
        <v/>
      </c>
      <c r="S30" s="367"/>
      <c r="T30" s="367"/>
      <c r="U30" s="367"/>
      <c r="V30" s="367"/>
      <c r="W30" s="368"/>
    </row>
    <row r="31" spans="1:24" x14ac:dyDescent="0.3">
      <c r="A31" s="9"/>
      <c r="B31" s="9"/>
      <c r="C31" s="9"/>
      <c r="D31" s="369" t="str">
        <f ca="1">Calibración!C41</f>
        <v/>
      </c>
      <c r="E31" s="369"/>
      <c r="F31" s="366" t="str">
        <f ca="1">Calibración!D41</f>
        <v/>
      </c>
      <c r="G31" s="367"/>
      <c r="H31" s="367"/>
      <c r="I31" s="367"/>
      <c r="J31" s="367"/>
      <c r="K31" s="368"/>
      <c r="L31" s="366" t="str">
        <f ca="1">Calibración!E41</f>
        <v/>
      </c>
      <c r="M31" s="367"/>
      <c r="N31" s="367"/>
      <c r="O31" s="367"/>
      <c r="P31" s="367"/>
      <c r="Q31" s="368"/>
      <c r="R31" s="366" t="str">
        <f ca="1">Calibración!F41</f>
        <v/>
      </c>
      <c r="S31" s="367"/>
      <c r="T31" s="367"/>
      <c r="U31" s="367"/>
      <c r="V31" s="367"/>
      <c r="W31" s="368"/>
    </row>
    <row r="32" spans="1:24" x14ac:dyDescent="0.3">
      <c r="A32" s="9"/>
      <c r="B32" s="9"/>
      <c r="C32" s="9"/>
      <c r="D32" s="369" t="str">
        <f ca="1">Calibración!C42</f>
        <v/>
      </c>
      <c r="E32" s="369"/>
      <c r="F32" s="366" t="str">
        <f ca="1">Calibración!D42</f>
        <v/>
      </c>
      <c r="G32" s="367"/>
      <c r="H32" s="367"/>
      <c r="I32" s="367"/>
      <c r="J32" s="367"/>
      <c r="K32" s="368"/>
      <c r="L32" s="366" t="str">
        <f ca="1">Calibración!E42</f>
        <v/>
      </c>
      <c r="M32" s="367"/>
      <c r="N32" s="367"/>
      <c r="O32" s="367"/>
      <c r="P32" s="367"/>
      <c r="Q32" s="368"/>
      <c r="R32" s="366" t="str">
        <f ca="1">Calibración!F42</f>
        <v/>
      </c>
      <c r="S32" s="367"/>
      <c r="T32" s="367"/>
      <c r="U32" s="367"/>
      <c r="V32" s="367"/>
      <c r="W32" s="368"/>
    </row>
    <row r="33" spans="1:23" x14ac:dyDescent="0.3">
      <c r="A33" s="9"/>
      <c r="B33" s="9"/>
      <c r="C33" s="9"/>
      <c r="D33" s="369" t="str">
        <f ca="1">Calibración!C43</f>
        <v/>
      </c>
      <c r="E33" s="369"/>
      <c r="F33" s="366" t="str">
        <f ca="1">Calibración!D43</f>
        <v/>
      </c>
      <c r="G33" s="367"/>
      <c r="H33" s="367"/>
      <c r="I33" s="367"/>
      <c r="J33" s="367"/>
      <c r="K33" s="368"/>
      <c r="L33" s="366" t="str">
        <f ca="1">Calibración!E43</f>
        <v/>
      </c>
      <c r="M33" s="367"/>
      <c r="N33" s="367"/>
      <c r="O33" s="367"/>
      <c r="P33" s="367"/>
      <c r="Q33" s="368"/>
      <c r="R33" s="366" t="str">
        <f ca="1">Calibración!F43</f>
        <v/>
      </c>
      <c r="S33" s="367"/>
      <c r="T33" s="367"/>
      <c r="U33" s="367"/>
      <c r="V33" s="367"/>
      <c r="W33" s="368"/>
    </row>
    <row r="34" spans="1:23" x14ac:dyDescent="0.3">
      <c r="A34" s="9"/>
      <c r="B34" s="9"/>
      <c r="C34" s="9"/>
      <c r="D34" s="369" t="str">
        <f ca="1">Calibración!C44</f>
        <v/>
      </c>
      <c r="E34" s="369"/>
      <c r="F34" s="366" t="str">
        <f ca="1">Calibración!D44</f>
        <v/>
      </c>
      <c r="G34" s="367"/>
      <c r="H34" s="367"/>
      <c r="I34" s="367"/>
      <c r="J34" s="367"/>
      <c r="K34" s="368"/>
      <c r="L34" s="366" t="str">
        <f ca="1">Calibración!E44</f>
        <v/>
      </c>
      <c r="M34" s="367"/>
      <c r="N34" s="367"/>
      <c r="O34" s="367"/>
      <c r="P34" s="367"/>
      <c r="Q34" s="368"/>
      <c r="R34" s="366" t="str">
        <f ca="1">Calibración!F44</f>
        <v/>
      </c>
      <c r="S34" s="367"/>
      <c r="T34" s="367"/>
      <c r="U34" s="367"/>
      <c r="V34" s="367"/>
      <c r="W34" s="368"/>
    </row>
    <row r="35" spans="1:23" x14ac:dyDescent="0.3">
      <c r="A35" s="9"/>
      <c r="B35" s="9"/>
      <c r="C35" s="9"/>
      <c r="D35" s="369" t="str">
        <f ca="1">Calibración!C45</f>
        <v/>
      </c>
      <c r="E35" s="369"/>
      <c r="F35" s="366" t="str">
        <f ca="1">Calibración!D45</f>
        <v/>
      </c>
      <c r="G35" s="367"/>
      <c r="H35" s="367"/>
      <c r="I35" s="367"/>
      <c r="J35" s="367"/>
      <c r="K35" s="368"/>
      <c r="L35" s="366" t="str">
        <f ca="1">Calibración!E45</f>
        <v/>
      </c>
      <c r="M35" s="367"/>
      <c r="N35" s="367"/>
      <c r="O35" s="367"/>
      <c r="P35" s="367"/>
      <c r="Q35" s="368"/>
      <c r="R35" s="366" t="str">
        <f ca="1">Calibración!F45</f>
        <v/>
      </c>
      <c r="S35" s="367"/>
      <c r="T35" s="367"/>
      <c r="U35" s="367"/>
      <c r="V35" s="367"/>
      <c r="W35" s="368"/>
    </row>
    <row r="36" spans="1:23" x14ac:dyDescent="0.3">
      <c r="A36" s="9"/>
      <c r="B36" s="9"/>
      <c r="C36" s="9"/>
      <c r="D36" s="369" t="str">
        <f ca="1">Calibración!C46</f>
        <v/>
      </c>
      <c r="E36" s="369"/>
      <c r="F36" s="366" t="str">
        <f ca="1">Calibración!D46</f>
        <v/>
      </c>
      <c r="G36" s="367"/>
      <c r="H36" s="367"/>
      <c r="I36" s="367"/>
      <c r="J36" s="367"/>
      <c r="K36" s="368"/>
      <c r="L36" s="366" t="str">
        <f ca="1">Calibración!E46</f>
        <v/>
      </c>
      <c r="M36" s="367"/>
      <c r="N36" s="367"/>
      <c r="O36" s="367"/>
      <c r="P36" s="367"/>
      <c r="Q36" s="368"/>
      <c r="R36" s="366" t="str">
        <f ca="1">Calibración!F46</f>
        <v/>
      </c>
      <c r="S36" s="367"/>
      <c r="T36" s="367"/>
      <c r="U36" s="367"/>
      <c r="V36" s="367"/>
      <c r="W36" s="368"/>
    </row>
    <row r="37" spans="1:23" x14ac:dyDescent="0.3">
      <c r="A37" s="9"/>
      <c r="B37" s="9"/>
      <c r="C37" s="9"/>
      <c r="D37" s="369" t="str">
        <f ca="1">Calibración!C47</f>
        <v/>
      </c>
      <c r="E37" s="369"/>
      <c r="F37" s="366" t="str">
        <f ca="1">Calibración!D47</f>
        <v/>
      </c>
      <c r="G37" s="367"/>
      <c r="H37" s="367"/>
      <c r="I37" s="367"/>
      <c r="J37" s="367"/>
      <c r="K37" s="368"/>
      <c r="L37" s="366" t="str">
        <f ca="1">Calibración!E47</f>
        <v/>
      </c>
      <c r="M37" s="367"/>
      <c r="N37" s="367"/>
      <c r="O37" s="367"/>
      <c r="P37" s="367"/>
      <c r="Q37" s="368"/>
      <c r="R37" s="366" t="str">
        <f ca="1">Calibración!F47</f>
        <v/>
      </c>
      <c r="S37" s="367"/>
      <c r="T37" s="367"/>
      <c r="U37" s="367"/>
      <c r="V37" s="367"/>
      <c r="W37" s="368"/>
    </row>
    <row r="38" spans="1:23" x14ac:dyDescent="0.3">
      <c r="A38" s="9"/>
      <c r="B38" s="9"/>
      <c r="C38" s="9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  <c r="U38" s="312"/>
      <c r="V38" s="312"/>
      <c r="W38" s="312"/>
    </row>
    <row r="39" spans="1:23" x14ac:dyDescent="0.3">
      <c r="A39" s="9"/>
      <c r="B39" s="9"/>
      <c r="C39" s="9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  <c r="U39" s="312"/>
      <c r="V39" s="312"/>
      <c r="W39" s="312"/>
    </row>
    <row r="40" spans="1:23" x14ac:dyDescent="0.3">
      <c r="A40" s="9"/>
      <c r="B40" s="9"/>
      <c r="C40" s="9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</row>
    <row r="41" spans="1:23" x14ac:dyDescent="0.3">
      <c r="A41" s="9"/>
      <c r="B41" s="9"/>
      <c r="C41" s="9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  <c r="U41" s="312"/>
      <c r="V41" s="312"/>
      <c r="W41" s="312"/>
    </row>
    <row r="42" spans="1:23" x14ac:dyDescent="0.3">
      <c r="A42" s="9"/>
      <c r="B42" s="9"/>
      <c r="C42" s="9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</row>
    <row r="43" spans="1:23" x14ac:dyDescent="0.3">
      <c r="A43" s="9"/>
      <c r="B43" s="9"/>
      <c r="C43" s="9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  <c r="U43" s="312"/>
      <c r="V43" s="312"/>
      <c r="W43" s="312"/>
    </row>
    <row r="44" spans="1:23" x14ac:dyDescent="0.3">
      <c r="A44" s="9"/>
      <c r="B44" s="9"/>
      <c r="C44" s="9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</row>
    <row r="45" spans="1:23" x14ac:dyDescent="0.3">
      <c r="A45" s="9"/>
      <c r="B45" s="9"/>
      <c r="C45" s="9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  <c r="U45" s="312"/>
      <c r="V45" s="312"/>
      <c r="W45" s="312"/>
    </row>
    <row r="46" spans="1:23" x14ac:dyDescent="0.3">
      <c r="A46" s="9"/>
      <c r="B46" s="9"/>
      <c r="C46" s="9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</row>
    <row r="47" spans="1:23" x14ac:dyDescent="0.3">
      <c r="A47" s="9"/>
      <c r="B47" s="9"/>
      <c r="C47" s="9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</row>
    <row r="48" spans="1:23" x14ac:dyDescent="0.3">
      <c r="A48" s="9"/>
      <c r="B48" s="9"/>
      <c r="C48" s="9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</row>
    <row r="49" spans="1:23" x14ac:dyDescent="0.3">
      <c r="A49" s="9"/>
      <c r="B49" s="9"/>
      <c r="C49" s="9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</row>
    <row r="50" spans="1:23" x14ac:dyDescent="0.3">
      <c r="A50" s="9"/>
      <c r="B50" s="9"/>
      <c r="C50" s="9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  <c r="U50" s="312"/>
      <c r="V50" s="312"/>
      <c r="W50" s="312"/>
    </row>
    <row r="51" spans="1:23" x14ac:dyDescent="0.3">
      <c r="A51" s="9"/>
      <c r="B51" s="9"/>
      <c r="C51" s="9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  <c r="U51" s="312"/>
      <c r="V51" s="312"/>
      <c r="W51" s="312"/>
    </row>
    <row r="52" spans="1:23" x14ac:dyDescent="0.3">
      <c r="A52" s="9"/>
      <c r="B52" s="9"/>
      <c r="C52" s="9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  <c r="U52" s="312"/>
      <c r="V52" s="312"/>
      <c r="W52" s="312"/>
    </row>
    <row r="53" spans="1:23" x14ac:dyDescent="0.3">
      <c r="A53" s="9"/>
      <c r="B53" s="9"/>
      <c r="C53" s="9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  <c r="U53" s="312"/>
      <c r="V53" s="312"/>
      <c r="W53" s="312"/>
    </row>
    <row r="54" spans="1:23" x14ac:dyDescent="0.3">
      <c r="A54" s="9"/>
      <c r="B54" s="9"/>
      <c r="C54" s="9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  <c r="U54" s="312"/>
      <c r="V54" s="312"/>
      <c r="W54" s="312"/>
    </row>
    <row r="55" spans="1:23" x14ac:dyDescent="0.3">
      <c r="A55" s="9"/>
      <c r="B55" s="9"/>
      <c r="C55" s="9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  <c r="U55" s="312"/>
      <c r="V55" s="312"/>
      <c r="W55" s="312"/>
    </row>
    <row r="56" spans="1:23" x14ac:dyDescent="0.3">
      <c r="A56" s="9"/>
      <c r="B56" s="9"/>
      <c r="C56" s="9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  <c r="U56" s="312"/>
      <c r="V56" s="312"/>
      <c r="W56" s="312"/>
    </row>
    <row r="57" spans="1:23" x14ac:dyDescent="0.3">
      <c r="A57" s="9"/>
      <c r="B57" s="9"/>
      <c r="C57" s="9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  <c r="U57" s="312"/>
      <c r="V57" s="312"/>
      <c r="W57" s="312"/>
    </row>
    <row r="58" spans="1:23" x14ac:dyDescent="0.3">
      <c r="A58" s="9"/>
      <c r="B58" s="9"/>
      <c r="C58" s="9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  <c r="U58" s="312"/>
      <c r="V58" s="312"/>
      <c r="W58" s="312"/>
    </row>
    <row r="59" spans="1:23" x14ac:dyDescent="0.3">
      <c r="A59" s="220" t="s">
        <v>429</v>
      </c>
      <c r="D59" s="226"/>
      <c r="E59" s="226"/>
      <c r="F59" s="227"/>
      <c r="G59" s="227"/>
      <c r="H59" s="227"/>
      <c r="I59" s="227"/>
      <c r="J59" s="227"/>
      <c r="K59" s="227"/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</row>
    <row r="60" spans="1:23" x14ac:dyDescent="0.3">
      <c r="A60" s="9"/>
      <c r="B60" s="9"/>
      <c r="C60" s="9"/>
      <c r="D60" s="380" t="s">
        <v>95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  <c r="U60" s="380"/>
      <c r="V60" s="380"/>
      <c r="W60" s="380"/>
    </row>
    <row r="61" spans="1:23" ht="15" customHeight="1" x14ac:dyDescent="0.3">
      <c r="A61" s="9"/>
      <c r="B61" s="9"/>
      <c r="C61" s="9"/>
      <c r="D61" s="374" t="s">
        <v>362</v>
      </c>
      <c r="E61" s="374"/>
      <c r="F61" s="375" t="s">
        <v>427</v>
      </c>
      <c r="G61" s="375"/>
      <c r="H61" s="375"/>
      <c r="I61" s="375"/>
      <c r="J61" s="375"/>
      <c r="K61" s="375"/>
      <c r="L61" s="375" t="s">
        <v>96</v>
      </c>
      <c r="M61" s="375"/>
      <c r="N61" s="375"/>
      <c r="O61" s="375"/>
      <c r="P61" s="375"/>
      <c r="Q61" s="375"/>
      <c r="R61" s="374" t="s">
        <v>428</v>
      </c>
      <c r="S61" s="374"/>
      <c r="T61" s="374"/>
      <c r="U61" s="374"/>
      <c r="V61" s="374"/>
      <c r="W61" s="374"/>
    </row>
    <row r="62" spans="1:23" x14ac:dyDescent="0.3">
      <c r="A62" s="9"/>
      <c r="B62" s="9"/>
      <c r="C62" s="9"/>
      <c r="D62" s="374"/>
      <c r="E62" s="374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4"/>
      <c r="S62" s="374"/>
      <c r="T62" s="374"/>
      <c r="U62" s="374"/>
      <c r="V62" s="374"/>
      <c r="W62" s="374"/>
    </row>
    <row r="63" spans="1:23" x14ac:dyDescent="0.3">
      <c r="A63" s="9"/>
      <c r="B63" s="9"/>
      <c r="C63" s="9"/>
      <c r="D63" s="370" t="str">
        <f>Calibración!G37</f>
        <v>kPa</v>
      </c>
      <c r="E63" s="370"/>
      <c r="F63" s="371" t="str">
        <f>Calibración!H37</f>
        <v>kPa</v>
      </c>
      <c r="G63" s="372"/>
      <c r="H63" s="372"/>
      <c r="I63" s="372"/>
      <c r="J63" s="372"/>
      <c r="K63" s="373"/>
      <c r="L63" s="370" t="str">
        <f>Calibración!I37</f>
        <v>kPa</v>
      </c>
      <c r="M63" s="370"/>
      <c r="N63" s="370"/>
      <c r="O63" s="370"/>
      <c r="P63" s="370"/>
      <c r="Q63" s="370"/>
      <c r="R63" s="370" t="str">
        <f>Calibración!J37</f>
        <v>kPa</v>
      </c>
      <c r="S63" s="370"/>
      <c r="T63" s="370"/>
      <c r="U63" s="370"/>
      <c r="V63" s="370"/>
      <c r="W63" s="370"/>
    </row>
    <row r="64" spans="1:23" x14ac:dyDescent="0.3">
      <c r="A64" s="9"/>
      <c r="B64" s="9"/>
      <c r="C64" s="9"/>
      <c r="D64" s="369" t="str">
        <f ca="1">Calibración!G38</f>
        <v/>
      </c>
      <c r="E64" s="369"/>
      <c r="F64" s="366" t="str">
        <f ca="1">Calibración!H38</f>
        <v/>
      </c>
      <c r="G64" s="367"/>
      <c r="H64" s="367"/>
      <c r="I64" s="367"/>
      <c r="J64" s="367"/>
      <c r="K64" s="368"/>
      <c r="L64" s="369" t="str">
        <f ca="1">Calibración!I38</f>
        <v/>
      </c>
      <c r="M64" s="369"/>
      <c r="N64" s="369"/>
      <c r="O64" s="369"/>
      <c r="P64" s="369"/>
      <c r="Q64" s="369"/>
      <c r="R64" s="369" t="str">
        <f ca="1">Calibración!J38</f>
        <v/>
      </c>
      <c r="S64" s="369"/>
      <c r="T64" s="369"/>
      <c r="U64" s="369"/>
      <c r="V64" s="369"/>
      <c r="W64" s="369"/>
    </row>
    <row r="65" spans="1:23" x14ac:dyDescent="0.3">
      <c r="A65" s="9"/>
      <c r="B65" s="9"/>
      <c r="C65" s="9"/>
      <c r="D65" s="369" t="str">
        <f ca="1">Calibración!G39</f>
        <v/>
      </c>
      <c r="E65" s="369"/>
      <c r="F65" s="366" t="str">
        <f ca="1">Calibración!H39</f>
        <v/>
      </c>
      <c r="G65" s="367"/>
      <c r="H65" s="367"/>
      <c r="I65" s="367"/>
      <c r="J65" s="367"/>
      <c r="K65" s="368"/>
      <c r="L65" s="369" t="str">
        <f ca="1">Calibración!I39</f>
        <v/>
      </c>
      <c r="M65" s="369"/>
      <c r="N65" s="369"/>
      <c r="O65" s="369"/>
      <c r="P65" s="369"/>
      <c r="Q65" s="369"/>
      <c r="R65" s="369" t="str">
        <f ca="1">Calibración!J39</f>
        <v/>
      </c>
      <c r="S65" s="369"/>
      <c r="T65" s="369"/>
      <c r="U65" s="369"/>
      <c r="V65" s="369"/>
      <c r="W65" s="369"/>
    </row>
    <row r="66" spans="1:23" x14ac:dyDescent="0.3">
      <c r="A66" s="9"/>
      <c r="B66" s="9"/>
      <c r="C66" s="9"/>
      <c r="D66" s="369" t="str">
        <f ca="1">Calibración!G40</f>
        <v/>
      </c>
      <c r="E66" s="369"/>
      <c r="F66" s="366" t="str">
        <f ca="1">Calibración!H40</f>
        <v/>
      </c>
      <c r="G66" s="367"/>
      <c r="H66" s="367"/>
      <c r="I66" s="367"/>
      <c r="J66" s="367"/>
      <c r="K66" s="368"/>
      <c r="L66" s="369" t="str">
        <f ca="1">Calibración!I40</f>
        <v/>
      </c>
      <c r="M66" s="369"/>
      <c r="N66" s="369"/>
      <c r="O66" s="369"/>
      <c r="P66" s="369"/>
      <c r="Q66" s="369"/>
      <c r="R66" s="369" t="str">
        <f ca="1">Calibración!J40</f>
        <v/>
      </c>
      <c r="S66" s="369"/>
      <c r="T66" s="369"/>
      <c r="U66" s="369"/>
      <c r="V66" s="369"/>
      <c r="W66" s="369"/>
    </row>
    <row r="67" spans="1:23" x14ac:dyDescent="0.3">
      <c r="A67" s="9"/>
      <c r="B67" s="9"/>
      <c r="C67" s="9"/>
      <c r="D67" s="369" t="str">
        <f ca="1">Calibración!G41</f>
        <v/>
      </c>
      <c r="E67" s="369"/>
      <c r="F67" s="366" t="str">
        <f ca="1">Calibración!H41</f>
        <v/>
      </c>
      <c r="G67" s="367"/>
      <c r="H67" s="367"/>
      <c r="I67" s="367"/>
      <c r="J67" s="367"/>
      <c r="K67" s="368"/>
      <c r="L67" s="369" t="str">
        <f ca="1">Calibración!I41</f>
        <v/>
      </c>
      <c r="M67" s="369"/>
      <c r="N67" s="369"/>
      <c r="O67" s="369"/>
      <c r="P67" s="369"/>
      <c r="Q67" s="369"/>
      <c r="R67" s="369" t="str">
        <f ca="1">Calibración!J41</f>
        <v/>
      </c>
      <c r="S67" s="369"/>
      <c r="T67" s="369"/>
      <c r="U67" s="369"/>
      <c r="V67" s="369"/>
      <c r="W67" s="369"/>
    </row>
    <row r="68" spans="1:23" x14ac:dyDescent="0.3">
      <c r="A68" s="9"/>
      <c r="B68" s="9"/>
      <c r="C68" s="9"/>
      <c r="D68" s="369" t="str">
        <f ca="1">Calibración!G42</f>
        <v/>
      </c>
      <c r="E68" s="369"/>
      <c r="F68" s="366" t="str">
        <f ca="1">Calibración!H42</f>
        <v/>
      </c>
      <c r="G68" s="367"/>
      <c r="H68" s="367"/>
      <c r="I68" s="367"/>
      <c r="J68" s="367"/>
      <c r="K68" s="368"/>
      <c r="L68" s="369" t="str">
        <f ca="1">Calibración!I42</f>
        <v/>
      </c>
      <c r="M68" s="369"/>
      <c r="N68" s="369"/>
      <c r="O68" s="369"/>
      <c r="P68" s="369"/>
      <c r="Q68" s="369"/>
      <c r="R68" s="369" t="str">
        <f ca="1">Calibración!J42</f>
        <v/>
      </c>
      <c r="S68" s="369"/>
      <c r="T68" s="369"/>
      <c r="U68" s="369"/>
      <c r="V68" s="369"/>
      <c r="W68" s="369"/>
    </row>
    <row r="69" spans="1:23" x14ac:dyDescent="0.3">
      <c r="A69" s="9"/>
      <c r="B69" s="9"/>
      <c r="C69" s="9"/>
      <c r="D69" s="369" t="str">
        <f ca="1">Calibración!G43</f>
        <v/>
      </c>
      <c r="E69" s="369"/>
      <c r="F69" s="366" t="str">
        <f ca="1">Calibración!H43</f>
        <v/>
      </c>
      <c r="G69" s="367"/>
      <c r="H69" s="367"/>
      <c r="I69" s="367"/>
      <c r="J69" s="367"/>
      <c r="K69" s="368"/>
      <c r="L69" s="369" t="str">
        <f ca="1">Calibración!I43</f>
        <v/>
      </c>
      <c r="M69" s="369"/>
      <c r="N69" s="369"/>
      <c r="O69" s="369"/>
      <c r="P69" s="369"/>
      <c r="Q69" s="369"/>
      <c r="R69" s="369" t="str">
        <f ca="1">Calibración!J43</f>
        <v/>
      </c>
      <c r="S69" s="369"/>
      <c r="T69" s="369"/>
      <c r="U69" s="369"/>
      <c r="V69" s="369"/>
      <c r="W69" s="369"/>
    </row>
    <row r="70" spans="1:23" x14ac:dyDescent="0.3">
      <c r="A70" s="9"/>
      <c r="B70" s="9"/>
      <c r="C70" s="9"/>
      <c r="D70" s="369" t="str">
        <f ca="1">Calibración!G44</f>
        <v/>
      </c>
      <c r="E70" s="369"/>
      <c r="F70" s="366" t="str">
        <f ca="1">Calibración!H44</f>
        <v/>
      </c>
      <c r="G70" s="367"/>
      <c r="H70" s="367"/>
      <c r="I70" s="367"/>
      <c r="J70" s="367"/>
      <c r="K70" s="368"/>
      <c r="L70" s="369" t="str">
        <f ca="1">Calibración!I44</f>
        <v/>
      </c>
      <c r="M70" s="369"/>
      <c r="N70" s="369"/>
      <c r="O70" s="369"/>
      <c r="P70" s="369"/>
      <c r="Q70" s="369"/>
      <c r="R70" s="369" t="str">
        <f ca="1">Calibración!J44</f>
        <v/>
      </c>
      <c r="S70" s="369"/>
      <c r="T70" s="369"/>
      <c r="U70" s="369"/>
      <c r="V70" s="369"/>
      <c r="W70" s="369"/>
    </row>
    <row r="71" spans="1:23" x14ac:dyDescent="0.3">
      <c r="A71" s="9"/>
      <c r="B71" s="9"/>
      <c r="C71" s="9"/>
      <c r="D71" s="369" t="str">
        <f ca="1">Calibración!G45</f>
        <v/>
      </c>
      <c r="E71" s="369"/>
      <c r="F71" s="366" t="str">
        <f ca="1">Calibración!H45</f>
        <v/>
      </c>
      <c r="G71" s="367"/>
      <c r="H71" s="367"/>
      <c r="I71" s="367"/>
      <c r="J71" s="367"/>
      <c r="K71" s="368"/>
      <c r="L71" s="369" t="str">
        <f ca="1">Calibración!I45</f>
        <v/>
      </c>
      <c r="M71" s="369"/>
      <c r="N71" s="369"/>
      <c r="O71" s="369"/>
      <c r="P71" s="369"/>
      <c r="Q71" s="369"/>
      <c r="R71" s="369" t="str">
        <f ca="1">Calibración!J45</f>
        <v/>
      </c>
      <c r="S71" s="369"/>
      <c r="T71" s="369"/>
      <c r="U71" s="369"/>
      <c r="V71" s="369"/>
      <c r="W71" s="369"/>
    </row>
    <row r="72" spans="1:23" x14ac:dyDescent="0.3">
      <c r="A72" s="9"/>
      <c r="B72" s="9"/>
      <c r="C72" s="9"/>
      <c r="D72" s="369" t="str">
        <f ca="1">Calibración!G46</f>
        <v/>
      </c>
      <c r="E72" s="369"/>
      <c r="F72" s="366" t="str">
        <f ca="1">Calibración!H46</f>
        <v/>
      </c>
      <c r="G72" s="367"/>
      <c r="H72" s="367"/>
      <c r="I72" s="367"/>
      <c r="J72" s="367"/>
      <c r="K72" s="368"/>
      <c r="L72" s="369" t="str">
        <f ca="1">Calibración!I46</f>
        <v/>
      </c>
      <c r="M72" s="369"/>
      <c r="N72" s="369"/>
      <c r="O72" s="369"/>
      <c r="P72" s="369"/>
      <c r="Q72" s="369"/>
      <c r="R72" s="369" t="str">
        <f ca="1">Calibración!J46</f>
        <v/>
      </c>
      <c r="S72" s="369"/>
      <c r="T72" s="369"/>
      <c r="U72" s="369"/>
      <c r="V72" s="369"/>
      <c r="W72" s="369"/>
    </row>
    <row r="73" spans="1:23" x14ac:dyDescent="0.3">
      <c r="A73" s="9"/>
      <c r="B73" s="9"/>
      <c r="C73" s="9"/>
      <c r="D73" s="369" t="str">
        <f ca="1">Calibración!G47</f>
        <v/>
      </c>
      <c r="E73" s="369"/>
      <c r="F73" s="366" t="str">
        <f ca="1">Calibración!H47</f>
        <v/>
      </c>
      <c r="G73" s="367"/>
      <c r="H73" s="367"/>
      <c r="I73" s="367"/>
      <c r="J73" s="367"/>
      <c r="K73" s="368"/>
      <c r="L73" s="369" t="str">
        <f ca="1">Calibración!I47</f>
        <v/>
      </c>
      <c r="M73" s="369"/>
      <c r="N73" s="369"/>
      <c r="O73" s="369"/>
      <c r="P73" s="369"/>
      <c r="Q73" s="369"/>
      <c r="R73" s="369" t="str">
        <f ca="1">Calibración!J47</f>
        <v/>
      </c>
      <c r="S73" s="369"/>
      <c r="T73" s="369"/>
      <c r="U73" s="369"/>
      <c r="V73" s="369"/>
      <c r="W73" s="369"/>
    </row>
    <row r="74" spans="1:23" x14ac:dyDescent="0.3">
      <c r="A74" s="9"/>
      <c r="B74" s="9"/>
      <c r="C74" s="9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  <c r="U74" s="312"/>
      <c r="V74" s="312"/>
      <c r="W74" s="312"/>
    </row>
    <row r="75" spans="1:23" x14ac:dyDescent="0.3">
      <c r="A75" s="9"/>
      <c r="B75" s="9"/>
      <c r="C75" s="9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  <c r="U75" s="312"/>
      <c r="V75" s="312"/>
      <c r="W75" s="312"/>
    </row>
    <row r="76" spans="1:23" x14ac:dyDescent="0.3">
      <c r="A76" s="9"/>
      <c r="B76" s="9"/>
      <c r="C76" s="9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  <c r="U76" s="312"/>
      <c r="V76" s="312"/>
      <c r="W76" s="312"/>
    </row>
    <row r="77" spans="1:23" x14ac:dyDescent="0.3">
      <c r="A77" s="9"/>
      <c r="B77" s="9"/>
      <c r="C77" s="9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</row>
    <row r="78" spans="1:23" x14ac:dyDescent="0.3">
      <c r="O78" s="228"/>
    </row>
    <row r="79" spans="1:23" x14ac:dyDescent="0.3">
      <c r="A79" s="220" t="s">
        <v>430</v>
      </c>
      <c r="B79" s="9"/>
      <c r="C79" s="9"/>
      <c r="D79" s="9"/>
      <c r="E79" s="9"/>
      <c r="F79" s="229" t="s">
        <v>99</v>
      </c>
      <c r="H79" s="9"/>
      <c r="I79" s="9"/>
      <c r="J79" s="229" t="str">
        <f>General!I4</f>
        <v>NI-MCPPT-02</v>
      </c>
      <c r="L79" s="9"/>
      <c r="O79" s="220" t="s">
        <v>431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0"/>
      <c r="B80" s="363" t="s">
        <v>432</v>
      </c>
      <c r="C80" s="363"/>
      <c r="D80" s="363"/>
      <c r="E80" s="231">
        <f>CertTempC</f>
        <v>22.3</v>
      </c>
      <c r="F80" s="232" t="s">
        <v>433</v>
      </c>
      <c r="G80" s="233">
        <f>CertTempIncerti</f>
        <v>0.4</v>
      </c>
      <c r="H80" s="230" t="s">
        <v>97</v>
      </c>
      <c r="I80" s="9"/>
      <c r="J80" s="9"/>
      <c r="K80" s="364"/>
      <c r="L80" s="364"/>
      <c r="M80" s="9"/>
      <c r="N80" s="9"/>
      <c r="O80" s="9"/>
      <c r="P80" s="230" t="s">
        <v>473</v>
      </c>
      <c r="Q80" s="9"/>
      <c r="R80" s="9"/>
      <c r="S80" s="9"/>
      <c r="T80" s="365">
        <f>General!I18</f>
        <v>1001</v>
      </c>
      <c r="U80" s="365"/>
      <c r="V80" s="232" t="s">
        <v>434</v>
      </c>
      <c r="W80" s="231">
        <f>CertPresIncert</f>
        <v>2.4700000000000002</v>
      </c>
    </row>
    <row r="81" spans="1:25" x14ac:dyDescent="0.3">
      <c r="A81" s="230"/>
      <c r="B81" s="230" t="s">
        <v>435</v>
      </c>
      <c r="C81" s="230"/>
      <c r="D81" s="230"/>
      <c r="E81" s="231">
        <f>CertHR</f>
        <v>48.375</v>
      </c>
      <c r="F81" s="232" t="s">
        <v>436</v>
      </c>
      <c r="G81" s="233">
        <f>CertHRIncerti</f>
        <v>1.3</v>
      </c>
      <c r="H81" s="232" t="s">
        <v>437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28"/>
    </row>
    <row r="83" spans="1:25" x14ac:dyDescent="0.3">
      <c r="O83" s="228"/>
    </row>
    <row r="84" spans="1:25" x14ac:dyDescent="0.3">
      <c r="O84" s="228"/>
    </row>
    <row r="85" spans="1:25" x14ac:dyDescent="0.3">
      <c r="O85" s="228"/>
    </row>
    <row r="86" spans="1:25" x14ac:dyDescent="0.3">
      <c r="O86" s="228"/>
    </row>
    <row r="87" spans="1:25" x14ac:dyDescent="0.3">
      <c r="O87" s="228"/>
    </row>
    <row r="88" spans="1:25" x14ac:dyDescent="0.3">
      <c r="O88" s="228"/>
    </row>
    <row r="89" spans="1:25" x14ac:dyDescent="0.3">
      <c r="O89" s="228"/>
    </row>
    <row r="90" spans="1:25" x14ac:dyDescent="0.3">
      <c r="O90" s="228"/>
    </row>
    <row r="91" spans="1:25" x14ac:dyDescent="0.3">
      <c r="A91" s="220" t="s">
        <v>413</v>
      </c>
      <c r="B91" s="9"/>
      <c r="C91" s="221"/>
      <c r="D91" s="222"/>
      <c r="E91" s="222"/>
      <c r="F91" s="222"/>
      <c r="G91" s="9"/>
      <c r="H91" s="9"/>
      <c r="I91" s="9"/>
      <c r="J91" s="9"/>
      <c r="K91" s="9"/>
      <c r="L91" s="9"/>
      <c r="M91" s="9"/>
      <c r="N91" s="362" t="str">
        <f>N8</f>
        <v>NI-MC-P-XXXX-ZZZZ</v>
      </c>
      <c r="O91" s="362"/>
      <c r="P91" s="362"/>
      <c r="Q91" s="362"/>
      <c r="R91" s="362"/>
      <c r="S91" s="362"/>
      <c r="T91" s="362"/>
      <c r="U91" s="362"/>
      <c r="V91" s="362"/>
      <c r="W91" s="362"/>
      <c r="X91" s="362"/>
    </row>
    <row r="92" spans="1:25" x14ac:dyDescent="0.3">
      <c r="O92" s="228"/>
    </row>
    <row r="93" spans="1:25" x14ac:dyDescent="0.3">
      <c r="X93" s="9"/>
      <c r="Y93" s="9"/>
    </row>
    <row r="94" spans="1:25" x14ac:dyDescent="0.3">
      <c r="A94" s="220" t="s">
        <v>438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5" ht="15" customHeight="1" x14ac:dyDescent="0.3">
      <c r="A95" s="355" t="s">
        <v>683</v>
      </c>
      <c r="B95" s="355"/>
      <c r="C95" s="355"/>
      <c r="D95" s="355"/>
      <c r="E95" s="355"/>
      <c r="F95" s="355"/>
      <c r="G95" s="355"/>
      <c r="H95" s="355"/>
      <c r="I95" s="355"/>
      <c r="J95" s="355"/>
      <c r="K95" s="355"/>
      <c r="L95" s="355"/>
      <c r="M95" s="355"/>
      <c r="N95" s="355"/>
      <c r="O95" s="355"/>
      <c r="P95" s="355"/>
      <c r="Q95" s="355"/>
      <c r="R95" s="355"/>
      <c r="S95" s="355"/>
      <c r="T95" s="355"/>
      <c r="U95" s="355"/>
      <c r="V95" s="355"/>
      <c r="W95" s="355"/>
      <c r="X95" s="355"/>
    </row>
    <row r="96" spans="1:25" x14ac:dyDescent="0.3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4" ht="15" customHeight="1" x14ac:dyDescent="0.3">
      <c r="A97" s="220" t="s">
        <v>439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</row>
    <row r="98" spans="1:24" x14ac:dyDescent="0.3">
      <c r="A98" s="355" t="s">
        <v>440</v>
      </c>
      <c r="B98" s="355"/>
      <c r="C98" s="355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5"/>
      <c r="T98" s="355"/>
      <c r="U98" s="355"/>
      <c r="V98" s="355"/>
      <c r="W98" s="355"/>
      <c r="X98" s="355"/>
    </row>
    <row r="99" spans="1:24" ht="15" customHeight="1" x14ac:dyDescent="0.3">
      <c r="A99" s="355"/>
      <c r="B99" s="355"/>
      <c r="C99" s="355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5"/>
      <c r="T99" s="355"/>
      <c r="U99" s="355"/>
      <c r="V99" s="355"/>
      <c r="W99" s="355"/>
      <c r="X99" s="355"/>
    </row>
    <row r="100" spans="1:24" ht="15" customHeight="1" x14ac:dyDescent="0.3">
      <c r="A100" s="355"/>
      <c r="B100" s="355"/>
      <c r="C100" s="355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5"/>
      <c r="T100" s="355"/>
      <c r="U100" s="355"/>
      <c r="V100" s="355"/>
      <c r="W100" s="355"/>
      <c r="X100" s="355"/>
    </row>
    <row r="101" spans="1:24" x14ac:dyDescent="0.3">
      <c r="A101" s="355"/>
      <c r="B101" s="355"/>
      <c r="C101" s="355"/>
      <c r="D101" s="355"/>
      <c r="E101" s="355"/>
      <c r="F101" s="355"/>
      <c r="G101" s="355"/>
      <c r="H101" s="355"/>
      <c r="I101" s="355"/>
      <c r="J101" s="355"/>
      <c r="K101" s="355"/>
      <c r="L101" s="355"/>
      <c r="M101" s="355"/>
      <c r="N101" s="355"/>
      <c r="O101" s="355"/>
      <c r="P101" s="355"/>
      <c r="Q101" s="355"/>
      <c r="R101" s="355"/>
      <c r="S101" s="355"/>
      <c r="T101" s="355"/>
      <c r="U101" s="355"/>
      <c r="V101" s="355"/>
      <c r="W101" s="355"/>
      <c r="X101" s="355"/>
    </row>
    <row r="102" spans="1:24" x14ac:dyDescent="0.3">
      <c r="A102" s="355"/>
      <c r="B102" s="355"/>
      <c r="C102" s="355"/>
      <c r="D102" s="355"/>
      <c r="E102" s="355"/>
      <c r="F102" s="355"/>
      <c r="G102" s="355"/>
      <c r="H102" s="355"/>
      <c r="I102" s="355"/>
      <c r="J102" s="355"/>
      <c r="K102" s="355"/>
      <c r="L102" s="355"/>
      <c r="M102" s="355"/>
      <c r="N102" s="355"/>
      <c r="O102" s="355"/>
      <c r="P102" s="355"/>
      <c r="Q102" s="355"/>
      <c r="R102" s="355"/>
      <c r="S102" s="355"/>
      <c r="T102" s="355"/>
      <c r="U102" s="355"/>
      <c r="V102" s="355"/>
      <c r="W102" s="355"/>
      <c r="X102" s="355"/>
    </row>
    <row r="103" spans="1:24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4" x14ac:dyDescent="0.3">
      <c r="A104" s="220" t="s">
        <v>441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356" t="s">
        <v>98</v>
      </c>
      <c r="B105" s="357"/>
      <c r="C105" s="357"/>
      <c r="D105" s="357"/>
      <c r="E105" s="357"/>
      <c r="F105" s="358"/>
      <c r="G105" s="356" t="s">
        <v>4</v>
      </c>
      <c r="H105" s="357"/>
      <c r="I105" s="358"/>
      <c r="J105" s="359" t="s">
        <v>101</v>
      </c>
      <c r="K105" s="360"/>
      <c r="L105" s="360"/>
      <c r="M105" s="360"/>
      <c r="N105" s="361"/>
      <c r="O105" s="356" t="s">
        <v>442</v>
      </c>
      <c r="P105" s="357"/>
      <c r="Q105" s="357"/>
      <c r="R105" s="357"/>
      <c r="S105" s="357"/>
      <c r="T105" s="358"/>
      <c r="U105" s="359" t="s">
        <v>443</v>
      </c>
      <c r="V105" s="360"/>
      <c r="W105" s="360"/>
      <c r="X105" s="361"/>
    </row>
    <row r="106" spans="1:24" x14ac:dyDescent="0.3">
      <c r="A106" s="349" t="s">
        <v>685</v>
      </c>
      <c r="B106" s="350"/>
      <c r="C106" s="350"/>
      <c r="D106" s="350"/>
      <c r="E106" s="350"/>
      <c r="F106" s="351"/>
      <c r="G106" s="349" t="s">
        <v>686</v>
      </c>
      <c r="H106" s="350"/>
      <c r="I106" s="351"/>
      <c r="J106" s="352" t="s">
        <v>1267</v>
      </c>
      <c r="K106" s="353"/>
      <c r="L106" s="353"/>
      <c r="M106" s="353"/>
      <c r="N106" s="354"/>
      <c r="O106" s="349" t="s">
        <v>453</v>
      </c>
      <c r="P106" s="350" t="s">
        <v>453</v>
      </c>
      <c r="Q106" s="350" t="s">
        <v>453</v>
      </c>
      <c r="R106" s="350" t="s">
        <v>453</v>
      </c>
      <c r="S106" s="350" t="s">
        <v>453</v>
      </c>
      <c r="T106" s="351" t="s">
        <v>453</v>
      </c>
      <c r="U106" s="352">
        <v>46147</v>
      </c>
      <c r="V106" s="353"/>
      <c r="W106" s="353"/>
      <c r="X106" s="354"/>
    </row>
    <row r="107" spans="1:24" ht="15" customHeight="1" x14ac:dyDescent="0.3">
      <c r="A107" s="349" t="s">
        <v>451</v>
      </c>
      <c r="B107" s="350" t="s">
        <v>451</v>
      </c>
      <c r="C107" s="350" t="s">
        <v>451</v>
      </c>
      <c r="D107" s="350" t="s">
        <v>451</v>
      </c>
      <c r="E107" s="350" t="s">
        <v>451</v>
      </c>
      <c r="F107" s="351" t="s">
        <v>451</v>
      </c>
      <c r="G107" s="349" t="s">
        <v>293</v>
      </c>
      <c r="H107" s="350" t="s">
        <v>293</v>
      </c>
      <c r="I107" s="351" t="s">
        <v>293</v>
      </c>
      <c r="J107" s="352" t="s">
        <v>1260</v>
      </c>
      <c r="K107" s="353" t="s">
        <v>453</v>
      </c>
      <c r="L107" s="353">
        <v>43369</v>
      </c>
      <c r="M107" s="353" t="s">
        <v>677</v>
      </c>
      <c r="N107" s="354" t="s">
        <v>453</v>
      </c>
      <c r="O107" s="349" t="s">
        <v>453</v>
      </c>
      <c r="P107" s="350" t="s">
        <v>453</v>
      </c>
      <c r="Q107" s="350" t="s">
        <v>453</v>
      </c>
      <c r="R107" s="350" t="s">
        <v>453</v>
      </c>
      <c r="S107" s="350" t="s">
        <v>453</v>
      </c>
      <c r="T107" s="351" t="s">
        <v>453</v>
      </c>
      <c r="U107" s="352">
        <v>45510</v>
      </c>
      <c r="V107" s="353" t="s">
        <v>677</v>
      </c>
      <c r="W107" s="353" t="s">
        <v>453</v>
      </c>
      <c r="X107" s="354">
        <v>43369</v>
      </c>
    </row>
    <row r="108" spans="1:24" ht="15" customHeight="1" x14ac:dyDescent="0.3">
      <c r="A108" s="349" t="s">
        <v>678</v>
      </c>
      <c r="B108" s="350"/>
      <c r="C108" s="350"/>
      <c r="D108" s="350"/>
      <c r="E108" s="350"/>
      <c r="F108" s="351"/>
      <c r="G108" s="349" t="s">
        <v>109</v>
      </c>
      <c r="H108" s="350" t="s">
        <v>294</v>
      </c>
      <c r="I108" s="351" t="s">
        <v>294</v>
      </c>
      <c r="J108" s="352" t="s">
        <v>1268</v>
      </c>
      <c r="K108" s="353" t="s">
        <v>455</v>
      </c>
      <c r="L108" s="353">
        <v>43394</v>
      </c>
      <c r="M108" s="353" t="s">
        <v>474</v>
      </c>
      <c r="N108" s="354" t="s">
        <v>455</v>
      </c>
      <c r="O108" s="349" t="s">
        <v>455</v>
      </c>
      <c r="P108" s="350" t="s">
        <v>455</v>
      </c>
      <c r="Q108" s="350" t="s">
        <v>455</v>
      </c>
      <c r="R108" s="350" t="s">
        <v>455</v>
      </c>
      <c r="S108" s="350" t="s">
        <v>455</v>
      </c>
      <c r="T108" s="351" t="s">
        <v>455</v>
      </c>
      <c r="U108" s="352">
        <v>45353</v>
      </c>
      <c r="V108" s="353" t="s">
        <v>474</v>
      </c>
      <c r="W108" s="353" t="s">
        <v>455</v>
      </c>
      <c r="X108" s="354">
        <v>43394</v>
      </c>
    </row>
    <row r="109" spans="1:24" ht="15" customHeight="1" x14ac:dyDescent="0.3">
      <c r="A109" s="234"/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4"/>
      <c r="N109" s="234"/>
      <c r="O109" s="234"/>
      <c r="P109" s="234"/>
      <c r="Q109" s="234"/>
      <c r="R109" s="234"/>
      <c r="S109" s="234"/>
      <c r="T109" s="234"/>
      <c r="U109" s="234"/>
      <c r="V109" s="234"/>
      <c r="W109" s="234"/>
      <c r="X109" s="234"/>
    </row>
    <row r="110" spans="1:24" x14ac:dyDescent="0.3">
      <c r="A110" s="220" t="s">
        <v>444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35" t="s">
        <v>445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36" t="s">
        <v>507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ht="14.4" customHeight="1" x14ac:dyDescent="0.3">
      <c r="A113" s="355" t="str">
        <f>IF(Calibración!E10="2",Calibración!BJ6,Calibración!BJ7)</f>
        <v>La indicación de la presión de referencia y del equipo corresponden al promedio de 4 mediciones en 2 ciclos ascendentes y descendentes.</v>
      </c>
      <c r="B113" s="355"/>
      <c r="C113" s="355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  <c r="T113" s="355"/>
      <c r="U113" s="355"/>
      <c r="V113" s="355"/>
      <c r="W113" s="355"/>
      <c r="X113" s="355"/>
    </row>
    <row r="114" spans="1:25" ht="15" customHeight="1" x14ac:dyDescent="0.3">
      <c r="A114" s="355"/>
      <c r="B114" s="355"/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</row>
    <row r="115" spans="1:25" ht="15" customHeight="1" x14ac:dyDescent="0.3">
      <c r="A115" s="235" t="s">
        <v>446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35" t="s">
        <v>447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666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667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36" t="s">
        <v>509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36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36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4" spans="1:25" x14ac:dyDescent="0.3">
      <c r="Y124" s="9"/>
    </row>
    <row r="125" spans="1:25" x14ac:dyDescent="0.3">
      <c r="I125" s="345" t="s">
        <v>30</v>
      </c>
      <c r="J125" s="345"/>
      <c r="K125" s="345"/>
      <c r="L125" s="345"/>
      <c r="M125" s="345"/>
      <c r="N125" s="345"/>
      <c r="O125" s="345"/>
      <c r="P125" s="345"/>
      <c r="Y125" s="9"/>
    </row>
    <row r="126" spans="1:25" x14ac:dyDescent="0.3">
      <c r="I126" s="346" t="str">
        <f>IF(I125=[5]Generales!$F$1,[5]Generales!$F$6,[5]Generales!$F$5)</f>
        <v>Director Técnico</v>
      </c>
      <c r="J126" s="346"/>
      <c r="K126" s="346"/>
      <c r="L126" s="346"/>
      <c r="M126" s="346"/>
      <c r="N126" s="346"/>
      <c r="O126" s="346"/>
      <c r="P126" s="346"/>
    </row>
    <row r="127" spans="1:25" x14ac:dyDescent="0.3">
      <c r="I127" s="347" t="s">
        <v>448</v>
      </c>
      <c r="J127" s="347"/>
      <c r="K127" s="347"/>
      <c r="L127" s="347"/>
      <c r="M127" s="347"/>
      <c r="N127" s="347"/>
      <c r="O127" s="347"/>
      <c r="P127" s="347"/>
    </row>
    <row r="128" spans="1:25" x14ac:dyDescent="0.3">
      <c r="I128" s="348" t="s">
        <v>449</v>
      </c>
      <c r="J128" s="348"/>
      <c r="K128" s="348"/>
      <c r="L128" s="348"/>
      <c r="M128" s="348"/>
      <c r="N128" s="348"/>
      <c r="O128" s="348"/>
      <c r="P128" s="348"/>
    </row>
  </sheetData>
  <mergeCells count="144">
    <mergeCell ref="F70:K70"/>
    <mergeCell ref="F71:K71"/>
    <mergeCell ref="F72:K72"/>
    <mergeCell ref="F73:K73"/>
    <mergeCell ref="D69:E69"/>
    <mergeCell ref="D70:E70"/>
    <mergeCell ref="D71:E71"/>
    <mergeCell ref="D72:E72"/>
    <mergeCell ref="D73:E73"/>
    <mergeCell ref="R70:W70"/>
    <mergeCell ref="R71:W71"/>
    <mergeCell ref="R72:W72"/>
    <mergeCell ref="R73:W73"/>
    <mergeCell ref="L69:Q69"/>
    <mergeCell ref="L70:Q70"/>
    <mergeCell ref="L71:Q71"/>
    <mergeCell ref="L72:Q72"/>
    <mergeCell ref="L73:Q73"/>
    <mergeCell ref="F35:K35"/>
    <mergeCell ref="F36:K36"/>
    <mergeCell ref="F37:K37"/>
    <mergeCell ref="D33:E33"/>
    <mergeCell ref="D34:E34"/>
    <mergeCell ref="D35:E35"/>
    <mergeCell ref="D36:E36"/>
    <mergeCell ref="D37:E37"/>
    <mergeCell ref="R69:W69"/>
    <mergeCell ref="F69:K69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68:E68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A95:X95"/>
    <mergeCell ref="A98:X102"/>
    <mergeCell ref="A105:F105"/>
    <mergeCell ref="G105:I105"/>
    <mergeCell ref="J105:N105"/>
    <mergeCell ref="O105:T105"/>
    <mergeCell ref="U105:X105"/>
    <mergeCell ref="N91:X91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5:P125"/>
    <mergeCell ref="I126:P126"/>
    <mergeCell ref="I127:P127"/>
    <mergeCell ref="I128:P128"/>
    <mergeCell ref="A108:F108"/>
    <mergeCell ref="G108:I108"/>
    <mergeCell ref="J108:N108"/>
    <mergeCell ref="O108:T108"/>
    <mergeCell ref="U108:X108"/>
    <mergeCell ref="A113:X114"/>
  </mergeCells>
  <conditionalFormatting sqref="A117">
    <cfRule type="cellIs" priority="1" operator="equal">
      <formula>$D$25</formula>
    </cfRule>
  </conditionalFormatting>
  <conditionalFormatting sqref="A11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I125:P125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5"/>
  <sheetViews>
    <sheetView view="pageLayout" topLeftCell="A37" zoomScaleNormal="40" zoomScaleSheetLayoutView="100" workbookViewId="0">
      <selection activeCell="N49" sqref="N4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0" t="s">
        <v>413</v>
      </c>
      <c r="B8" s="221"/>
      <c r="C8" s="222"/>
      <c r="E8" s="222"/>
      <c r="F8" s="222"/>
      <c r="G8" s="223"/>
      <c r="H8" s="223"/>
      <c r="I8" s="223"/>
      <c r="J8" s="223"/>
      <c r="K8" s="223"/>
      <c r="L8" s="9"/>
      <c r="M8" s="9"/>
      <c r="N8" s="377" t="str">
        <f>General!F3</f>
        <v>NI-MC-P-XXXX-ZZZZ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0" t="s">
        <v>414</v>
      </c>
      <c r="B9" s="221"/>
      <c r="C9" s="222"/>
      <c r="E9" s="222"/>
      <c r="F9" s="222"/>
      <c r="G9" s="223"/>
      <c r="H9" s="223"/>
      <c r="I9" s="223"/>
      <c r="J9" s="223"/>
      <c r="K9" s="223"/>
      <c r="L9" s="9"/>
      <c r="M9" s="9"/>
      <c r="N9" s="376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0" t="s">
        <v>415</v>
      </c>
      <c r="B10" s="221"/>
      <c r="C10" s="221"/>
      <c r="E10" s="221"/>
      <c r="F10" s="221"/>
      <c r="G10" s="223"/>
      <c r="H10" s="223"/>
      <c r="I10" s="223"/>
      <c r="J10" s="223"/>
      <c r="K10" s="223"/>
      <c r="L10" s="224"/>
      <c r="M10" s="9"/>
      <c r="N10" s="378" t="str">
        <f>General!F5</f>
        <v>2022-XXX-YYY</v>
      </c>
      <c r="O10" s="378"/>
      <c r="P10" s="378"/>
      <c r="Q10" s="378"/>
      <c r="R10" s="378"/>
      <c r="S10" s="378"/>
      <c r="T10" s="378"/>
      <c r="U10" s="378"/>
      <c r="V10" s="378"/>
      <c r="W10" s="378"/>
      <c r="X10" s="378"/>
    </row>
    <row r="11" spans="1:24" x14ac:dyDescent="0.3">
      <c r="A11" s="220" t="s">
        <v>668</v>
      </c>
      <c r="B11" s="221"/>
      <c r="C11" s="221"/>
      <c r="E11" s="221"/>
      <c r="F11" s="221"/>
      <c r="G11" s="223"/>
      <c r="H11" s="223"/>
      <c r="I11" s="223"/>
      <c r="J11" s="223"/>
      <c r="K11" s="223"/>
      <c r="L11" s="224"/>
      <c r="M11" s="9"/>
      <c r="N11" s="378">
        <f ca="1">NOW()</f>
        <v>45477.569171875002</v>
      </c>
      <c r="O11" s="378"/>
      <c r="P11" s="378"/>
      <c r="Q11" s="378"/>
      <c r="R11" s="285"/>
      <c r="S11" s="285"/>
      <c r="T11" s="285"/>
      <c r="U11" s="285"/>
      <c r="V11" s="285"/>
      <c r="W11" s="285"/>
      <c r="X11" s="285"/>
    </row>
    <row r="12" spans="1:24" x14ac:dyDescent="0.3">
      <c r="A12" s="220" t="s">
        <v>416</v>
      </c>
      <c r="B12" s="221"/>
      <c r="C12" s="221"/>
      <c r="E12" s="221"/>
      <c r="F12" s="221"/>
      <c r="G12" s="223"/>
      <c r="H12" s="223"/>
      <c r="I12" s="223"/>
      <c r="J12" s="223"/>
      <c r="K12" s="223"/>
      <c r="L12" s="9"/>
      <c r="M12" s="9"/>
      <c r="N12" s="376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0" t="s">
        <v>417</v>
      </c>
      <c r="B13" s="221"/>
      <c r="C13" s="221"/>
      <c r="E13" s="221"/>
      <c r="F13" s="221"/>
      <c r="G13" s="223"/>
      <c r="H13" s="223"/>
      <c r="I13" s="223"/>
      <c r="J13" s="223"/>
      <c r="K13" s="223"/>
      <c r="L13" s="9"/>
      <c r="M13" s="9"/>
      <c r="N13" s="376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0" t="s">
        <v>418</v>
      </c>
      <c r="B14" s="221"/>
      <c r="C14" s="221"/>
      <c r="E14" s="221"/>
      <c r="F14" s="221"/>
      <c r="G14" s="223"/>
      <c r="H14" s="223"/>
      <c r="I14" s="223"/>
      <c r="J14" s="223"/>
      <c r="K14" s="223"/>
      <c r="L14" s="9"/>
      <c r="M14" s="9"/>
      <c r="N14" s="376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0" t="s">
        <v>419</v>
      </c>
      <c r="B15" s="221"/>
      <c r="C15" s="221"/>
      <c r="E15" s="221"/>
      <c r="F15" s="221"/>
      <c r="G15" s="223"/>
      <c r="H15" s="223"/>
      <c r="I15" s="223"/>
      <c r="J15" s="223"/>
      <c r="K15" s="223"/>
      <c r="L15" s="9"/>
      <c r="M15" s="9"/>
      <c r="N15" s="376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0" t="s">
        <v>420</v>
      </c>
      <c r="B16" s="221"/>
      <c r="C16" s="221"/>
      <c r="E16" s="221"/>
      <c r="F16" s="221"/>
      <c r="G16" s="223"/>
      <c r="H16" s="223"/>
      <c r="I16" s="223"/>
      <c r="J16" s="223"/>
      <c r="K16" s="223"/>
      <c r="L16" s="9"/>
      <c r="M16" s="9"/>
      <c r="N16" s="376" t="str">
        <f>General!F18</f>
        <v>0 psi a 1 000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0" t="s">
        <v>421</v>
      </c>
      <c r="B17" s="221"/>
      <c r="C17" s="221"/>
      <c r="E17" s="221"/>
      <c r="F17" s="221"/>
      <c r="G17" s="223"/>
      <c r="H17" s="223"/>
      <c r="I17" s="223"/>
      <c r="J17" s="223"/>
      <c r="K17" s="223"/>
      <c r="L17" s="9"/>
      <c r="M17" s="9"/>
      <c r="N17" s="376" t="str">
        <f>General!F15</f>
        <v>5</v>
      </c>
      <c r="O17" s="364"/>
      <c r="P17" s="376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0" t="s">
        <v>422</v>
      </c>
      <c r="B18" s="221"/>
      <c r="C18" s="221"/>
      <c r="E18" s="221"/>
      <c r="F18" s="221"/>
      <c r="G18" s="223"/>
      <c r="H18" s="223"/>
      <c r="I18" s="223"/>
      <c r="J18" s="223"/>
      <c r="K18" s="223"/>
      <c r="L18" s="9"/>
      <c r="M18" s="9"/>
      <c r="N18" s="376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0" t="s">
        <v>423</v>
      </c>
      <c r="B19" s="221"/>
      <c r="C19" s="221"/>
      <c r="E19" s="221"/>
      <c r="F19" s="221"/>
      <c r="G19" s="223"/>
      <c r="H19" s="223"/>
      <c r="I19" s="223"/>
      <c r="J19" s="223"/>
      <c r="K19" s="223"/>
      <c r="L19" s="9"/>
      <c r="M19" s="9"/>
      <c r="N19" s="376" t="str">
        <f>General!L3</f>
        <v>AgroBioTek Nicaragua S.A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5" t="s">
        <v>424</v>
      </c>
      <c r="C20" s="221"/>
      <c r="D20" s="221"/>
      <c r="E20" s="221"/>
      <c r="F20" s="221"/>
      <c r="G20" s="223"/>
      <c r="H20" s="223"/>
      <c r="I20" s="223"/>
      <c r="J20" s="223"/>
      <c r="K20" s="223"/>
      <c r="L20" s="10"/>
      <c r="M20" s="9"/>
      <c r="N20" s="364" t="str">
        <f>General!L4</f>
        <v>Reparto El Carmen, Hyundai Montoya 200 m Este, Managua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0" t="s">
        <v>425</v>
      </c>
      <c r="C21" s="221"/>
      <c r="D21" s="221"/>
      <c r="E21" s="221"/>
      <c r="F21" s="221"/>
      <c r="G21" s="223"/>
      <c r="H21" s="223"/>
      <c r="I21" s="223"/>
      <c r="J21" s="223"/>
      <c r="K21" s="223"/>
      <c r="L21" s="9"/>
      <c r="M21" s="9"/>
      <c r="N21" s="379" t="str">
        <f>General!L6</f>
        <v>Laboratorio Metrocal (Metrología Consultores S.A)</v>
      </c>
      <c r="O21" s="379"/>
      <c r="P21" s="379"/>
      <c r="Q21" s="379"/>
      <c r="R21" s="379"/>
      <c r="S21" s="379"/>
      <c r="T21" s="379"/>
      <c r="U21" s="379"/>
      <c r="V21" s="379"/>
      <c r="W21" s="379"/>
      <c r="X21" s="379"/>
    </row>
    <row r="22" spans="1:24" x14ac:dyDescent="0.3">
      <c r="A22" s="220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</row>
    <row r="23" spans="1:24" x14ac:dyDescent="0.3">
      <c r="A23" s="220" t="s">
        <v>426</v>
      </c>
      <c r="C23" s="221"/>
      <c r="D23" s="221"/>
      <c r="E23" s="221"/>
      <c r="F23" s="221"/>
    </row>
    <row r="24" spans="1:24" x14ac:dyDescent="0.3">
      <c r="A24" s="9"/>
      <c r="B24" s="9"/>
      <c r="C24" s="9"/>
      <c r="D24" s="380" t="s">
        <v>95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  <c r="U24" s="380"/>
      <c r="V24" s="380"/>
      <c r="W24" s="380"/>
    </row>
    <row r="25" spans="1:24" ht="15" customHeight="1" x14ac:dyDescent="0.3">
      <c r="A25" s="9"/>
      <c r="B25" s="9"/>
      <c r="C25" s="9"/>
      <c r="D25" s="374" t="s">
        <v>362</v>
      </c>
      <c r="E25" s="374"/>
      <c r="F25" s="375" t="s">
        <v>427</v>
      </c>
      <c r="G25" s="375"/>
      <c r="H25" s="375"/>
      <c r="I25" s="375"/>
      <c r="J25" s="375"/>
      <c r="K25" s="375"/>
      <c r="L25" s="375" t="s">
        <v>96</v>
      </c>
      <c r="M25" s="375"/>
      <c r="N25" s="375"/>
      <c r="O25" s="375"/>
      <c r="P25" s="375"/>
      <c r="Q25" s="375"/>
      <c r="R25" s="374" t="s">
        <v>428</v>
      </c>
      <c r="S25" s="374"/>
      <c r="T25" s="374"/>
      <c r="U25" s="374"/>
      <c r="V25" s="374"/>
      <c r="W25" s="374"/>
    </row>
    <row r="26" spans="1:24" ht="14.25" customHeight="1" x14ac:dyDescent="0.3">
      <c r="A26" s="9"/>
      <c r="B26" s="9"/>
      <c r="C26" s="9"/>
      <c r="D26" s="374"/>
      <c r="E26" s="374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4"/>
      <c r="S26" s="374"/>
      <c r="T26" s="374"/>
      <c r="U26" s="374"/>
      <c r="V26" s="374"/>
      <c r="W26" s="374"/>
    </row>
    <row r="27" spans="1:24" x14ac:dyDescent="0.3">
      <c r="A27" s="9"/>
      <c r="B27" s="9"/>
      <c r="C27" s="9"/>
      <c r="D27" s="370" t="str">
        <f>Calibración!C37</f>
        <v>psi</v>
      </c>
      <c r="E27" s="370"/>
      <c r="F27" s="371" t="str">
        <f>Calibración!D37</f>
        <v>psi</v>
      </c>
      <c r="G27" s="372"/>
      <c r="H27" s="372"/>
      <c r="I27" s="372"/>
      <c r="J27" s="372"/>
      <c r="K27" s="373"/>
      <c r="L27" s="371" t="str">
        <f>Calibración!E37</f>
        <v>psi</v>
      </c>
      <c r="M27" s="372"/>
      <c r="N27" s="372"/>
      <c r="O27" s="372"/>
      <c r="P27" s="372"/>
      <c r="Q27" s="373"/>
      <c r="R27" s="371" t="str">
        <f>Calibración!F37</f>
        <v>psi</v>
      </c>
      <c r="S27" s="372"/>
      <c r="T27" s="372"/>
      <c r="U27" s="372"/>
      <c r="V27" s="372"/>
      <c r="W27" s="373"/>
    </row>
    <row r="28" spans="1:24" x14ac:dyDescent="0.3">
      <c r="A28" s="9"/>
      <c r="B28" s="9"/>
      <c r="C28" s="9"/>
      <c r="D28" s="369" t="str">
        <f ca="1">Calibración!C38</f>
        <v/>
      </c>
      <c r="E28" s="369"/>
      <c r="F28" s="366" t="str">
        <f ca="1">Calibración!D38</f>
        <v/>
      </c>
      <c r="G28" s="367"/>
      <c r="H28" s="367"/>
      <c r="I28" s="367"/>
      <c r="J28" s="367"/>
      <c r="K28" s="368"/>
      <c r="L28" s="366" t="str">
        <f ca="1">Calibración!E38</f>
        <v/>
      </c>
      <c r="M28" s="367"/>
      <c r="N28" s="367"/>
      <c r="O28" s="367"/>
      <c r="P28" s="367"/>
      <c r="Q28" s="368"/>
      <c r="R28" s="366" t="str">
        <f ca="1">Calibración!F38</f>
        <v/>
      </c>
      <c r="S28" s="367"/>
      <c r="T28" s="367"/>
      <c r="U28" s="367"/>
      <c r="V28" s="367"/>
      <c r="W28" s="368"/>
    </row>
    <row r="29" spans="1:24" x14ac:dyDescent="0.3">
      <c r="A29" s="9"/>
      <c r="B29" s="9"/>
      <c r="C29" s="9"/>
      <c r="D29" s="369" t="str">
        <f ca="1">Calibración!C39</f>
        <v/>
      </c>
      <c r="E29" s="369"/>
      <c r="F29" s="366" t="str">
        <f ca="1">Calibración!D39</f>
        <v/>
      </c>
      <c r="G29" s="367"/>
      <c r="H29" s="367"/>
      <c r="I29" s="367"/>
      <c r="J29" s="367"/>
      <c r="K29" s="368"/>
      <c r="L29" s="366" t="str">
        <f ca="1">Calibración!E39</f>
        <v/>
      </c>
      <c r="M29" s="367"/>
      <c r="N29" s="367"/>
      <c r="O29" s="367"/>
      <c r="P29" s="367"/>
      <c r="Q29" s="368"/>
      <c r="R29" s="366" t="str">
        <f ca="1">Calibración!F39</f>
        <v/>
      </c>
      <c r="S29" s="367"/>
      <c r="T29" s="367"/>
      <c r="U29" s="367"/>
      <c r="V29" s="367"/>
      <c r="W29" s="368"/>
    </row>
    <row r="30" spans="1:24" x14ac:dyDescent="0.3">
      <c r="A30" s="9"/>
      <c r="B30" s="9"/>
      <c r="C30" s="9"/>
      <c r="D30" s="369" t="str">
        <f ca="1">Calibración!C40</f>
        <v/>
      </c>
      <c r="E30" s="369"/>
      <c r="F30" s="366" t="str">
        <f ca="1">Calibración!D40</f>
        <v/>
      </c>
      <c r="G30" s="367"/>
      <c r="H30" s="367"/>
      <c r="I30" s="367"/>
      <c r="J30" s="367"/>
      <c r="K30" s="368"/>
      <c r="L30" s="366" t="str">
        <f ca="1">Calibración!E40</f>
        <v/>
      </c>
      <c r="M30" s="367"/>
      <c r="N30" s="367"/>
      <c r="O30" s="367"/>
      <c r="P30" s="367"/>
      <c r="Q30" s="368"/>
      <c r="R30" s="366" t="str">
        <f ca="1">Calibración!F40</f>
        <v/>
      </c>
      <c r="S30" s="367"/>
      <c r="T30" s="367"/>
      <c r="U30" s="367"/>
      <c r="V30" s="367"/>
      <c r="W30" s="368"/>
    </row>
    <row r="31" spans="1:24" x14ac:dyDescent="0.3">
      <c r="A31" s="9"/>
      <c r="B31" s="9"/>
      <c r="C31" s="9"/>
      <c r="D31" s="369" t="str">
        <f ca="1">Calibración!C41</f>
        <v/>
      </c>
      <c r="E31" s="369"/>
      <c r="F31" s="366" t="str">
        <f ca="1">Calibración!D41</f>
        <v/>
      </c>
      <c r="G31" s="367"/>
      <c r="H31" s="367"/>
      <c r="I31" s="367"/>
      <c r="J31" s="367"/>
      <c r="K31" s="368"/>
      <c r="L31" s="366" t="str">
        <f ca="1">Calibración!E41</f>
        <v/>
      </c>
      <c r="M31" s="367"/>
      <c r="N31" s="367"/>
      <c r="O31" s="367"/>
      <c r="P31" s="367"/>
      <c r="Q31" s="368"/>
      <c r="R31" s="366" t="str">
        <f ca="1">Calibración!F41</f>
        <v/>
      </c>
      <c r="S31" s="367"/>
      <c r="T31" s="367"/>
      <c r="U31" s="367"/>
      <c r="V31" s="367"/>
      <c r="W31" s="368"/>
    </row>
    <row r="32" spans="1:24" x14ac:dyDescent="0.3">
      <c r="A32" s="9"/>
      <c r="B32" s="9"/>
      <c r="C32" s="9"/>
      <c r="D32" s="369" t="str">
        <f ca="1">Calibración!C42</f>
        <v/>
      </c>
      <c r="E32" s="369"/>
      <c r="F32" s="366" t="str">
        <f ca="1">Calibración!D42</f>
        <v/>
      </c>
      <c r="G32" s="367"/>
      <c r="H32" s="367"/>
      <c r="I32" s="367"/>
      <c r="J32" s="367"/>
      <c r="K32" s="368"/>
      <c r="L32" s="366" t="str">
        <f ca="1">Calibración!E42</f>
        <v/>
      </c>
      <c r="M32" s="367"/>
      <c r="N32" s="367"/>
      <c r="O32" s="367"/>
      <c r="P32" s="367"/>
      <c r="Q32" s="368"/>
      <c r="R32" s="366" t="str">
        <f ca="1">Calibración!F42</f>
        <v/>
      </c>
      <c r="S32" s="367"/>
      <c r="T32" s="367"/>
      <c r="U32" s="367"/>
      <c r="V32" s="367"/>
      <c r="W32" s="368"/>
    </row>
    <row r="33" spans="1:23" x14ac:dyDescent="0.3">
      <c r="D33" s="226"/>
      <c r="E33" s="226"/>
      <c r="F33" s="227"/>
      <c r="G33" s="227"/>
      <c r="H33" s="227"/>
      <c r="I33" s="227"/>
      <c r="J33" s="227"/>
      <c r="K33" s="227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</row>
    <row r="34" spans="1:23" x14ac:dyDescent="0.3">
      <c r="A34" s="220" t="s">
        <v>429</v>
      </c>
      <c r="D34" s="226"/>
      <c r="E34" s="226"/>
      <c r="F34" s="227"/>
      <c r="G34" s="227"/>
      <c r="H34" s="227"/>
      <c r="I34" s="227"/>
      <c r="J34" s="227"/>
      <c r="K34" s="227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</row>
    <row r="35" spans="1:23" x14ac:dyDescent="0.3">
      <c r="A35" s="9"/>
      <c r="B35" s="9"/>
      <c r="C35" s="9"/>
      <c r="D35" s="380" t="s">
        <v>95</v>
      </c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  <c r="U35" s="380"/>
      <c r="V35" s="380"/>
      <c r="W35" s="380"/>
    </row>
    <row r="36" spans="1:23" ht="15" customHeight="1" x14ac:dyDescent="0.3">
      <c r="A36" s="9"/>
      <c r="B36" s="9"/>
      <c r="C36" s="9"/>
      <c r="D36" s="374" t="s">
        <v>362</v>
      </c>
      <c r="E36" s="374"/>
      <c r="F36" s="375" t="s">
        <v>427</v>
      </c>
      <c r="G36" s="375"/>
      <c r="H36" s="375"/>
      <c r="I36" s="375"/>
      <c r="J36" s="375"/>
      <c r="K36" s="375"/>
      <c r="L36" s="375" t="s">
        <v>96</v>
      </c>
      <c r="M36" s="375"/>
      <c r="N36" s="375"/>
      <c r="O36" s="375"/>
      <c r="P36" s="375"/>
      <c r="Q36" s="375"/>
      <c r="R36" s="374" t="s">
        <v>428</v>
      </c>
      <c r="S36" s="374"/>
      <c r="T36" s="374"/>
      <c r="U36" s="374"/>
      <c r="V36" s="374"/>
      <c r="W36" s="374"/>
    </row>
    <row r="37" spans="1:23" x14ac:dyDescent="0.3">
      <c r="A37" s="9"/>
      <c r="B37" s="9"/>
      <c r="C37" s="9"/>
      <c r="D37" s="374"/>
      <c r="E37" s="374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4"/>
      <c r="S37" s="374"/>
      <c r="T37" s="374"/>
      <c r="U37" s="374"/>
      <c r="V37" s="374"/>
      <c r="W37" s="374"/>
    </row>
    <row r="38" spans="1:23" x14ac:dyDescent="0.3">
      <c r="A38" s="9"/>
      <c r="B38" s="9"/>
      <c r="C38" s="9"/>
      <c r="D38" s="370" t="str">
        <f>Calibración!G37</f>
        <v>kPa</v>
      </c>
      <c r="E38" s="370"/>
      <c r="F38" s="371" t="str">
        <f>Calibración!H37</f>
        <v>kPa</v>
      </c>
      <c r="G38" s="372"/>
      <c r="H38" s="372"/>
      <c r="I38" s="372"/>
      <c r="J38" s="372"/>
      <c r="K38" s="373"/>
      <c r="L38" s="370" t="str">
        <f>Calibración!I37</f>
        <v>kPa</v>
      </c>
      <c r="M38" s="370"/>
      <c r="N38" s="370"/>
      <c r="O38" s="370"/>
      <c r="P38" s="370"/>
      <c r="Q38" s="370"/>
      <c r="R38" s="370" t="str">
        <f>Calibración!J37</f>
        <v>kPa</v>
      </c>
      <c r="S38" s="370"/>
      <c r="T38" s="370"/>
      <c r="U38" s="370"/>
      <c r="V38" s="370"/>
      <c r="W38" s="370"/>
    </row>
    <row r="39" spans="1:23" x14ac:dyDescent="0.3">
      <c r="A39" s="9"/>
      <c r="B39" s="9"/>
      <c r="C39" s="9"/>
      <c r="D39" s="381" t="str">
        <f ca="1">Calibración!G38</f>
        <v/>
      </c>
      <c r="E39" s="381"/>
      <c r="F39" s="382" t="str">
        <f ca="1">Calibración!H38</f>
        <v/>
      </c>
      <c r="G39" s="383"/>
      <c r="H39" s="383"/>
      <c r="I39" s="383"/>
      <c r="J39" s="383"/>
      <c r="K39" s="384"/>
      <c r="L39" s="381" t="str">
        <f ca="1">Calibración!I38</f>
        <v/>
      </c>
      <c r="M39" s="381"/>
      <c r="N39" s="381"/>
      <c r="O39" s="381"/>
      <c r="P39" s="381"/>
      <c r="Q39" s="381"/>
      <c r="R39" s="381" t="str">
        <f ca="1">Calibración!J38</f>
        <v/>
      </c>
      <c r="S39" s="381"/>
      <c r="T39" s="381"/>
      <c r="U39" s="381"/>
      <c r="V39" s="381"/>
      <c r="W39" s="381"/>
    </row>
    <row r="40" spans="1:23" x14ac:dyDescent="0.3">
      <c r="A40" s="9"/>
      <c r="B40" s="9"/>
      <c r="C40" s="9"/>
      <c r="D40" s="381" t="str">
        <f ca="1">Calibración!G39</f>
        <v/>
      </c>
      <c r="E40" s="381"/>
      <c r="F40" s="382" t="str">
        <f ca="1">Calibración!H39</f>
        <v/>
      </c>
      <c r="G40" s="383"/>
      <c r="H40" s="383"/>
      <c r="I40" s="383"/>
      <c r="J40" s="383"/>
      <c r="K40" s="384"/>
      <c r="L40" s="381" t="str">
        <f ca="1">Calibración!I39</f>
        <v/>
      </c>
      <c r="M40" s="381"/>
      <c r="N40" s="381"/>
      <c r="O40" s="381"/>
      <c r="P40" s="381"/>
      <c r="Q40" s="381"/>
      <c r="R40" s="381" t="str">
        <f ca="1">Calibración!J39</f>
        <v/>
      </c>
      <c r="S40" s="381"/>
      <c r="T40" s="381"/>
      <c r="U40" s="381"/>
      <c r="V40" s="381"/>
      <c r="W40" s="381"/>
    </row>
    <row r="41" spans="1:23" x14ac:dyDescent="0.3">
      <c r="A41" s="9"/>
      <c r="B41" s="9"/>
      <c r="C41" s="9"/>
      <c r="D41" s="381" t="str">
        <f ca="1">Calibración!G40</f>
        <v/>
      </c>
      <c r="E41" s="381"/>
      <c r="F41" s="382" t="str">
        <f ca="1">Calibración!H40</f>
        <v/>
      </c>
      <c r="G41" s="383"/>
      <c r="H41" s="383"/>
      <c r="I41" s="383"/>
      <c r="J41" s="383"/>
      <c r="K41" s="384"/>
      <c r="L41" s="381" t="str">
        <f ca="1">Calibración!I40</f>
        <v/>
      </c>
      <c r="M41" s="381"/>
      <c r="N41" s="381"/>
      <c r="O41" s="381"/>
      <c r="P41" s="381"/>
      <c r="Q41" s="381"/>
      <c r="R41" s="381" t="str">
        <f ca="1">Calibración!J40</f>
        <v/>
      </c>
      <c r="S41" s="381"/>
      <c r="T41" s="381"/>
      <c r="U41" s="381"/>
      <c r="V41" s="381"/>
      <c r="W41" s="381"/>
    </row>
    <row r="42" spans="1:23" x14ac:dyDescent="0.3">
      <c r="A42" s="9"/>
      <c r="B42" s="9"/>
      <c r="C42" s="9"/>
      <c r="D42" s="381" t="str">
        <f ca="1">Calibración!G41</f>
        <v/>
      </c>
      <c r="E42" s="381"/>
      <c r="F42" s="382" t="str">
        <f ca="1">Calibración!H41</f>
        <v/>
      </c>
      <c r="G42" s="383"/>
      <c r="H42" s="383"/>
      <c r="I42" s="383"/>
      <c r="J42" s="383"/>
      <c r="K42" s="384"/>
      <c r="L42" s="381" t="str">
        <f ca="1">Calibración!I41</f>
        <v/>
      </c>
      <c r="M42" s="381"/>
      <c r="N42" s="381"/>
      <c r="O42" s="381"/>
      <c r="P42" s="381"/>
      <c r="Q42" s="381"/>
      <c r="R42" s="381" t="str">
        <f ca="1">Calibración!J41</f>
        <v/>
      </c>
      <c r="S42" s="381"/>
      <c r="T42" s="381"/>
      <c r="U42" s="381"/>
      <c r="V42" s="381"/>
      <c r="W42" s="381"/>
    </row>
    <row r="43" spans="1:23" x14ac:dyDescent="0.3">
      <c r="A43" s="9"/>
      <c r="B43" s="9"/>
      <c r="C43" s="9"/>
      <c r="D43" s="381" t="str">
        <f ca="1">Calibración!G42</f>
        <v/>
      </c>
      <c r="E43" s="381"/>
      <c r="F43" s="382" t="str">
        <f ca="1">Calibración!H42</f>
        <v/>
      </c>
      <c r="G43" s="383"/>
      <c r="H43" s="383"/>
      <c r="I43" s="383"/>
      <c r="J43" s="383"/>
      <c r="K43" s="384"/>
      <c r="L43" s="381" t="str">
        <f ca="1">Calibración!I42</f>
        <v/>
      </c>
      <c r="M43" s="381"/>
      <c r="N43" s="381"/>
      <c r="O43" s="381"/>
      <c r="P43" s="381"/>
      <c r="Q43" s="381"/>
      <c r="R43" s="381" t="str">
        <f ca="1">Calibración!J42</f>
        <v/>
      </c>
      <c r="S43" s="381"/>
      <c r="T43" s="381"/>
      <c r="U43" s="381"/>
      <c r="V43" s="381"/>
      <c r="W43" s="381"/>
    </row>
    <row r="44" spans="1:23" x14ac:dyDescent="0.3">
      <c r="O44" s="228"/>
    </row>
    <row r="45" spans="1:23" x14ac:dyDescent="0.3">
      <c r="A45" s="220" t="s">
        <v>430</v>
      </c>
      <c r="B45" s="9"/>
      <c r="C45" s="9"/>
      <c r="D45" s="9"/>
      <c r="E45" s="9"/>
      <c r="F45" s="229" t="s">
        <v>99</v>
      </c>
      <c r="H45" s="9"/>
      <c r="I45" s="9"/>
      <c r="J45" s="229" t="str">
        <f>General!I4</f>
        <v>NI-MCPPT-02</v>
      </c>
      <c r="L45" s="9"/>
      <c r="O45" s="220" t="s">
        <v>431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0"/>
      <c r="B46" s="363" t="s">
        <v>432</v>
      </c>
      <c r="C46" s="363"/>
      <c r="D46" s="363"/>
      <c r="E46" s="231">
        <f>CertTempC</f>
        <v>22.3</v>
      </c>
      <c r="F46" s="232" t="s">
        <v>433</v>
      </c>
      <c r="G46" s="233">
        <f>CertTempIncerti</f>
        <v>0.4</v>
      </c>
      <c r="H46" s="230" t="s">
        <v>97</v>
      </c>
      <c r="I46" s="9"/>
      <c r="J46" s="9"/>
      <c r="K46" s="364"/>
      <c r="L46" s="364"/>
      <c r="M46" s="9"/>
      <c r="N46" s="9"/>
      <c r="O46" s="9"/>
      <c r="P46" s="230" t="s">
        <v>473</v>
      </c>
      <c r="Q46" s="9"/>
      <c r="R46" s="9"/>
      <c r="S46" s="9"/>
      <c r="T46" s="365">
        <f>General!I18</f>
        <v>1001</v>
      </c>
      <c r="U46" s="365"/>
      <c r="V46" s="232" t="s">
        <v>434</v>
      </c>
      <c r="W46" s="231">
        <f>CertPresIncert</f>
        <v>2.4700000000000002</v>
      </c>
    </row>
    <row r="47" spans="1:23" x14ac:dyDescent="0.3">
      <c r="A47" s="230"/>
      <c r="B47" s="230" t="s">
        <v>435</v>
      </c>
      <c r="C47" s="230"/>
      <c r="D47" s="230"/>
      <c r="E47" s="231">
        <f>CertHR</f>
        <v>48.375</v>
      </c>
      <c r="F47" s="232" t="s">
        <v>436</v>
      </c>
      <c r="G47" s="233">
        <f>CertHRIncerti</f>
        <v>1.3</v>
      </c>
      <c r="H47" s="232" t="s">
        <v>437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28"/>
    </row>
    <row r="49" spans="1:25" x14ac:dyDescent="0.3">
      <c r="O49" s="228"/>
    </row>
    <row r="50" spans="1:25" x14ac:dyDescent="0.3">
      <c r="O50" s="228"/>
    </row>
    <row r="51" spans="1:25" x14ac:dyDescent="0.3">
      <c r="O51" s="228"/>
    </row>
    <row r="52" spans="1:25" x14ac:dyDescent="0.3">
      <c r="O52" s="228"/>
    </row>
    <row r="53" spans="1:25" x14ac:dyDescent="0.3">
      <c r="O53" s="228"/>
    </row>
    <row r="54" spans="1:25" ht="20.25" customHeight="1" x14ac:dyDescent="0.3">
      <c r="O54" s="228"/>
    </row>
    <row r="55" spans="1:25" x14ac:dyDescent="0.3">
      <c r="O55" s="228"/>
    </row>
    <row r="56" spans="1:25" x14ac:dyDescent="0.3">
      <c r="O56" s="228"/>
    </row>
    <row r="57" spans="1:25" x14ac:dyDescent="0.3">
      <c r="A57" s="220" t="s">
        <v>413</v>
      </c>
      <c r="B57" s="9"/>
      <c r="C57" s="221"/>
      <c r="D57" s="222"/>
      <c r="E57" s="222"/>
      <c r="F57" s="222"/>
      <c r="G57" s="9"/>
      <c r="H57" s="9"/>
      <c r="I57" s="9"/>
      <c r="J57" s="9"/>
      <c r="K57" s="9"/>
      <c r="L57" s="9"/>
      <c r="M57" s="9"/>
      <c r="N57" s="362" t="str">
        <f>N8</f>
        <v>NI-MC-P-XXXX-ZZZZ</v>
      </c>
      <c r="O57" s="362"/>
      <c r="P57" s="362"/>
      <c r="Q57" s="362"/>
      <c r="R57" s="362"/>
      <c r="S57" s="362"/>
      <c r="T57" s="362"/>
      <c r="U57" s="362"/>
      <c r="V57" s="362"/>
      <c r="W57" s="362"/>
      <c r="X57" s="362"/>
    </row>
    <row r="58" spans="1:25" x14ac:dyDescent="0.3">
      <c r="O58" s="228"/>
    </row>
    <row r="59" spans="1:25" x14ac:dyDescent="0.3">
      <c r="X59" s="9"/>
      <c r="Y59" s="9"/>
    </row>
    <row r="60" spans="1:25" x14ac:dyDescent="0.3">
      <c r="A60" s="220" t="s">
        <v>438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5" ht="15" customHeight="1" x14ac:dyDescent="0.3">
      <c r="A61" s="355" t="s">
        <v>683</v>
      </c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</row>
    <row r="62" spans="1:25" x14ac:dyDescent="0.3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5" ht="15" customHeight="1" x14ac:dyDescent="0.3">
      <c r="A63" s="220" t="s">
        <v>439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5" x14ac:dyDescent="0.3">
      <c r="A64" s="355" t="s">
        <v>440</v>
      </c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</row>
    <row r="65" spans="1:24" ht="15" customHeight="1" x14ac:dyDescent="0.3">
      <c r="A65" s="355"/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</row>
    <row r="66" spans="1:24" ht="15" customHeight="1" x14ac:dyDescent="0.3">
      <c r="A66" s="355"/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</row>
    <row r="67" spans="1:24" x14ac:dyDescent="0.3">
      <c r="A67" s="355"/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</row>
    <row r="68" spans="1:24" x14ac:dyDescent="0.3">
      <c r="A68" s="355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</row>
    <row r="69" spans="1:2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4" x14ac:dyDescent="0.3">
      <c r="A70" s="220" t="s">
        <v>441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356" t="s">
        <v>98</v>
      </c>
      <c r="B71" s="357"/>
      <c r="C71" s="357"/>
      <c r="D71" s="357"/>
      <c r="E71" s="357"/>
      <c r="F71" s="358"/>
      <c r="G71" s="356" t="s">
        <v>4</v>
      </c>
      <c r="H71" s="357"/>
      <c r="I71" s="358"/>
      <c r="J71" s="359" t="s">
        <v>101</v>
      </c>
      <c r="K71" s="360"/>
      <c r="L71" s="360"/>
      <c r="M71" s="360"/>
      <c r="N71" s="361"/>
      <c r="O71" s="356" t="s">
        <v>442</v>
      </c>
      <c r="P71" s="357"/>
      <c r="Q71" s="357"/>
      <c r="R71" s="357"/>
      <c r="S71" s="357"/>
      <c r="T71" s="358"/>
      <c r="U71" s="359" t="s">
        <v>443</v>
      </c>
      <c r="V71" s="360"/>
      <c r="W71" s="360"/>
      <c r="X71" s="361"/>
    </row>
    <row r="72" spans="1:24" x14ac:dyDescent="0.3">
      <c r="A72" s="349" t="s">
        <v>685</v>
      </c>
      <c r="B72" s="350"/>
      <c r="C72" s="350"/>
      <c r="D72" s="350"/>
      <c r="E72" s="350"/>
      <c r="F72" s="351"/>
      <c r="G72" s="349" t="s">
        <v>686</v>
      </c>
      <c r="H72" s="350"/>
      <c r="I72" s="351"/>
      <c r="J72" s="352" t="s">
        <v>1267</v>
      </c>
      <c r="K72" s="353"/>
      <c r="L72" s="353"/>
      <c r="M72" s="353"/>
      <c r="N72" s="354"/>
      <c r="O72" s="349" t="s">
        <v>453</v>
      </c>
      <c r="P72" s="350" t="s">
        <v>453</v>
      </c>
      <c r="Q72" s="350" t="s">
        <v>453</v>
      </c>
      <c r="R72" s="350" t="s">
        <v>453</v>
      </c>
      <c r="S72" s="350" t="s">
        <v>453</v>
      </c>
      <c r="T72" s="351" t="s">
        <v>453</v>
      </c>
      <c r="U72" s="352">
        <v>46147</v>
      </c>
      <c r="V72" s="353"/>
      <c r="W72" s="353"/>
      <c r="X72" s="354"/>
    </row>
    <row r="73" spans="1:24" ht="15" customHeight="1" x14ac:dyDescent="0.3">
      <c r="A73" s="349" t="s">
        <v>451</v>
      </c>
      <c r="B73" s="350" t="s">
        <v>451</v>
      </c>
      <c r="C73" s="350" t="s">
        <v>451</v>
      </c>
      <c r="D73" s="350" t="s">
        <v>451</v>
      </c>
      <c r="E73" s="350" t="s">
        <v>451</v>
      </c>
      <c r="F73" s="351" t="s">
        <v>451</v>
      </c>
      <c r="G73" s="349" t="s">
        <v>293</v>
      </c>
      <c r="H73" s="350" t="s">
        <v>293</v>
      </c>
      <c r="I73" s="351" t="s">
        <v>293</v>
      </c>
      <c r="J73" s="352" t="s">
        <v>1260</v>
      </c>
      <c r="K73" s="353" t="s">
        <v>453</v>
      </c>
      <c r="L73" s="353">
        <v>43369</v>
      </c>
      <c r="M73" s="353" t="s">
        <v>677</v>
      </c>
      <c r="N73" s="354" t="s">
        <v>453</v>
      </c>
      <c r="O73" s="349" t="s">
        <v>453</v>
      </c>
      <c r="P73" s="350" t="s">
        <v>453</v>
      </c>
      <c r="Q73" s="350" t="s">
        <v>453</v>
      </c>
      <c r="R73" s="350" t="s">
        <v>453</v>
      </c>
      <c r="S73" s="350" t="s">
        <v>453</v>
      </c>
      <c r="T73" s="351" t="s">
        <v>453</v>
      </c>
      <c r="U73" s="352">
        <v>45510</v>
      </c>
      <c r="V73" s="353" t="s">
        <v>677</v>
      </c>
      <c r="W73" s="353" t="s">
        <v>453</v>
      </c>
      <c r="X73" s="354">
        <v>43369</v>
      </c>
    </row>
    <row r="74" spans="1:24" ht="15" customHeight="1" x14ac:dyDescent="0.3">
      <c r="A74" s="349" t="s">
        <v>678</v>
      </c>
      <c r="B74" s="350"/>
      <c r="C74" s="350"/>
      <c r="D74" s="350"/>
      <c r="E74" s="350"/>
      <c r="F74" s="351"/>
      <c r="G74" s="349" t="s">
        <v>109</v>
      </c>
      <c r="H74" s="350" t="s">
        <v>294</v>
      </c>
      <c r="I74" s="351" t="s">
        <v>294</v>
      </c>
      <c r="J74" s="352" t="s">
        <v>1268</v>
      </c>
      <c r="K74" s="353" t="s">
        <v>455</v>
      </c>
      <c r="L74" s="353">
        <v>43394</v>
      </c>
      <c r="M74" s="353" t="s">
        <v>474</v>
      </c>
      <c r="N74" s="354" t="s">
        <v>455</v>
      </c>
      <c r="O74" s="349" t="s">
        <v>455</v>
      </c>
      <c r="P74" s="350" t="s">
        <v>455</v>
      </c>
      <c r="Q74" s="350" t="s">
        <v>455</v>
      </c>
      <c r="R74" s="350" t="s">
        <v>455</v>
      </c>
      <c r="S74" s="350" t="s">
        <v>455</v>
      </c>
      <c r="T74" s="351" t="s">
        <v>455</v>
      </c>
      <c r="U74" s="352">
        <v>45353</v>
      </c>
      <c r="V74" s="353" t="s">
        <v>474</v>
      </c>
      <c r="W74" s="353" t="s">
        <v>455</v>
      </c>
      <c r="X74" s="354">
        <v>43394</v>
      </c>
    </row>
    <row r="75" spans="1:24" ht="15" customHeight="1" x14ac:dyDescent="0.3">
      <c r="A75" s="234"/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234"/>
      <c r="Q75" s="234"/>
      <c r="R75" s="234"/>
      <c r="S75" s="234"/>
      <c r="T75" s="234"/>
      <c r="U75" s="234"/>
      <c r="V75" s="234"/>
      <c r="W75" s="234"/>
      <c r="X75" s="234"/>
    </row>
    <row r="76" spans="1:24" x14ac:dyDescent="0.3">
      <c r="A76" s="220" t="s">
        <v>444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35" t="s">
        <v>445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36" t="s">
        <v>507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355" t="str">
        <f>IF(Calibración!E10="2",Calibración!BJ6,Calibración!BJ7)</f>
        <v>La indicación de la presión de referencia y del equipo corresponden al promedio de 4 mediciones en 2 ciclos ascendentes y descendentes.</v>
      </c>
      <c r="B79" s="355"/>
      <c r="C79" s="355"/>
      <c r="D79" s="355"/>
      <c r="E79" s="355"/>
      <c r="F79" s="355"/>
      <c r="G79" s="355"/>
      <c r="H79" s="355"/>
      <c r="I79" s="355"/>
      <c r="J79" s="355"/>
      <c r="K79" s="355"/>
      <c r="L79" s="355"/>
      <c r="M79" s="355"/>
      <c r="N79" s="355"/>
      <c r="O79" s="355"/>
      <c r="P79" s="355"/>
      <c r="Q79" s="355"/>
      <c r="R79" s="355"/>
      <c r="S79" s="355"/>
      <c r="T79" s="355"/>
      <c r="U79" s="355"/>
      <c r="V79" s="355"/>
      <c r="W79" s="355"/>
      <c r="X79" s="355"/>
    </row>
    <row r="80" spans="1:24" ht="15" customHeight="1" x14ac:dyDescent="0.3">
      <c r="A80" s="355"/>
      <c r="B80" s="355"/>
      <c r="C80" s="355"/>
      <c r="D80" s="355"/>
      <c r="E80" s="355"/>
      <c r="F80" s="355"/>
      <c r="G80" s="355"/>
      <c r="H80" s="355"/>
      <c r="I80" s="355"/>
      <c r="J80" s="355"/>
      <c r="K80" s="355"/>
      <c r="L80" s="355"/>
      <c r="M80" s="355"/>
      <c r="N80" s="355"/>
      <c r="O80" s="355"/>
      <c r="P80" s="355"/>
      <c r="Q80" s="355"/>
      <c r="R80" s="355"/>
      <c r="S80" s="355"/>
      <c r="T80" s="355"/>
      <c r="U80" s="355"/>
      <c r="V80" s="355"/>
      <c r="W80" s="355"/>
      <c r="X80" s="355"/>
    </row>
    <row r="81" spans="1:25" ht="15" customHeight="1" x14ac:dyDescent="0.3">
      <c r="A81" s="235" t="s">
        <v>446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35" t="s">
        <v>447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666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667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36" t="s">
        <v>509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345" t="s">
        <v>30</v>
      </c>
      <c r="J92" s="345"/>
      <c r="K92" s="345"/>
      <c r="L92" s="345"/>
      <c r="M92" s="345"/>
      <c r="N92" s="345"/>
      <c r="O92" s="345"/>
      <c r="P92" s="345"/>
      <c r="Y92" s="9"/>
    </row>
    <row r="93" spans="1:25" x14ac:dyDescent="0.3">
      <c r="I93" s="346" t="str">
        <f>IF(I92=[5]Generales!$F$1,[5]Generales!$F$6,[5]Generales!$F$5)</f>
        <v>Director Técnico</v>
      </c>
      <c r="J93" s="346"/>
      <c r="K93" s="346"/>
      <c r="L93" s="346"/>
      <c r="M93" s="346"/>
      <c r="N93" s="346"/>
      <c r="O93" s="346"/>
      <c r="P93" s="346"/>
    </row>
    <row r="94" spans="1:25" x14ac:dyDescent="0.3">
      <c r="I94" s="347" t="s">
        <v>448</v>
      </c>
      <c r="J94" s="347"/>
      <c r="K94" s="347"/>
      <c r="L94" s="347"/>
      <c r="M94" s="347"/>
      <c r="N94" s="347"/>
      <c r="O94" s="347"/>
      <c r="P94" s="347"/>
    </row>
    <row r="95" spans="1:25" x14ac:dyDescent="0.3">
      <c r="I95" s="348" t="s">
        <v>449</v>
      </c>
      <c r="J95" s="348"/>
      <c r="K95" s="348"/>
      <c r="L95" s="348"/>
      <c r="M95" s="348"/>
      <c r="N95" s="348"/>
      <c r="O95" s="348"/>
      <c r="P95" s="348"/>
    </row>
  </sheetData>
  <mergeCells count="104"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D40:E40"/>
    <mergeCell ref="F40:K40"/>
    <mergeCell ref="L40:Q40"/>
    <mergeCell ref="R40:W40"/>
    <mergeCell ref="A61:X61"/>
    <mergeCell ref="A64:X68"/>
    <mergeCell ref="N57:X57"/>
    <mergeCell ref="D39:E39"/>
    <mergeCell ref="F39:K39"/>
    <mergeCell ref="D41:E41"/>
    <mergeCell ref="F41:K41"/>
    <mergeCell ref="L41:Q41"/>
    <mergeCell ref="R41:W41"/>
    <mergeCell ref="I93:P93"/>
    <mergeCell ref="I94:P94"/>
    <mergeCell ref="I95:P95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74:F74"/>
    <mergeCell ref="G74:I74"/>
    <mergeCell ref="J74:N74"/>
    <mergeCell ref="O74:T74"/>
    <mergeCell ref="U74:X74"/>
    <mergeCell ref="I92:P92"/>
    <mergeCell ref="D31:E31"/>
    <mergeCell ref="F31:K31"/>
    <mergeCell ref="L31:Q31"/>
    <mergeCell ref="R31:W31"/>
    <mergeCell ref="D32:E32"/>
    <mergeCell ref="F32:K32"/>
    <mergeCell ref="L32:Q32"/>
    <mergeCell ref="R32:W32"/>
    <mergeCell ref="T46:U4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42:E42"/>
    <mergeCell ref="F42:K42"/>
    <mergeCell ref="L42:Q42"/>
    <mergeCell ref="R42:W42"/>
    <mergeCell ref="L39:Q39"/>
    <mergeCell ref="R39:W3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3">
    <cfRule type="cellIs" priority="1" operator="equal">
      <formula>$D$24</formula>
    </cfRule>
  </conditionalFormatting>
  <conditionalFormatting sqref="A84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O12" sqref="O12"/>
    </sheetView>
  </sheetViews>
  <sheetFormatPr baseColWidth="10" defaultColWidth="9.109375" defaultRowHeight="14.4" x14ac:dyDescent="0.3"/>
  <cols>
    <col min="6" max="6" width="13.33203125" customWidth="1"/>
    <col min="7" max="7" width="14.109375" customWidth="1"/>
    <col min="10" max="10" width="10.33203125" customWidth="1"/>
    <col min="11" max="11" width="14.5546875" customWidth="1"/>
    <col min="12" max="12" width="11.6640625" customWidth="1"/>
    <col min="13" max="13" width="13.33203125" customWidth="1"/>
    <col min="18" max="18" width="14" customWidth="1"/>
    <col min="19" max="19" width="11.33203125" customWidth="1"/>
    <col min="20" max="20" width="11.6640625" customWidth="1"/>
    <col min="25" max="25" width="15" customWidth="1"/>
    <col min="26" max="26" width="12.44140625" customWidth="1"/>
    <col min="32" max="32" width="13.88671875" customWidth="1"/>
    <col min="33" max="33" width="10.88671875" customWidth="1"/>
  </cols>
  <sheetData>
    <row r="2" spans="2:34" x14ac:dyDescent="0.3">
      <c r="B2" s="396" t="s">
        <v>528</v>
      </c>
      <c r="C2" s="396"/>
      <c r="D2" s="396"/>
      <c r="E2" s="396"/>
      <c r="F2" s="396"/>
      <c r="G2" s="396"/>
      <c r="I2" s="275"/>
    </row>
    <row r="3" spans="2:34" x14ac:dyDescent="0.3">
      <c r="B3" s="276"/>
      <c r="C3" s="276"/>
      <c r="D3" s="276"/>
      <c r="E3" s="276"/>
      <c r="F3" s="276"/>
      <c r="G3" s="276"/>
    </row>
    <row r="4" spans="2:34" ht="15" thickBot="1" x14ac:dyDescent="0.35">
      <c r="B4" s="388" t="s">
        <v>529</v>
      </c>
      <c r="C4" s="388"/>
      <c r="D4" s="276"/>
      <c r="E4" s="276"/>
      <c r="F4" s="276"/>
      <c r="G4" s="276"/>
      <c r="I4" s="397" t="s">
        <v>530</v>
      </c>
      <c r="J4" s="398"/>
      <c r="K4" s="397" t="s">
        <v>531</v>
      </c>
      <c r="L4" s="398"/>
      <c r="N4" s="16" t="s">
        <v>532</v>
      </c>
      <c r="O4" s="16"/>
    </row>
    <row r="5" spans="2:34" ht="16.2" thickBot="1" x14ac:dyDescent="0.35">
      <c r="B5" s="277" t="s">
        <v>533</v>
      </c>
      <c r="C5" s="294" t="s">
        <v>534</v>
      </c>
      <c r="D5" s="389" t="s">
        <v>535</v>
      </c>
      <c r="E5" s="390"/>
      <c r="F5" s="390"/>
      <c r="G5" s="391"/>
      <c r="I5" s="278" t="s">
        <v>135</v>
      </c>
      <c r="J5" s="278" t="s">
        <v>136</v>
      </c>
      <c r="K5" s="278" t="s">
        <v>135</v>
      </c>
      <c r="L5" s="278" t="s">
        <v>136</v>
      </c>
      <c r="M5" s="278" t="s">
        <v>536</v>
      </c>
      <c r="N5" s="278" t="s">
        <v>537</v>
      </c>
      <c r="O5" s="278" t="s">
        <v>538</v>
      </c>
      <c r="P5" s="278" t="s">
        <v>539</v>
      </c>
      <c r="Q5" s="278" t="s">
        <v>540</v>
      </c>
      <c r="W5" s="395" t="s">
        <v>719</v>
      </c>
      <c r="X5" s="395"/>
      <c r="Y5" s="395"/>
      <c r="Z5" s="395"/>
      <c r="AA5" s="395"/>
      <c r="AB5" s="395"/>
      <c r="AC5" s="395"/>
      <c r="AD5" s="395"/>
    </row>
    <row r="6" spans="2:34" ht="15" thickBot="1" x14ac:dyDescent="0.35">
      <c r="B6" s="385">
        <v>-82.74</v>
      </c>
      <c r="C6" s="385">
        <v>-0.06</v>
      </c>
      <c r="D6" s="394" t="s">
        <v>722</v>
      </c>
      <c r="E6" s="391"/>
      <c r="F6" s="389" t="s">
        <v>720</v>
      </c>
      <c r="G6" s="391"/>
      <c r="I6" s="28">
        <v>-82.74</v>
      </c>
      <c r="J6" s="28">
        <v>-0.06</v>
      </c>
      <c r="K6" s="28">
        <v>0.16</v>
      </c>
      <c r="L6" s="28">
        <v>0.44</v>
      </c>
      <c r="M6" s="279">
        <v>0.72933000000000003</v>
      </c>
      <c r="N6" s="279">
        <v>6.9350000000000002E-3</v>
      </c>
      <c r="O6" s="28"/>
      <c r="P6" s="28"/>
      <c r="Q6" s="279"/>
      <c r="W6" s="295" t="s">
        <v>720</v>
      </c>
      <c r="X6" s="295"/>
      <c r="Y6" s="295"/>
      <c r="Z6" s="295"/>
      <c r="AA6" s="295"/>
      <c r="AB6" s="295" t="s">
        <v>721</v>
      </c>
      <c r="AC6" s="295"/>
      <c r="AD6" s="295"/>
    </row>
    <row r="7" spans="2:34" ht="15" thickBot="1" x14ac:dyDescent="0.35">
      <c r="B7" s="386"/>
      <c r="C7" s="386"/>
      <c r="D7" s="389" t="s">
        <v>541</v>
      </c>
      <c r="E7" s="391"/>
      <c r="F7" s="389" t="s">
        <v>542</v>
      </c>
      <c r="G7" s="391"/>
      <c r="I7" s="28">
        <v>0.01</v>
      </c>
      <c r="J7" s="28">
        <v>699.75</v>
      </c>
      <c r="K7" s="28">
        <v>0.17</v>
      </c>
      <c r="L7" s="28">
        <v>0.39</v>
      </c>
      <c r="M7" s="279">
        <v>0.19986999999999999</v>
      </c>
      <c r="N7" s="279">
        <v>3.4981999999999998E-4</v>
      </c>
      <c r="O7" s="28"/>
      <c r="P7" s="28"/>
      <c r="Q7" s="28"/>
      <c r="W7" s="295" t="s">
        <v>723</v>
      </c>
      <c r="X7" s="295"/>
      <c r="Y7" s="295"/>
      <c r="Z7" s="295"/>
      <c r="AA7" s="295"/>
      <c r="AB7" s="295" t="s">
        <v>724</v>
      </c>
      <c r="AC7" s="295"/>
      <c r="AD7" s="295"/>
    </row>
    <row r="8" spans="2:34" x14ac:dyDescent="0.3">
      <c r="B8" s="276"/>
      <c r="C8" s="276"/>
      <c r="D8" s="276"/>
      <c r="E8" s="276"/>
      <c r="F8" s="276"/>
      <c r="G8" s="276"/>
      <c r="I8" s="28">
        <v>700</v>
      </c>
      <c r="J8" s="28">
        <v>7000</v>
      </c>
      <c r="K8" s="28">
        <v>26.87</v>
      </c>
      <c r="L8" s="28">
        <v>32.909999999999997</v>
      </c>
      <c r="M8" s="279">
        <v>31.12</v>
      </c>
      <c r="N8" s="279">
        <v>5.128E-4</v>
      </c>
      <c r="O8" s="28"/>
      <c r="P8" s="28"/>
      <c r="Q8" s="28"/>
      <c r="W8" s="295" t="s">
        <v>725</v>
      </c>
      <c r="X8" s="295"/>
      <c r="Y8" s="295"/>
      <c r="Z8" s="295"/>
      <c r="AA8" s="295"/>
      <c r="AB8" s="295" t="s">
        <v>726</v>
      </c>
      <c r="AC8" s="295"/>
      <c r="AD8" s="295"/>
    </row>
    <row r="9" spans="2:34" ht="15" thickBot="1" x14ac:dyDescent="0.35">
      <c r="B9" s="388" t="s">
        <v>529</v>
      </c>
      <c r="C9" s="388"/>
      <c r="D9" s="276"/>
      <c r="E9" s="276"/>
      <c r="F9" s="276"/>
      <c r="G9" s="276"/>
      <c r="I9" s="28">
        <v>7001</v>
      </c>
      <c r="J9" s="28">
        <v>34500</v>
      </c>
      <c r="K9" s="28">
        <v>7.43</v>
      </c>
      <c r="L9" s="28">
        <v>17.079999999999998</v>
      </c>
      <c r="M9" s="279">
        <v>9.0002999999999993</v>
      </c>
      <c r="N9" s="279">
        <v>2.3411999999999999E-4</v>
      </c>
      <c r="O9" s="28"/>
      <c r="P9" s="28"/>
      <c r="Q9" s="28"/>
      <c r="W9" s="295" t="s">
        <v>727</v>
      </c>
      <c r="X9" s="295"/>
      <c r="Y9" s="295"/>
      <c r="Z9" s="295"/>
      <c r="AA9" s="295"/>
      <c r="AB9" s="295" t="s">
        <v>728</v>
      </c>
      <c r="AC9" s="295"/>
      <c r="AD9" s="295"/>
    </row>
    <row r="10" spans="2:34" ht="15" thickBot="1" x14ac:dyDescent="0.35">
      <c r="B10" s="277" t="s">
        <v>533</v>
      </c>
      <c r="C10" s="294" t="s">
        <v>534</v>
      </c>
      <c r="D10" s="389" t="s">
        <v>535</v>
      </c>
      <c r="E10" s="390"/>
      <c r="F10" s="390"/>
      <c r="G10" s="391"/>
    </row>
    <row r="11" spans="2:34" ht="15" thickBot="1" x14ac:dyDescent="0.35">
      <c r="B11" s="385">
        <v>0.01</v>
      </c>
      <c r="C11" s="385">
        <v>699.75</v>
      </c>
      <c r="D11" s="394" t="s">
        <v>729</v>
      </c>
      <c r="E11" s="391"/>
      <c r="F11" s="389" t="s">
        <v>723</v>
      </c>
      <c r="G11" s="391"/>
    </row>
    <row r="12" spans="2:34" ht="15" thickBot="1" x14ac:dyDescent="0.35">
      <c r="B12" s="386"/>
      <c r="C12" s="386"/>
      <c r="D12" s="389" t="s">
        <v>541</v>
      </c>
      <c r="E12" s="391"/>
      <c r="F12" s="389" t="s">
        <v>542</v>
      </c>
      <c r="G12" s="391"/>
    </row>
    <row r="13" spans="2:34" x14ac:dyDescent="0.3">
      <c r="B13" s="276"/>
      <c r="C13" s="276"/>
      <c r="D13" s="276"/>
      <c r="E13" s="276"/>
      <c r="F13" s="276"/>
      <c r="G13" s="276"/>
    </row>
    <row r="14" spans="2:34" ht="15" thickBot="1" x14ac:dyDescent="0.35">
      <c r="B14" s="388" t="s">
        <v>529</v>
      </c>
      <c r="C14" s="388"/>
      <c r="D14" s="276"/>
      <c r="E14" s="276"/>
      <c r="F14" s="276"/>
      <c r="G14" s="276"/>
      <c r="I14" s="16" t="s">
        <v>532</v>
      </c>
      <c r="J14" s="16"/>
      <c r="K14" s="392" t="s">
        <v>730</v>
      </c>
      <c r="L14" s="392"/>
      <c r="M14" s="392"/>
      <c r="P14" s="16" t="s">
        <v>532</v>
      </c>
      <c r="Q14" s="16"/>
      <c r="R14" s="392" t="s">
        <v>731</v>
      </c>
      <c r="S14" s="392"/>
      <c r="T14" s="392"/>
      <c r="W14" s="16" t="s">
        <v>532</v>
      </c>
      <c r="X14" s="16"/>
      <c r="Y14" s="393" t="s">
        <v>732</v>
      </c>
      <c r="Z14" s="393"/>
      <c r="AA14" s="393"/>
      <c r="AD14" s="16" t="s">
        <v>532</v>
      </c>
      <c r="AE14" s="16"/>
      <c r="AF14" s="393" t="s">
        <v>727</v>
      </c>
      <c r="AG14" s="393"/>
      <c r="AH14" s="393"/>
    </row>
    <row r="15" spans="2:34" ht="16.2" thickBot="1" x14ac:dyDescent="0.35">
      <c r="B15" s="277" t="s">
        <v>533</v>
      </c>
      <c r="C15" s="294" t="s">
        <v>534</v>
      </c>
      <c r="D15" s="389" t="s">
        <v>535</v>
      </c>
      <c r="E15" s="390"/>
      <c r="F15" s="390"/>
      <c r="G15" s="391"/>
      <c r="I15" s="280" t="s">
        <v>543</v>
      </c>
      <c r="J15" s="281" t="s">
        <v>544</v>
      </c>
      <c r="K15" s="281" t="s">
        <v>545</v>
      </c>
      <c r="L15" s="280" t="s">
        <v>270</v>
      </c>
      <c r="M15" s="280" t="s">
        <v>546</v>
      </c>
      <c r="P15" s="280" t="s">
        <v>543</v>
      </c>
      <c r="Q15" s="281" t="s">
        <v>544</v>
      </c>
      <c r="R15" s="281" t="s">
        <v>545</v>
      </c>
      <c r="S15" s="280" t="s">
        <v>270</v>
      </c>
      <c r="T15" s="280" t="s">
        <v>546</v>
      </c>
      <c r="W15" s="280" t="s">
        <v>543</v>
      </c>
      <c r="X15" s="281" t="s">
        <v>544</v>
      </c>
      <c r="Y15" s="281" t="s">
        <v>545</v>
      </c>
      <c r="Z15" s="280" t="s">
        <v>270</v>
      </c>
      <c r="AA15" s="280" t="s">
        <v>546</v>
      </c>
      <c r="AD15" s="280" t="s">
        <v>543</v>
      </c>
      <c r="AE15" s="281" t="s">
        <v>544</v>
      </c>
      <c r="AF15" s="281" t="s">
        <v>545</v>
      </c>
      <c r="AG15" s="280" t="s">
        <v>270</v>
      </c>
      <c r="AH15" s="280" t="s">
        <v>546</v>
      </c>
    </row>
    <row r="16" spans="2:34" ht="15" thickBot="1" x14ac:dyDescent="0.35">
      <c r="B16" s="385">
        <v>700</v>
      </c>
      <c r="C16" s="385">
        <v>7000</v>
      </c>
      <c r="D16" s="389" t="s">
        <v>547</v>
      </c>
      <c r="E16" s="391"/>
      <c r="F16" s="389" t="s">
        <v>725</v>
      </c>
      <c r="G16" s="391"/>
      <c r="I16" s="21" t="s">
        <v>548</v>
      </c>
      <c r="J16" s="282" t="str">
        <f ca="1">Calibración!G38</f>
        <v/>
      </c>
      <c r="K16" s="282" t="str">
        <f ca="1">Calibración!J38</f>
        <v/>
      </c>
      <c r="L16" s="283" t="e">
        <f ca="1">IF(J16=0,0,IF(J16&lt;=$J$6,$M$6+$N$6*J16+$O$6*J16^2+$P$6*J16^3+$Q$6*J16^4,IF(J16&gt;$J$7,$M$8+$N$8*J16+$O$8*J16^2+$P$8*J16^3+$Q$8*J16^4,$M$7+$N$7*J16+$O$7*J16^2+$P$7*J16^3+$Q$7*J16^4)))</f>
        <v>#VALUE!</v>
      </c>
      <c r="M16" s="283">
        <f ca="1">IF(J16=0,0,IF(J16&lt;=$J$6+5,$K$6,IF(J16&gt;$J$7+10,$K$8,$K$7)))</f>
        <v>26.87</v>
      </c>
      <c r="P16" s="21" t="s">
        <v>548</v>
      </c>
      <c r="Q16" s="282" t="str">
        <f ca="1">Calibración!G38</f>
        <v/>
      </c>
      <c r="R16" s="282" t="str">
        <f ca="1">Calibración!J38</f>
        <v/>
      </c>
      <c r="S16" s="283" t="e">
        <f ca="1">IF(Q16=0,0,IF(Q16&lt;=$J$7,$M$7+$N$7*Q16+$O$7*Q16^2+$P$7*Q16^3+$Q$7*Q16^4,IF(Q16&gt;$J$8,$M$9+$N$9*Q16+$O$9*Q16^2+$P$9*Q16^3+$Q$9*Q16^4,$M$8+$N$8*Q16+$O$8*Q16^2+$P$8*Q16^3+$Q$8*Q16^4)))</f>
        <v>#VALUE!</v>
      </c>
      <c r="T16" s="283">
        <f ca="1">IF(Q16=0,0,IF(Q16&lt;=$J$7+5,$K$7,IF(Q16&gt;$J$8+10,$K$9,$K$8)))</f>
        <v>7.43</v>
      </c>
      <c r="W16" s="21" t="s">
        <v>548</v>
      </c>
      <c r="X16" s="282" t="str">
        <f ca="1">Calibración!G38</f>
        <v/>
      </c>
      <c r="Y16" s="283" t="str">
        <f ca="1">Calibración!J38</f>
        <v/>
      </c>
      <c r="Z16" s="283" t="e">
        <f ca="1">IF(X16=0,0,IF(X16&lt;=$J$8,$M$8+$N$8*X16+$O$8*X16^2+$P$8*X16^3+$Q$8*X16^4,IF(X16&gt;$J$9,$M$9+$N$9*X16+$O$9*X16^2+$P$9*X16^3+$Q$9*X16^4,$M$8+$N$8*X16+$O$8*X16^2+$P$8*X16^3+$Q$8*X16^4)))</f>
        <v>#VALUE!</v>
      </c>
      <c r="AA16" s="283">
        <f ca="1">IF(X16=0,0,IF(X16&lt;=$J$8+5,$K$8,IF(X16&gt;$J$9+10,$K$10,$K$9)))</f>
        <v>0</v>
      </c>
      <c r="AD16" s="21" t="s">
        <v>548</v>
      </c>
      <c r="AE16" s="282" t="str">
        <f ca="1">Calibración!G38</f>
        <v/>
      </c>
      <c r="AF16" s="283" t="str">
        <f ca="1">Calibración!J38</f>
        <v/>
      </c>
      <c r="AG16" s="283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3">
        <f ca="1">IF(AE16=0,0,IF(AE16&lt;=$J$8+5,$K$9,IF(AE16&gt;$J$9+10,$K$11,$K$10)))</f>
        <v>0</v>
      </c>
    </row>
    <row r="17" spans="2:34" ht="15" thickBot="1" x14ac:dyDescent="0.35">
      <c r="B17" s="386"/>
      <c r="C17" s="386"/>
      <c r="D17" s="389" t="s">
        <v>541</v>
      </c>
      <c r="E17" s="391"/>
      <c r="F17" s="389" t="s">
        <v>542</v>
      </c>
      <c r="G17" s="391"/>
      <c r="I17" s="21" t="s">
        <v>549</v>
      </c>
      <c r="J17" s="282" t="str">
        <f ca="1">Calibración!G39</f>
        <v/>
      </c>
      <c r="K17" s="282" t="str">
        <f ca="1">Calibración!J39</f>
        <v/>
      </c>
      <c r="L17" s="283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3">
        <f t="shared" ref="M17:M25" ca="1" si="1">IF(J17=0,0,IF(J17&lt;=$J$6+5,$K$6,IF(J17&gt;$J$7+10,$K$8,$K$7)))</f>
        <v>26.87</v>
      </c>
      <c r="P17" s="21" t="s">
        <v>549</v>
      </c>
      <c r="Q17" s="282" t="str">
        <f ca="1">Calibración!G39</f>
        <v/>
      </c>
      <c r="R17" s="282" t="str">
        <f ca="1">Calibración!J39</f>
        <v/>
      </c>
      <c r="S17" s="283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3">
        <f t="shared" ref="T17:T25" ca="1" si="3">IF(Q17=0,0,IF(Q17&lt;=$J$7+5,$K$7,IF(Q17&gt;$J$8+10,$K$9,$K$8)))</f>
        <v>7.43</v>
      </c>
      <c r="W17" s="21" t="s">
        <v>549</v>
      </c>
      <c r="X17" s="282" t="str">
        <f ca="1">Calibración!G39</f>
        <v/>
      </c>
      <c r="Y17" s="283" t="str">
        <f ca="1">Calibración!J39</f>
        <v/>
      </c>
      <c r="Z17" s="283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3">
        <f t="shared" ref="AA17:AA25" ca="1" si="5">IF(X17=0,0,IF(X17&lt;=$J$8+5,$K$8,IF(X17&gt;$J$9+10,$K$10,$K$9)))</f>
        <v>0</v>
      </c>
      <c r="AD17" s="21" t="s">
        <v>549</v>
      </c>
      <c r="AE17" s="282" t="str">
        <f ca="1">Calibración!G39</f>
        <v/>
      </c>
      <c r="AF17" s="283" t="str">
        <f ca="1">Calibración!J39</f>
        <v/>
      </c>
      <c r="AG17" s="283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3">
        <f t="shared" ref="AH17:AH24" ca="1" si="7">IF(AE17=0,0,IF(AE17&lt;=$J$8+5,$K$9,IF(AE17&gt;$J$9+10,$K$11,$K$10)))</f>
        <v>0</v>
      </c>
    </row>
    <row r="18" spans="2:34" x14ac:dyDescent="0.3">
      <c r="B18" s="284"/>
      <c r="I18" s="21" t="s">
        <v>550</v>
      </c>
      <c r="J18" s="282" t="str">
        <f ca="1">Calibración!G40</f>
        <v/>
      </c>
      <c r="K18" s="282" t="str">
        <f ca="1">Calibración!J40</f>
        <v/>
      </c>
      <c r="L18" s="283" t="e">
        <f t="shared" ca="1" si="0"/>
        <v>#VALUE!</v>
      </c>
      <c r="M18" s="283">
        <f t="shared" ca="1" si="1"/>
        <v>26.87</v>
      </c>
      <c r="P18" s="21" t="s">
        <v>550</v>
      </c>
      <c r="Q18" s="282" t="str">
        <f ca="1">Calibración!G40</f>
        <v/>
      </c>
      <c r="R18" s="282" t="str">
        <f ca="1">Calibración!J40</f>
        <v/>
      </c>
      <c r="S18" s="283" t="e">
        <f t="shared" ca="1" si="2"/>
        <v>#VALUE!</v>
      </c>
      <c r="T18" s="283">
        <f t="shared" ca="1" si="3"/>
        <v>7.43</v>
      </c>
      <c r="W18" s="21" t="s">
        <v>550</v>
      </c>
      <c r="X18" s="282" t="str">
        <f ca="1">Calibración!G40</f>
        <v/>
      </c>
      <c r="Y18" s="283" t="str">
        <f ca="1">Calibración!J40</f>
        <v/>
      </c>
      <c r="Z18" s="283" t="e">
        <f t="shared" ca="1" si="4"/>
        <v>#VALUE!</v>
      </c>
      <c r="AA18" s="283">
        <f t="shared" ca="1" si="5"/>
        <v>0</v>
      </c>
      <c r="AD18" s="21" t="s">
        <v>550</v>
      </c>
      <c r="AE18" s="282" t="str">
        <f ca="1">Calibración!G40</f>
        <v/>
      </c>
      <c r="AF18" s="283" t="str">
        <f ca="1">Calibración!J40</f>
        <v/>
      </c>
      <c r="AG18" s="283" t="e">
        <f t="shared" ca="1" si="6"/>
        <v>#VALUE!</v>
      </c>
      <c r="AH18" s="283">
        <f t="shared" ca="1" si="7"/>
        <v>0</v>
      </c>
    </row>
    <row r="19" spans="2:34" ht="15" thickBot="1" x14ac:dyDescent="0.35">
      <c r="B19" s="388" t="s">
        <v>529</v>
      </c>
      <c r="C19" s="388"/>
      <c r="D19" s="276"/>
      <c r="E19" s="276"/>
      <c r="F19" s="276"/>
      <c r="G19" s="276"/>
      <c r="I19" s="21" t="s">
        <v>551</v>
      </c>
      <c r="J19" s="282" t="str">
        <f ca="1">Calibración!G41</f>
        <v/>
      </c>
      <c r="K19" s="282" t="str">
        <f ca="1">Calibración!J41</f>
        <v/>
      </c>
      <c r="L19" s="283" t="e">
        <f t="shared" ca="1" si="0"/>
        <v>#VALUE!</v>
      </c>
      <c r="M19" s="283">
        <f t="shared" ca="1" si="1"/>
        <v>26.87</v>
      </c>
      <c r="P19" s="21" t="s">
        <v>551</v>
      </c>
      <c r="Q19" s="282" t="str">
        <f ca="1">Calibración!G41</f>
        <v/>
      </c>
      <c r="R19" s="282" t="str">
        <f ca="1">Calibración!J41</f>
        <v/>
      </c>
      <c r="S19" s="283" t="e">
        <f t="shared" ca="1" si="2"/>
        <v>#VALUE!</v>
      </c>
      <c r="T19" s="283">
        <f t="shared" ca="1" si="3"/>
        <v>7.43</v>
      </c>
      <c r="W19" s="21" t="s">
        <v>551</v>
      </c>
      <c r="X19" s="282" t="str">
        <f ca="1">Calibración!G41</f>
        <v/>
      </c>
      <c r="Y19" s="283" t="str">
        <f ca="1">Calibración!J41</f>
        <v/>
      </c>
      <c r="Z19" s="283" t="e">
        <f t="shared" ca="1" si="4"/>
        <v>#VALUE!</v>
      </c>
      <c r="AA19" s="283">
        <f t="shared" ca="1" si="5"/>
        <v>0</v>
      </c>
      <c r="AD19" s="21" t="s">
        <v>551</v>
      </c>
      <c r="AE19" s="282" t="str">
        <f ca="1">Calibración!G41</f>
        <v/>
      </c>
      <c r="AF19" s="283" t="str">
        <f ca="1">Calibración!J41</f>
        <v/>
      </c>
      <c r="AG19" s="283" t="e">
        <f t="shared" ca="1" si="6"/>
        <v>#VALUE!</v>
      </c>
      <c r="AH19" s="283">
        <f t="shared" ca="1" si="7"/>
        <v>0</v>
      </c>
    </row>
    <row r="20" spans="2:34" ht="15" thickBot="1" x14ac:dyDescent="0.35">
      <c r="B20" s="277" t="s">
        <v>533</v>
      </c>
      <c r="C20" s="294" t="s">
        <v>534</v>
      </c>
      <c r="D20" s="389" t="s">
        <v>535</v>
      </c>
      <c r="E20" s="390"/>
      <c r="F20" s="390"/>
      <c r="G20" s="391"/>
      <c r="I20" s="21" t="s">
        <v>552</v>
      </c>
      <c r="J20" s="282" t="str">
        <f ca="1">Calibración!G42</f>
        <v/>
      </c>
      <c r="K20" s="282" t="str">
        <f ca="1">Calibración!J42</f>
        <v/>
      </c>
      <c r="L20" s="283" t="e">
        <f t="shared" ca="1" si="0"/>
        <v>#VALUE!</v>
      </c>
      <c r="M20" s="283">
        <f t="shared" ca="1" si="1"/>
        <v>26.87</v>
      </c>
      <c r="P20" s="21" t="s">
        <v>552</v>
      </c>
      <c r="Q20" s="282" t="str">
        <f ca="1">Calibración!G42</f>
        <v/>
      </c>
      <c r="R20" s="282" t="str">
        <f ca="1">Calibración!J42</f>
        <v/>
      </c>
      <c r="S20" s="283" t="e">
        <f t="shared" ca="1" si="2"/>
        <v>#VALUE!</v>
      </c>
      <c r="T20" s="283">
        <f t="shared" ca="1" si="3"/>
        <v>7.43</v>
      </c>
      <c r="W20" s="21" t="s">
        <v>552</v>
      </c>
      <c r="X20" s="282" t="str">
        <f ca="1">Calibración!G42</f>
        <v/>
      </c>
      <c r="Y20" s="283" t="str">
        <f ca="1">Calibración!J42</f>
        <v/>
      </c>
      <c r="Z20" s="283" t="e">
        <f t="shared" ca="1" si="4"/>
        <v>#VALUE!</v>
      </c>
      <c r="AA20" s="283">
        <f t="shared" ca="1" si="5"/>
        <v>0</v>
      </c>
      <c r="AD20" s="21" t="s">
        <v>552</v>
      </c>
      <c r="AE20" s="282" t="str">
        <f ca="1">Calibración!G42</f>
        <v/>
      </c>
      <c r="AF20" s="283" t="str">
        <f ca="1">Calibración!J42</f>
        <v/>
      </c>
      <c r="AG20" s="283" t="e">
        <f t="shared" ca="1" si="6"/>
        <v>#VALUE!</v>
      </c>
      <c r="AH20" s="283">
        <f t="shared" ca="1" si="7"/>
        <v>0</v>
      </c>
    </row>
    <row r="21" spans="2:34" ht="15" thickBot="1" x14ac:dyDescent="0.35">
      <c r="B21" s="385">
        <v>7001</v>
      </c>
      <c r="C21" s="385">
        <v>34500</v>
      </c>
      <c r="D21" s="389" t="s">
        <v>553</v>
      </c>
      <c r="E21" s="391"/>
      <c r="F21" s="389" t="s">
        <v>727</v>
      </c>
      <c r="G21" s="391"/>
      <c r="I21" s="21" t="s">
        <v>554</v>
      </c>
      <c r="J21" s="282" t="str">
        <f ca="1">Calibración!G43</f>
        <v/>
      </c>
      <c r="K21" s="282" t="str">
        <f ca="1">Calibración!J43</f>
        <v/>
      </c>
      <c r="L21" s="283" t="e">
        <f t="shared" ca="1" si="0"/>
        <v>#VALUE!</v>
      </c>
      <c r="M21" s="283">
        <f t="shared" ca="1" si="1"/>
        <v>26.87</v>
      </c>
      <c r="P21" s="21" t="s">
        <v>554</v>
      </c>
      <c r="Q21" s="282" t="str">
        <f ca="1">Calibración!G43</f>
        <v/>
      </c>
      <c r="R21" s="282" t="str">
        <f ca="1">Calibración!J43</f>
        <v/>
      </c>
      <c r="S21" s="283" t="e">
        <f t="shared" ca="1" si="2"/>
        <v>#VALUE!</v>
      </c>
      <c r="T21" s="283">
        <f t="shared" ca="1" si="3"/>
        <v>7.43</v>
      </c>
      <c r="W21" s="21" t="s">
        <v>554</v>
      </c>
      <c r="X21" s="282" t="str">
        <f ca="1">Calibración!G43</f>
        <v/>
      </c>
      <c r="Y21" s="283" t="str">
        <f ca="1">Calibración!J43</f>
        <v/>
      </c>
      <c r="Z21" s="283" t="e">
        <f t="shared" ca="1" si="4"/>
        <v>#VALUE!</v>
      </c>
      <c r="AA21" s="283">
        <f t="shared" ca="1" si="5"/>
        <v>0</v>
      </c>
      <c r="AD21" s="21" t="s">
        <v>554</v>
      </c>
      <c r="AE21" s="282" t="str">
        <f ca="1">Calibración!G43</f>
        <v/>
      </c>
      <c r="AF21" s="283" t="str">
        <f ca="1">Calibración!J43</f>
        <v/>
      </c>
      <c r="AG21" s="283" t="e">
        <f t="shared" ca="1" si="6"/>
        <v>#VALUE!</v>
      </c>
      <c r="AH21" s="283">
        <f t="shared" ca="1" si="7"/>
        <v>0</v>
      </c>
    </row>
    <row r="22" spans="2:34" ht="15" thickBot="1" x14ac:dyDescent="0.35">
      <c r="B22" s="386"/>
      <c r="C22" s="386"/>
      <c r="D22" s="389" t="s">
        <v>541</v>
      </c>
      <c r="E22" s="391"/>
      <c r="F22" s="389" t="s">
        <v>542</v>
      </c>
      <c r="G22" s="391"/>
      <c r="I22" s="21" t="s">
        <v>555</v>
      </c>
      <c r="J22" s="282" t="str">
        <f ca="1">Calibración!G44</f>
        <v/>
      </c>
      <c r="K22" s="282" t="str">
        <f ca="1">Calibración!J44</f>
        <v/>
      </c>
      <c r="L22" s="283" t="e">
        <f t="shared" ca="1" si="0"/>
        <v>#VALUE!</v>
      </c>
      <c r="M22" s="283">
        <f t="shared" ca="1" si="1"/>
        <v>26.87</v>
      </c>
      <c r="P22" s="21" t="s">
        <v>555</v>
      </c>
      <c r="Q22" s="282" t="str">
        <f ca="1">Calibración!G44</f>
        <v/>
      </c>
      <c r="R22" s="282" t="str">
        <f ca="1">Calibración!J44</f>
        <v/>
      </c>
      <c r="S22" s="283" t="e">
        <f t="shared" ca="1" si="2"/>
        <v>#VALUE!</v>
      </c>
      <c r="T22" s="283">
        <f t="shared" ca="1" si="3"/>
        <v>7.43</v>
      </c>
      <c r="W22" s="21" t="s">
        <v>555</v>
      </c>
      <c r="X22" s="282" t="str">
        <f ca="1">Calibración!G44</f>
        <v/>
      </c>
      <c r="Y22" s="283" t="str">
        <f ca="1">Calibración!J44</f>
        <v/>
      </c>
      <c r="Z22" s="283" t="e">
        <f t="shared" ca="1" si="4"/>
        <v>#VALUE!</v>
      </c>
      <c r="AA22" s="283">
        <f t="shared" ca="1" si="5"/>
        <v>0</v>
      </c>
      <c r="AD22" s="21" t="s">
        <v>555</v>
      </c>
      <c r="AE22" s="282" t="str">
        <f ca="1">Calibración!G44</f>
        <v/>
      </c>
      <c r="AF22" s="283" t="str">
        <f ca="1">Calibración!J44</f>
        <v/>
      </c>
      <c r="AG22" s="283" t="e">
        <f t="shared" ca="1" si="6"/>
        <v>#VALUE!</v>
      </c>
      <c r="AH22" s="283">
        <f t="shared" ca="1" si="7"/>
        <v>0</v>
      </c>
    </row>
    <row r="23" spans="2:34" x14ac:dyDescent="0.3">
      <c r="I23" s="21" t="s">
        <v>556</v>
      </c>
      <c r="J23" s="282" t="str">
        <f ca="1">Calibración!G45</f>
        <v/>
      </c>
      <c r="K23" s="282" t="str">
        <f ca="1">Calibración!J45</f>
        <v/>
      </c>
      <c r="L23" s="283" t="e">
        <f t="shared" ca="1" si="0"/>
        <v>#VALUE!</v>
      </c>
      <c r="M23" s="283">
        <f t="shared" ca="1" si="1"/>
        <v>26.87</v>
      </c>
      <c r="P23" s="21" t="s">
        <v>556</v>
      </c>
      <c r="Q23" s="282" t="str">
        <f ca="1">Calibración!G45</f>
        <v/>
      </c>
      <c r="R23" s="282" t="str">
        <f ca="1">Calibración!J45</f>
        <v/>
      </c>
      <c r="S23" s="283" t="e">
        <f t="shared" ca="1" si="2"/>
        <v>#VALUE!</v>
      </c>
      <c r="T23" s="283">
        <f t="shared" ca="1" si="3"/>
        <v>7.43</v>
      </c>
      <c r="W23" s="21" t="s">
        <v>556</v>
      </c>
      <c r="X23" s="282" t="str">
        <f ca="1">Calibración!G45</f>
        <v/>
      </c>
      <c r="Y23" s="283" t="str">
        <f ca="1">Calibración!J45</f>
        <v/>
      </c>
      <c r="Z23" s="283" t="e">
        <f t="shared" ca="1" si="4"/>
        <v>#VALUE!</v>
      </c>
      <c r="AA23" s="283">
        <f t="shared" ca="1" si="5"/>
        <v>0</v>
      </c>
      <c r="AD23" s="21" t="s">
        <v>556</v>
      </c>
      <c r="AE23" s="282" t="str">
        <f ca="1">Calibración!G45</f>
        <v/>
      </c>
      <c r="AF23" s="283" t="str">
        <f ca="1">Calibración!J45</f>
        <v/>
      </c>
      <c r="AG23" s="283" t="e">
        <f t="shared" ca="1" si="6"/>
        <v>#VALUE!</v>
      </c>
      <c r="AH23" s="283">
        <f t="shared" ca="1" si="7"/>
        <v>0</v>
      </c>
    </row>
    <row r="24" spans="2:34" x14ac:dyDescent="0.3">
      <c r="I24" s="21" t="s">
        <v>557</v>
      </c>
      <c r="J24" s="282" t="str">
        <f ca="1">Calibración!G46</f>
        <v/>
      </c>
      <c r="K24" s="282" t="str">
        <f ca="1">Calibración!J46</f>
        <v/>
      </c>
      <c r="L24" s="283" t="e">
        <f t="shared" ca="1" si="0"/>
        <v>#VALUE!</v>
      </c>
      <c r="M24" s="283">
        <f t="shared" ca="1" si="1"/>
        <v>26.87</v>
      </c>
      <c r="P24" s="21" t="s">
        <v>557</v>
      </c>
      <c r="Q24" s="282" t="str">
        <f ca="1">Calibración!G46</f>
        <v/>
      </c>
      <c r="R24" s="282" t="str">
        <f ca="1">Calibración!J46</f>
        <v/>
      </c>
      <c r="S24" s="283" t="e">
        <f t="shared" ca="1" si="2"/>
        <v>#VALUE!</v>
      </c>
      <c r="T24" s="283">
        <f t="shared" ca="1" si="3"/>
        <v>7.43</v>
      </c>
      <c r="W24" s="21" t="s">
        <v>557</v>
      </c>
      <c r="X24" s="282" t="str">
        <f ca="1">Calibración!G46</f>
        <v/>
      </c>
      <c r="Y24" s="283" t="str">
        <f ca="1">Calibración!J46</f>
        <v/>
      </c>
      <c r="Z24" s="283" t="e">
        <f t="shared" ca="1" si="4"/>
        <v>#VALUE!</v>
      </c>
      <c r="AA24" s="283">
        <f t="shared" ca="1" si="5"/>
        <v>0</v>
      </c>
      <c r="AD24" s="21" t="s">
        <v>557</v>
      </c>
      <c r="AE24" s="282" t="str">
        <f ca="1">Calibración!G46</f>
        <v/>
      </c>
      <c r="AF24" s="283" t="str">
        <f ca="1">Calibración!J46</f>
        <v/>
      </c>
      <c r="AG24" s="283" t="e">
        <f t="shared" ca="1" si="6"/>
        <v>#VALUE!</v>
      </c>
      <c r="AH24" s="283">
        <f t="shared" ca="1" si="7"/>
        <v>0</v>
      </c>
    </row>
    <row r="25" spans="2:34" x14ac:dyDescent="0.3">
      <c r="I25" s="21" t="s">
        <v>558</v>
      </c>
      <c r="J25" s="282" t="str">
        <f ca="1">Calibración!G47</f>
        <v/>
      </c>
      <c r="K25" s="282" t="str">
        <f ca="1">Calibración!J47</f>
        <v/>
      </c>
      <c r="L25" s="283" t="e">
        <f t="shared" ca="1" si="0"/>
        <v>#VALUE!</v>
      </c>
      <c r="M25" s="283">
        <f t="shared" ca="1" si="1"/>
        <v>26.87</v>
      </c>
      <c r="P25" s="21" t="s">
        <v>558</v>
      </c>
      <c r="Q25" s="282" t="str">
        <f ca="1">Calibración!G47</f>
        <v/>
      </c>
      <c r="R25" s="282" t="str">
        <f ca="1">Calibración!J47</f>
        <v/>
      </c>
      <c r="S25" s="283" t="e">
        <f t="shared" ca="1" si="2"/>
        <v>#VALUE!</v>
      </c>
      <c r="T25" s="283">
        <f t="shared" ca="1" si="3"/>
        <v>7.43</v>
      </c>
      <c r="W25" s="21" t="s">
        <v>558</v>
      </c>
      <c r="X25" s="282" t="str">
        <f ca="1">Calibración!G47</f>
        <v/>
      </c>
      <c r="Y25" s="283" t="str">
        <f ca="1">Calibración!J47</f>
        <v/>
      </c>
      <c r="Z25" s="283" t="e">
        <f t="shared" ca="1" si="4"/>
        <v>#VALUE!</v>
      </c>
      <c r="AA25" s="283">
        <f t="shared" ca="1" si="5"/>
        <v>0</v>
      </c>
      <c r="AD25" s="21" t="s">
        <v>558</v>
      </c>
      <c r="AE25" s="282" t="str">
        <f ca="1">Calibración!G47</f>
        <v/>
      </c>
      <c r="AF25" s="283" t="str">
        <f ca="1">Calibración!J47</f>
        <v/>
      </c>
      <c r="AG25" s="283" t="e">
        <f t="shared" ca="1" si="6"/>
        <v>#VALUE!</v>
      </c>
      <c r="AH25" s="283">
        <f t="shared" ref="AH25" ca="1" si="8">IF(AE25=0,0,IF(AE25&lt;=$J$8+5,$K$9,IF(AE25&gt;$J$9+10,$K$11,$K$10)))</f>
        <v>0</v>
      </c>
    </row>
    <row r="26" spans="2:34" ht="15" thickBot="1" x14ac:dyDescent="0.35">
      <c r="I26" s="387" t="s">
        <v>529</v>
      </c>
      <c r="J26" s="387"/>
      <c r="P26" s="387" t="s">
        <v>529</v>
      </c>
      <c r="Q26" s="387"/>
      <c r="W26" s="387" t="s">
        <v>529</v>
      </c>
      <c r="X26" s="387"/>
      <c r="AD26" s="387" t="s">
        <v>529</v>
      </c>
      <c r="AE26" s="387"/>
    </row>
    <row r="27" spans="2:34" ht="15" thickBot="1" x14ac:dyDescent="0.35">
      <c r="I27" s="277" t="s">
        <v>533</v>
      </c>
      <c r="J27" s="294" t="s">
        <v>534</v>
      </c>
      <c r="P27" s="277" t="s">
        <v>533</v>
      </c>
      <c r="Q27" s="294" t="s">
        <v>534</v>
      </c>
      <c r="W27" s="277" t="s">
        <v>533</v>
      </c>
      <c r="X27" s="294" t="s">
        <v>534</v>
      </c>
      <c r="AD27" s="277" t="s">
        <v>533</v>
      </c>
      <c r="AE27" s="294" t="s">
        <v>534</v>
      </c>
    </row>
    <row r="28" spans="2:34" x14ac:dyDescent="0.3">
      <c r="I28" s="385">
        <v>-82.74</v>
      </c>
      <c r="J28" s="385">
        <v>-0.06</v>
      </c>
      <c r="P28" s="385">
        <v>0.01</v>
      </c>
      <c r="Q28" s="385">
        <v>699.75</v>
      </c>
      <c r="W28" s="385">
        <v>700</v>
      </c>
      <c r="X28" s="385">
        <v>7000</v>
      </c>
      <c r="AD28" s="385">
        <v>7001</v>
      </c>
      <c r="AE28" s="385">
        <v>34500</v>
      </c>
    </row>
    <row r="29" spans="2:34" ht="15" thickBot="1" x14ac:dyDescent="0.35">
      <c r="I29" s="386"/>
      <c r="J29" s="386"/>
      <c r="P29" s="386"/>
      <c r="Q29" s="386"/>
      <c r="W29" s="386"/>
      <c r="X29" s="386"/>
      <c r="AD29" s="386"/>
      <c r="AE29" s="386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zoomScaleNormal="40" zoomScaleSheetLayoutView="100" workbookViewId="0">
      <selection activeCell="A16" sqref="A16:X16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99" t="s">
        <v>456</v>
      </c>
      <c r="B5" s="399"/>
      <c r="C5" s="399"/>
      <c r="D5" s="399"/>
      <c r="E5" s="399"/>
      <c r="F5" s="399"/>
      <c r="G5" s="399"/>
      <c r="H5" s="399"/>
      <c r="I5" s="399"/>
      <c r="J5" s="399"/>
      <c r="K5" s="399"/>
      <c r="L5" s="399"/>
      <c r="M5" s="399"/>
      <c r="N5" s="399"/>
      <c r="O5" s="399"/>
      <c r="P5" s="399"/>
      <c r="Q5" s="399"/>
      <c r="R5" s="399"/>
      <c r="S5" s="399"/>
      <c r="T5" s="399"/>
      <c r="U5" s="399"/>
      <c r="V5" s="399"/>
      <c r="W5" s="399"/>
      <c r="X5" s="39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0" t="s">
        <v>441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6" t="s">
        <v>98</v>
      </c>
      <c r="B8" s="357"/>
      <c r="C8" s="357"/>
      <c r="D8" s="357"/>
      <c r="E8" s="357"/>
      <c r="F8" s="358"/>
      <c r="G8" s="356" t="s">
        <v>4</v>
      </c>
      <c r="H8" s="357"/>
      <c r="I8" s="358"/>
      <c r="J8" s="359" t="s">
        <v>101</v>
      </c>
      <c r="K8" s="360"/>
      <c r="L8" s="360"/>
      <c r="M8" s="360"/>
      <c r="N8" s="361"/>
      <c r="O8" s="356" t="s">
        <v>442</v>
      </c>
      <c r="P8" s="357"/>
      <c r="Q8" s="357"/>
      <c r="R8" s="357"/>
      <c r="S8" s="357"/>
      <c r="T8" s="358"/>
      <c r="U8" s="359" t="s">
        <v>443</v>
      </c>
      <c r="V8" s="360"/>
      <c r="W8" s="360"/>
      <c r="X8" s="361"/>
    </row>
    <row r="9" spans="1:24" x14ac:dyDescent="0.3">
      <c r="A9" s="349" t="s">
        <v>451</v>
      </c>
      <c r="B9" s="350" t="s">
        <v>451</v>
      </c>
      <c r="C9" s="350" t="s">
        <v>451</v>
      </c>
      <c r="D9" s="350" t="s">
        <v>451</v>
      </c>
      <c r="E9" s="350" t="s">
        <v>451</v>
      </c>
      <c r="F9" s="351" t="s">
        <v>451</v>
      </c>
      <c r="G9" s="349" t="s">
        <v>285</v>
      </c>
      <c r="H9" s="350" t="s">
        <v>285</v>
      </c>
      <c r="I9" s="351" t="s">
        <v>285</v>
      </c>
      <c r="J9" s="352" t="s">
        <v>675</v>
      </c>
      <c r="K9" s="353" t="s">
        <v>453</v>
      </c>
      <c r="L9" s="353">
        <v>43368</v>
      </c>
      <c r="M9" s="353" t="s">
        <v>452</v>
      </c>
      <c r="N9" s="354" t="s">
        <v>453</v>
      </c>
      <c r="O9" s="349" t="s">
        <v>453</v>
      </c>
      <c r="P9" s="350" t="s">
        <v>453</v>
      </c>
      <c r="Q9" s="350" t="s">
        <v>453</v>
      </c>
      <c r="R9" s="350" t="s">
        <v>453</v>
      </c>
      <c r="S9" s="350" t="s">
        <v>453</v>
      </c>
      <c r="T9" s="351" t="s">
        <v>453</v>
      </c>
      <c r="U9" s="352">
        <v>44795</v>
      </c>
      <c r="V9" s="353" t="s">
        <v>452</v>
      </c>
      <c r="W9" s="353" t="s">
        <v>453</v>
      </c>
      <c r="X9" s="354">
        <v>43368</v>
      </c>
    </row>
    <row r="10" spans="1:24" ht="15" customHeight="1" x14ac:dyDescent="0.3">
      <c r="A10" s="349" t="s">
        <v>451</v>
      </c>
      <c r="B10" s="350" t="s">
        <v>451</v>
      </c>
      <c r="C10" s="350" t="s">
        <v>451</v>
      </c>
      <c r="D10" s="350" t="s">
        <v>451</v>
      </c>
      <c r="E10" s="350" t="s">
        <v>451</v>
      </c>
      <c r="F10" s="351" t="s">
        <v>451</v>
      </c>
      <c r="G10" s="349" t="s">
        <v>293</v>
      </c>
      <c r="H10" s="350" t="s">
        <v>293</v>
      </c>
      <c r="I10" s="351" t="s">
        <v>293</v>
      </c>
      <c r="J10" s="352" t="s">
        <v>676</v>
      </c>
      <c r="K10" s="353" t="s">
        <v>453</v>
      </c>
      <c r="L10" s="353">
        <v>43369</v>
      </c>
      <c r="M10" s="353" t="s">
        <v>677</v>
      </c>
      <c r="N10" s="354" t="s">
        <v>453</v>
      </c>
      <c r="O10" s="349" t="s">
        <v>453</v>
      </c>
      <c r="P10" s="350" t="s">
        <v>453</v>
      </c>
      <c r="Q10" s="350" t="s">
        <v>453</v>
      </c>
      <c r="R10" s="350" t="s">
        <v>453</v>
      </c>
      <c r="S10" s="350" t="s">
        <v>453</v>
      </c>
      <c r="T10" s="351" t="s">
        <v>453</v>
      </c>
      <c r="U10" s="352">
        <v>44796</v>
      </c>
      <c r="V10" s="353" t="s">
        <v>677</v>
      </c>
      <c r="W10" s="353" t="s">
        <v>453</v>
      </c>
      <c r="X10" s="354">
        <v>43369</v>
      </c>
    </row>
    <row r="11" spans="1:24" ht="15" customHeight="1" x14ac:dyDescent="0.3">
      <c r="A11" s="349" t="s">
        <v>303</v>
      </c>
      <c r="B11" s="350" t="s">
        <v>451</v>
      </c>
      <c r="C11" s="350" t="s">
        <v>451</v>
      </c>
      <c r="D11" s="350" t="s">
        <v>451</v>
      </c>
      <c r="E11" s="350" t="s">
        <v>451</v>
      </c>
      <c r="F11" s="351" t="s">
        <v>451</v>
      </c>
      <c r="G11" s="349" t="s">
        <v>294</v>
      </c>
      <c r="H11" s="350" t="s">
        <v>294</v>
      </c>
      <c r="I11" s="351" t="s">
        <v>294</v>
      </c>
      <c r="J11" s="352" t="s">
        <v>505</v>
      </c>
      <c r="K11" s="353" t="s">
        <v>455</v>
      </c>
      <c r="L11" s="353">
        <v>43392</v>
      </c>
      <c r="M11" s="353" t="s">
        <v>454</v>
      </c>
      <c r="N11" s="354" t="s">
        <v>455</v>
      </c>
      <c r="O11" s="349" t="s">
        <v>455</v>
      </c>
      <c r="P11" s="350" t="s">
        <v>455</v>
      </c>
      <c r="Q11" s="350" t="s">
        <v>455</v>
      </c>
      <c r="R11" s="350" t="s">
        <v>455</v>
      </c>
      <c r="S11" s="350" t="s">
        <v>455</v>
      </c>
      <c r="T11" s="351" t="s">
        <v>455</v>
      </c>
      <c r="U11" s="352">
        <v>44083</v>
      </c>
      <c r="V11" s="353" t="s">
        <v>454</v>
      </c>
      <c r="W11" s="353" t="s">
        <v>455</v>
      </c>
      <c r="X11" s="354">
        <v>43392</v>
      </c>
    </row>
    <row r="12" spans="1:24" ht="15" customHeight="1" x14ac:dyDescent="0.3">
      <c r="A12" s="349" t="s">
        <v>469</v>
      </c>
      <c r="B12" s="350" t="s">
        <v>451</v>
      </c>
      <c r="C12" s="350" t="s">
        <v>451</v>
      </c>
      <c r="D12" s="350" t="s">
        <v>451</v>
      </c>
      <c r="E12" s="350" t="s">
        <v>451</v>
      </c>
      <c r="F12" s="351" t="s">
        <v>451</v>
      </c>
      <c r="G12" s="349" t="s">
        <v>465</v>
      </c>
      <c r="H12" s="350" t="s">
        <v>294</v>
      </c>
      <c r="I12" s="351" t="s">
        <v>294</v>
      </c>
      <c r="J12" s="352" t="s">
        <v>687</v>
      </c>
      <c r="K12" s="353" t="s">
        <v>455</v>
      </c>
      <c r="L12" s="353">
        <v>43393</v>
      </c>
      <c r="M12" s="353" t="s">
        <v>470</v>
      </c>
      <c r="N12" s="354" t="s">
        <v>455</v>
      </c>
      <c r="O12" s="349" t="s">
        <v>455</v>
      </c>
      <c r="P12" s="350" t="s">
        <v>455</v>
      </c>
      <c r="Q12" s="350" t="s">
        <v>455</v>
      </c>
      <c r="R12" s="350" t="s">
        <v>455</v>
      </c>
      <c r="S12" s="350" t="s">
        <v>455</v>
      </c>
      <c r="T12" s="351" t="s">
        <v>455</v>
      </c>
      <c r="U12" s="352">
        <v>44542</v>
      </c>
      <c r="V12" s="353" t="s">
        <v>470</v>
      </c>
      <c r="W12" s="353" t="s">
        <v>455</v>
      </c>
      <c r="X12" s="354">
        <v>43393</v>
      </c>
    </row>
    <row r="13" spans="1:24" x14ac:dyDescent="0.3">
      <c r="A13" s="349" t="s">
        <v>678</v>
      </c>
      <c r="B13" s="350"/>
      <c r="C13" s="350"/>
      <c r="D13" s="350"/>
      <c r="E13" s="350"/>
      <c r="F13" s="351"/>
      <c r="G13" s="349" t="s">
        <v>107</v>
      </c>
      <c r="H13" s="350" t="s">
        <v>294</v>
      </c>
      <c r="I13" s="351" t="s">
        <v>294</v>
      </c>
      <c r="J13" s="352" t="s">
        <v>679</v>
      </c>
      <c r="K13" s="353" t="s">
        <v>455</v>
      </c>
      <c r="L13" s="353">
        <v>43394</v>
      </c>
      <c r="M13" s="353" t="s">
        <v>474</v>
      </c>
      <c r="N13" s="354" t="s">
        <v>455</v>
      </c>
      <c r="O13" s="349" t="s">
        <v>455</v>
      </c>
      <c r="P13" s="350" t="s">
        <v>455</v>
      </c>
      <c r="Q13" s="350" t="s">
        <v>455</v>
      </c>
      <c r="R13" s="350" t="s">
        <v>455</v>
      </c>
      <c r="S13" s="350" t="s">
        <v>455</v>
      </c>
      <c r="T13" s="351" t="s">
        <v>455</v>
      </c>
      <c r="U13" s="352">
        <v>44158</v>
      </c>
      <c r="V13" s="353" t="s">
        <v>474</v>
      </c>
      <c r="W13" s="353" t="s">
        <v>455</v>
      </c>
      <c r="X13" s="354">
        <v>43394</v>
      </c>
    </row>
    <row r="14" spans="1:24" x14ac:dyDescent="0.3">
      <c r="A14" s="349" t="s">
        <v>678</v>
      </c>
      <c r="B14" s="350"/>
      <c r="C14" s="350"/>
      <c r="D14" s="350"/>
      <c r="E14" s="350"/>
      <c r="F14" s="351"/>
      <c r="G14" s="349" t="s">
        <v>109</v>
      </c>
      <c r="H14" s="350" t="s">
        <v>294</v>
      </c>
      <c r="I14" s="351" t="s">
        <v>294</v>
      </c>
      <c r="J14" s="352" t="s">
        <v>680</v>
      </c>
      <c r="K14" s="353" t="s">
        <v>455</v>
      </c>
      <c r="L14" s="353">
        <v>43394</v>
      </c>
      <c r="M14" s="353" t="s">
        <v>474</v>
      </c>
      <c r="N14" s="354" t="s">
        <v>455</v>
      </c>
      <c r="O14" s="349" t="s">
        <v>455</v>
      </c>
      <c r="P14" s="350" t="s">
        <v>455</v>
      </c>
      <c r="Q14" s="350" t="s">
        <v>455</v>
      </c>
      <c r="R14" s="350" t="s">
        <v>455</v>
      </c>
      <c r="S14" s="350" t="s">
        <v>455</v>
      </c>
      <c r="T14" s="351" t="s">
        <v>455</v>
      </c>
      <c r="U14" s="352">
        <v>44331</v>
      </c>
      <c r="V14" s="353" t="s">
        <v>474</v>
      </c>
      <c r="W14" s="353" t="s">
        <v>455</v>
      </c>
      <c r="X14" s="354">
        <v>43394</v>
      </c>
    </row>
    <row r="15" spans="1:24" x14ac:dyDescent="0.3">
      <c r="A15" s="349" t="s">
        <v>678</v>
      </c>
      <c r="B15" s="350"/>
      <c r="C15" s="350"/>
      <c r="D15" s="350"/>
      <c r="E15" s="350"/>
      <c r="F15" s="351"/>
      <c r="G15" s="349" t="s">
        <v>111</v>
      </c>
      <c r="H15" s="350" t="s">
        <v>294</v>
      </c>
      <c r="I15" s="351" t="s">
        <v>294</v>
      </c>
      <c r="J15" s="352" t="s">
        <v>681</v>
      </c>
      <c r="K15" s="353" t="s">
        <v>455</v>
      </c>
      <c r="L15" s="353">
        <v>43394</v>
      </c>
      <c r="M15" s="353" t="s">
        <v>474</v>
      </c>
      <c r="N15" s="354" t="s">
        <v>455</v>
      </c>
      <c r="O15" s="349" t="s">
        <v>455</v>
      </c>
      <c r="P15" s="350" t="s">
        <v>455</v>
      </c>
      <c r="Q15" s="350" t="s">
        <v>455</v>
      </c>
      <c r="R15" s="350" t="s">
        <v>455</v>
      </c>
      <c r="S15" s="350" t="s">
        <v>455</v>
      </c>
      <c r="T15" s="351" t="s">
        <v>455</v>
      </c>
      <c r="U15" s="352">
        <v>44331</v>
      </c>
      <c r="V15" s="353" t="s">
        <v>474</v>
      </c>
      <c r="W15" s="353" t="s">
        <v>455</v>
      </c>
      <c r="X15" s="354">
        <v>43394</v>
      </c>
    </row>
    <row r="16" spans="1:24" x14ac:dyDescent="0.3">
      <c r="A16" s="349" t="s">
        <v>678</v>
      </c>
      <c r="B16" s="350"/>
      <c r="C16" s="350"/>
      <c r="D16" s="350"/>
      <c r="E16" s="350"/>
      <c r="F16" s="351"/>
      <c r="G16" s="349" t="s">
        <v>313</v>
      </c>
      <c r="H16" s="350" t="s">
        <v>294</v>
      </c>
      <c r="I16" s="351" t="s">
        <v>294</v>
      </c>
      <c r="J16" s="352" t="s">
        <v>682</v>
      </c>
      <c r="K16" s="353" t="s">
        <v>455</v>
      </c>
      <c r="L16" s="353">
        <v>43394</v>
      </c>
      <c r="M16" s="353" t="s">
        <v>474</v>
      </c>
      <c r="N16" s="354" t="s">
        <v>455</v>
      </c>
      <c r="O16" s="349" t="s">
        <v>455</v>
      </c>
      <c r="P16" s="350" t="s">
        <v>455</v>
      </c>
      <c r="Q16" s="350" t="s">
        <v>455</v>
      </c>
      <c r="R16" s="350" t="s">
        <v>455</v>
      </c>
      <c r="S16" s="350" t="s">
        <v>455</v>
      </c>
      <c r="T16" s="351" t="s">
        <v>455</v>
      </c>
      <c r="U16" s="352">
        <v>44331</v>
      </c>
      <c r="V16" s="353" t="s">
        <v>474</v>
      </c>
      <c r="W16" s="353" t="s">
        <v>455</v>
      </c>
      <c r="X16" s="354">
        <v>43394</v>
      </c>
    </row>
    <row r="17" spans="1:24" x14ac:dyDescent="0.3">
      <c r="A17" s="349" t="s">
        <v>475</v>
      </c>
      <c r="B17" s="350" t="s">
        <v>451</v>
      </c>
      <c r="C17" s="350" t="s">
        <v>451</v>
      </c>
      <c r="D17" s="350" t="s">
        <v>451</v>
      </c>
      <c r="E17" s="350" t="s">
        <v>451</v>
      </c>
      <c r="F17" s="351" t="s">
        <v>451</v>
      </c>
      <c r="G17" s="349" t="s">
        <v>471</v>
      </c>
      <c r="H17" s="350" t="s">
        <v>294</v>
      </c>
      <c r="I17" s="351" t="s">
        <v>294</v>
      </c>
      <c r="J17" s="352" t="s">
        <v>669</v>
      </c>
      <c r="K17" s="353" t="s">
        <v>455</v>
      </c>
      <c r="L17" s="353">
        <v>43394</v>
      </c>
      <c r="M17" s="353" t="s">
        <v>474</v>
      </c>
      <c r="N17" s="354" t="s">
        <v>455</v>
      </c>
      <c r="O17" s="349" t="s">
        <v>455</v>
      </c>
      <c r="P17" s="350" t="s">
        <v>455</v>
      </c>
      <c r="Q17" s="350" t="s">
        <v>455</v>
      </c>
      <c r="R17" s="350" t="s">
        <v>455</v>
      </c>
      <c r="S17" s="350" t="s">
        <v>455</v>
      </c>
      <c r="T17" s="351" t="s">
        <v>455</v>
      </c>
      <c r="U17" s="352">
        <v>44331</v>
      </c>
      <c r="V17" s="353" t="s">
        <v>474</v>
      </c>
      <c r="W17" s="353" t="s">
        <v>455</v>
      </c>
      <c r="X17" s="354">
        <v>43394</v>
      </c>
    </row>
  </sheetData>
  <mergeCells count="51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85" zoomScaleNormal="85" workbookViewId="0">
      <selection activeCell="L21" sqref="L21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2" t="s">
        <v>100</v>
      </c>
      <c r="I4" s="403"/>
      <c r="J4" s="402" t="s">
        <v>101</v>
      </c>
      <c r="K4" s="403"/>
      <c r="L4" s="404" t="s">
        <v>258</v>
      </c>
      <c r="M4" s="406" t="s">
        <v>116</v>
      </c>
      <c r="N4" s="407"/>
      <c r="O4" s="407"/>
      <c r="P4" s="408"/>
    </row>
    <row r="5" spans="2:23" ht="30.6" x14ac:dyDescent="0.3">
      <c r="B5" s="48" t="s">
        <v>102</v>
      </c>
      <c r="C5" s="48" t="s">
        <v>4</v>
      </c>
      <c r="D5" s="48" t="s">
        <v>103</v>
      </c>
      <c r="E5" s="48" t="s">
        <v>127</v>
      </c>
      <c r="F5" s="48" t="s">
        <v>128</v>
      </c>
      <c r="G5" s="48" t="s">
        <v>104</v>
      </c>
      <c r="H5" s="48" t="s">
        <v>129</v>
      </c>
      <c r="I5" s="48" t="s">
        <v>105</v>
      </c>
      <c r="J5" s="48" t="s">
        <v>130</v>
      </c>
      <c r="K5" s="48" t="s">
        <v>106</v>
      </c>
      <c r="L5" s="405"/>
      <c r="M5" s="409"/>
      <c r="N5" s="410"/>
      <c r="O5" s="410"/>
      <c r="P5" s="411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0">
        <v>0.3</v>
      </c>
      <c r="K6" s="130">
        <v>1.3</v>
      </c>
      <c r="L6" s="131">
        <v>45328</v>
      </c>
      <c r="M6" s="132" t="s">
        <v>1269</v>
      </c>
      <c r="N6" s="133"/>
      <c r="O6" s="134"/>
      <c r="P6" s="137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0">
        <v>0.4</v>
      </c>
      <c r="K7" s="130">
        <v>1.3</v>
      </c>
      <c r="L7" s="131">
        <v>44839</v>
      </c>
      <c r="M7" s="129" t="s">
        <v>1265</v>
      </c>
      <c r="N7" s="133"/>
      <c r="O7" s="134"/>
      <c r="P7" s="137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0">
        <v>0.27</v>
      </c>
      <c r="K8" s="130">
        <v>1.3</v>
      </c>
      <c r="L8" s="131">
        <v>45328</v>
      </c>
      <c r="M8" s="129" t="s">
        <v>1270</v>
      </c>
      <c r="N8" s="135"/>
      <c r="O8" s="136"/>
      <c r="P8" s="137"/>
    </row>
    <row r="9" spans="2:23" x14ac:dyDescent="0.3">
      <c r="B9" s="17">
        <v>4</v>
      </c>
      <c r="C9" s="17" t="s">
        <v>313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0">
        <v>0.4</v>
      </c>
      <c r="K9" s="130">
        <v>2.2000000000000002</v>
      </c>
      <c r="L9" s="131">
        <v>44839</v>
      </c>
      <c r="M9" s="129" t="s">
        <v>1266</v>
      </c>
      <c r="N9" s="133"/>
      <c r="O9" s="134"/>
      <c r="P9" s="137"/>
    </row>
    <row r="10" spans="2:23" x14ac:dyDescent="0.3">
      <c r="B10" s="17">
        <v>5</v>
      </c>
      <c r="C10" s="17" t="s">
        <v>471</v>
      </c>
      <c r="D10" s="17" t="s">
        <v>472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0">
        <v>0.42</v>
      </c>
      <c r="K10" s="130">
        <v>1.3</v>
      </c>
      <c r="L10" s="131">
        <v>44839</v>
      </c>
      <c r="M10" s="129" t="s">
        <v>1271</v>
      </c>
      <c r="N10" s="28"/>
      <c r="O10" s="28"/>
      <c r="P10" s="137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290</v>
      </c>
      <c r="E12"/>
      <c r="F12" t="s">
        <v>299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00" t="s">
        <v>115</v>
      </c>
      <c r="I13" s="401"/>
      <c r="J13" s="400" t="s">
        <v>292</v>
      </c>
      <c r="K13" s="401"/>
      <c r="L13" s="400" t="s">
        <v>137</v>
      </c>
      <c r="M13" s="401"/>
      <c r="N13" s="400" t="s">
        <v>45</v>
      </c>
      <c r="O13" s="401"/>
      <c r="P13" s="400" t="s">
        <v>301</v>
      </c>
      <c r="Q13" s="401"/>
      <c r="T13" s="181" t="s">
        <v>332</v>
      </c>
      <c r="U13" s="176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291</v>
      </c>
      <c r="H14" s="23" t="s">
        <v>333</v>
      </c>
      <c r="I14" s="23" t="s">
        <v>334</v>
      </c>
      <c r="J14" s="23" t="s">
        <v>288</v>
      </c>
      <c r="K14" s="23" t="s">
        <v>289</v>
      </c>
      <c r="L14" s="23" t="s">
        <v>135</v>
      </c>
      <c r="M14" s="23" t="s">
        <v>136</v>
      </c>
      <c r="N14" s="23" t="s">
        <v>330</v>
      </c>
      <c r="O14" s="23" t="s">
        <v>329</v>
      </c>
      <c r="P14" s="23" t="s">
        <v>302</v>
      </c>
      <c r="Q14" s="23" t="s">
        <v>300</v>
      </c>
      <c r="R14" s="23" t="s">
        <v>331</v>
      </c>
      <c r="S14" s="23" t="s">
        <v>335</v>
      </c>
      <c r="T14" s="23" t="s">
        <v>336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285</v>
      </c>
      <c r="D15" s="18" t="s">
        <v>286</v>
      </c>
      <c r="E15" s="20" t="s">
        <v>114</v>
      </c>
      <c r="F15" s="20" t="s">
        <v>287</v>
      </c>
      <c r="G15" s="19" t="s">
        <v>297</v>
      </c>
      <c r="H15" s="21">
        <v>-10</v>
      </c>
      <c r="I15" s="21">
        <v>50</v>
      </c>
      <c r="J15" s="21">
        <v>-15</v>
      </c>
      <c r="K15" s="21">
        <v>200</v>
      </c>
      <c r="L15" s="143">
        <v>-12</v>
      </c>
      <c r="M15" s="143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0">
        <v>44830</v>
      </c>
      <c r="V15" s="158" t="s">
        <v>134</v>
      </c>
      <c r="W15" s="141" t="s">
        <v>1259</v>
      </c>
    </row>
    <row r="16" spans="2:23" ht="28.8" x14ac:dyDescent="0.3">
      <c r="B16" s="31">
        <v>2</v>
      </c>
      <c r="C16" s="19" t="s">
        <v>293</v>
      </c>
      <c r="D16" s="18" t="s">
        <v>295</v>
      </c>
      <c r="E16" s="20" t="s">
        <v>114</v>
      </c>
      <c r="F16" s="20" t="s">
        <v>296</v>
      </c>
      <c r="G16" s="19" t="s">
        <v>297</v>
      </c>
      <c r="H16" s="21">
        <v>-10</v>
      </c>
      <c r="I16" s="21">
        <v>50</v>
      </c>
      <c r="J16" s="21">
        <v>0</v>
      </c>
      <c r="K16" s="21">
        <v>10000</v>
      </c>
      <c r="L16" s="143">
        <v>0</v>
      </c>
      <c r="M16" s="143">
        <v>5000</v>
      </c>
      <c r="N16" s="33">
        <v>7</v>
      </c>
      <c r="O16" s="33">
        <v>1</v>
      </c>
      <c r="P16" s="166" t="s">
        <v>214</v>
      </c>
      <c r="Q16" s="21">
        <v>0.05</v>
      </c>
      <c r="R16" s="33">
        <v>5.0000000000000001E-3</v>
      </c>
      <c r="S16" s="33">
        <v>15</v>
      </c>
      <c r="T16" s="33">
        <v>35</v>
      </c>
      <c r="U16" s="142">
        <v>44830</v>
      </c>
      <c r="V16" s="158" t="s">
        <v>134</v>
      </c>
      <c r="W16" s="141" t="s">
        <v>1260</v>
      </c>
    </row>
    <row r="17" spans="1:23" ht="28.8" x14ac:dyDescent="0.3">
      <c r="B17" s="31">
        <v>3</v>
      </c>
      <c r="C17" s="19" t="s">
        <v>1261</v>
      </c>
      <c r="D17" s="19" t="s">
        <v>298</v>
      </c>
      <c r="E17" s="20" t="s">
        <v>1262</v>
      </c>
      <c r="F17" s="20" t="s">
        <v>1263</v>
      </c>
      <c r="G17" s="19" t="s">
        <v>303</v>
      </c>
      <c r="H17" s="21">
        <v>-10</v>
      </c>
      <c r="I17" s="21">
        <v>50</v>
      </c>
      <c r="J17" s="21">
        <v>-15</v>
      </c>
      <c r="K17" s="21">
        <v>10000</v>
      </c>
      <c r="L17" s="141">
        <v>-12</v>
      </c>
      <c r="M17" s="141">
        <v>5000</v>
      </c>
      <c r="N17" s="180">
        <v>0.1</v>
      </c>
      <c r="O17" s="21">
        <v>1</v>
      </c>
      <c r="P17" s="268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2">
        <v>44832</v>
      </c>
      <c r="V17" s="159" t="s">
        <v>134</v>
      </c>
      <c r="W17" s="141" t="s">
        <v>1264</v>
      </c>
    </row>
    <row r="18" spans="1:23" ht="28.8" x14ac:dyDescent="0.3">
      <c r="B18" s="31">
        <v>4</v>
      </c>
      <c r="C18" s="19" t="s">
        <v>1272</v>
      </c>
      <c r="D18" s="19" t="s">
        <v>304</v>
      </c>
      <c r="E18" s="20" t="s">
        <v>114</v>
      </c>
      <c r="F18" s="20">
        <v>754</v>
      </c>
      <c r="G18" s="19" t="s">
        <v>305</v>
      </c>
      <c r="H18" s="21">
        <v>-10</v>
      </c>
      <c r="I18" s="21">
        <v>50</v>
      </c>
      <c r="J18" s="212">
        <v>0</v>
      </c>
      <c r="K18" s="21">
        <v>10000</v>
      </c>
      <c r="L18" s="211">
        <v>0</v>
      </c>
      <c r="M18" s="21">
        <v>10000</v>
      </c>
      <c r="N18" s="20"/>
      <c r="O18" s="21"/>
      <c r="P18" s="268">
        <v>2.5000000000000001E-2</v>
      </c>
      <c r="Q18" s="268">
        <v>2.5000000000000001E-2</v>
      </c>
      <c r="R18" s="33">
        <v>0</v>
      </c>
      <c r="S18" s="33">
        <v>0</v>
      </c>
      <c r="T18" s="33">
        <v>50</v>
      </c>
      <c r="U18" s="142">
        <v>45377</v>
      </c>
      <c r="V18" s="159" t="s">
        <v>134</v>
      </c>
      <c r="W18" s="141" t="s">
        <v>1273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314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315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132</v>
      </c>
      <c r="D24" s="16"/>
      <c r="E24" s="37" t="s">
        <v>133</v>
      </c>
      <c r="F24" s="37"/>
      <c r="G24"/>
      <c r="H24" s="37" t="s">
        <v>138</v>
      </c>
      <c r="I24" s="37"/>
      <c r="J24" s="38" t="s">
        <v>311</v>
      </c>
      <c r="K24"/>
      <c r="L24"/>
      <c r="S24" t="s">
        <v>316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309</v>
      </c>
      <c r="F25" s="23" t="s">
        <v>163</v>
      </c>
      <c r="G25" s="23" t="s">
        <v>164</v>
      </c>
      <c r="H25" s="23" t="s">
        <v>310</v>
      </c>
      <c r="I25" s="23" t="s">
        <v>165</v>
      </c>
      <c r="J25" s="64" t="s">
        <v>166</v>
      </c>
      <c r="K25" s="23" t="s">
        <v>161</v>
      </c>
      <c r="L25"/>
    </row>
    <row r="26" spans="1:23" x14ac:dyDescent="0.3">
      <c r="A26" s="36">
        <v>1</v>
      </c>
      <c r="B26" s="31">
        <v>1</v>
      </c>
      <c r="C26" s="65" t="str">
        <f>C15</f>
        <v>NI-MCPP-01</v>
      </c>
      <c r="D26" s="39" t="s">
        <v>286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2">
        <v>2.1000000000000001E-2</v>
      </c>
      <c r="K2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9">
        <v>2</v>
      </c>
      <c r="C27" s="170" t="str">
        <f>$C$26</f>
        <v>NI-MCPP-01</v>
      </c>
      <c r="D27" s="40"/>
      <c r="E27" s="308">
        <v>3.0000000000000001E-3</v>
      </c>
      <c r="F27" s="308">
        <v>3.0000000000000001E-3</v>
      </c>
      <c r="G27" s="308">
        <v>1.4E-2</v>
      </c>
      <c r="H27" s="21">
        <v>2E-3</v>
      </c>
      <c r="I27" s="34">
        <v>2E-3</v>
      </c>
      <c r="J27" s="62">
        <v>2.1000000000000001E-2</v>
      </c>
      <c r="K2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9">
        <v>3</v>
      </c>
      <c r="C28" s="170" t="str">
        <f t="shared" ref="C28:C42" si="0">$C$26</f>
        <v>NI-MCPP-01</v>
      </c>
      <c r="D28" s="40"/>
      <c r="E28" s="308">
        <v>20.015999999999998</v>
      </c>
      <c r="F28" s="308">
        <v>6.0000000000000001E-3</v>
      </c>
      <c r="G28" s="308">
        <v>1.7999999999999999E-2</v>
      </c>
      <c r="H28" s="21">
        <v>19.998999999999999</v>
      </c>
      <c r="I28" s="34">
        <v>-1E-3</v>
      </c>
      <c r="J28" s="62">
        <v>2.1000000000000001E-2</v>
      </c>
      <c r="K2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9">
        <v>4</v>
      </c>
      <c r="C29" s="170" t="str">
        <f t="shared" si="0"/>
        <v>NI-MCPP-01</v>
      </c>
      <c r="D29" s="40"/>
      <c r="E29" s="308">
        <v>50.015999999999998</v>
      </c>
      <c r="F29" s="308">
        <v>1.0999999999999999E-2</v>
      </c>
      <c r="G29" s="308">
        <v>1.6E-2</v>
      </c>
      <c r="H29" s="21">
        <v>49.997999999999998</v>
      </c>
      <c r="I29" s="34">
        <v>-2E-3</v>
      </c>
      <c r="J29" s="62">
        <v>2.1000000000000001E-2</v>
      </c>
      <c r="K2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70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2">
        <v>2.1000000000000001E-2</v>
      </c>
      <c r="K30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70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2">
        <v>2.1999999999999999E-2</v>
      </c>
      <c r="K3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70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2">
        <v>2.1999999999999999E-2</v>
      </c>
      <c r="K32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70" t="str">
        <f t="shared" si="0"/>
        <v>NI-MCPP-01</v>
      </c>
      <c r="D33" s="40"/>
      <c r="E33" s="308">
        <v>199.98699999999999</v>
      </c>
      <c r="F33" s="308">
        <v>-1.2999999999999999E-2</v>
      </c>
      <c r="G33" s="308">
        <v>1.4E-2</v>
      </c>
      <c r="H33" s="21">
        <v>199.983</v>
      </c>
      <c r="I33" s="34">
        <v>-1.7000000000000001E-2</v>
      </c>
      <c r="J33" s="62">
        <v>2.1999999999999999E-2</v>
      </c>
      <c r="K3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70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2">
        <v>2.1000000000000001E-2</v>
      </c>
      <c r="K3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70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2">
        <v>2.1000000000000001E-2</v>
      </c>
      <c r="K35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70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2">
        <v>2.1999999999999999E-2</v>
      </c>
      <c r="K3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70" t="str">
        <f t="shared" si="0"/>
        <v>NI-MCPP-01</v>
      </c>
      <c r="D37" s="40"/>
      <c r="E37" s="34">
        <v>20.001999999999999</v>
      </c>
      <c r="F37" s="34">
        <v>2E-3</v>
      </c>
      <c r="G37" s="309">
        <v>1.2999999999999999E-2</v>
      </c>
      <c r="H37" s="21">
        <v>19.997</v>
      </c>
      <c r="I37" s="34">
        <v>-3.0000000000000001E-3</v>
      </c>
      <c r="J37" s="21">
        <v>2.1999999999999999E-2</v>
      </c>
      <c r="K37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70" t="str">
        <f t="shared" si="0"/>
        <v>NI-MCPP-01</v>
      </c>
      <c r="D38" s="40"/>
      <c r="E38" s="34">
        <v>2E-3</v>
      </c>
      <c r="F38" s="34">
        <v>2E-3</v>
      </c>
      <c r="G38" s="309">
        <v>1.2999999999999999E-2</v>
      </c>
      <c r="H38" s="21">
        <v>2E-3</v>
      </c>
      <c r="I38" s="34">
        <v>-8.0000000000000002E-3</v>
      </c>
      <c r="J38" s="21">
        <v>2.1999999999999999E-2</v>
      </c>
      <c r="K38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70" t="str">
        <f t="shared" si="0"/>
        <v>NI-MCPP-01</v>
      </c>
      <c r="D39" s="40"/>
      <c r="E39" s="34">
        <v>-12.004</v>
      </c>
      <c r="F39" s="34">
        <v>4.0000000000000001E-3</v>
      </c>
      <c r="G39" s="309">
        <v>1.2999999999999999E-2</v>
      </c>
      <c r="H39" s="21">
        <v>-11.999000000000001</v>
      </c>
      <c r="I39" s="34">
        <v>1E-3</v>
      </c>
      <c r="J39" s="21">
        <v>2.1000000000000001E-2</v>
      </c>
      <c r="K39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70" t="str">
        <f t="shared" si="0"/>
        <v>NI-MCPP-01</v>
      </c>
      <c r="D40" s="40"/>
      <c r="E40" s="34"/>
      <c r="F40" s="34"/>
      <c r="G40" s="34"/>
      <c r="H40" s="33"/>
      <c r="I40" s="33"/>
      <c r="J40" s="310"/>
      <c r="K40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9">
        <v>16</v>
      </c>
      <c r="C41" s="170" t="str">
        <f t="shared" si="0"/>
        <v>NI-MCPP-01</v>
      </c>
      <c r="D41" s="40"/>
      <c r="E41" s="34"/>
      <c r="F41" s="34"/>
      <c r="G41" s="34"/>
      <c r="H41" s="21"/>
      <c r="I41" s="32"/>
      <c r="J41" s="62"/>
      <c r="K4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9">
        <v>17</v>
      </c>
      <c r="C42" s="170" t="str">
        <f t="shared" si="0"/>
        <v>NI-MCPP-01</v>
      </c>
      <c r="D42" s="40"/>
      <c r="E42" s="34"/>
      <c r="F42" s="34"/>
      <c r="G42" s="34"/>
      <c r="H42" s="21"/>
      <c r="I42" s="21"/>
      <c r="J42" s="62"/>
      <c r="K42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60">
        <v>18</v>
      </c>
      <c r="C43" s="171" t="str">
        <f>$C$26</f>
        <v>NI-MCPP-01</v>
      </c>
      <c r="D43" s="41"/>
      <c r="E43" s="160"/>
      <c r="F43" s="161"/>
      <c r="G43" s="160"/>
      <c r="H43" s="42"/>
      <c r="I43" s="42"/>
      <c r="J43" s="63"/>
      <c r="K43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61">
        <v>1</v>
      </c>
      <c r="C44" s="66" t="str">
        <f>C16</f>
        <v>NI-MCPP-02</v>
      </c>
      <c r="D44" s="40" t="s">
        <v>306</v>
      </c>
      <c r="E44" s="32">
        <v>-0.12</v>
      </c>
      <c r="F44" s="267">
        <v>-0.12</v>
      </c>
      <c r="G44" s="32">
        <v>0.59</v>
      </c>
      <c r="H44" s="32">
        <v>0</v>
      </c>
      <c r="I44" s="267">
        <v>0</v>
      </c>
      <c r="J44" s="32">
        <v>0.68</v>
      </c>
      <c r="K4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9">
        <v>2</v>
      </c>
      <c r="C45" s="170" t="str">
        <f>$C$44</f>
        <v>NI-MCPP-02</v>
      </c>
      <c r="D45" s="40" t="s">
        <v>307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9">
        <v>3</v>
      </c>
      <c r="C46" s="170" t="str">
        <f t="shared" ref="C46:C59" si="1">$C$44</f>
        <v>NI-MCPP-02</v>
      </c>
      <c r="D46" s="164"/>
      <c r="E46" s="311">
        <v>999.91</v>
      </c>
      <c r="F46" s="311">
        <v>-0.09</v>
      </c>
      <c r="G46" s="311">
        <v>0.83</v>
      </c>
      <c r="H46" s="311">
        <v>999.36</v>
      </c>
      <c r="I46" s="311">
        <v>-0.64</v>
      </c>
      <c r="J46" s="311">
        <v>0.72</v>
      </c>
      <c r="K4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9">
        <v>4</v>
      </c>
      <c r="C47" s="170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9">
        <v>5</v>
      </c>
      <c r="C48" s="170" t="str">
        <f t="shared" si="1"/>
        <v>NI-MCPP-02</v>
      </c>
      <c r="D48" s="164"/>
      <c r="E48" s="311">
        <v>2998.52</v>
      </c>
      <c r="F48" s="311">
        <v>-1.48</v>
      </c>
      <c r="G48" s="311">
        <v>0.69</v>
      </c>
      <c r="H48" s="311">
        <v>2999.48</v>
      </c>
      <c r="I48" s="311">
        <v>-0.52</v>
      </c>
      <c r="J48" s="311">
        <v>0.7</v>
      </c>
      <c r="K4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9">
        <v>6</v>
      </c>
      <c r="C49" s="170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9">
        <v>7</v>
      </c>
      <c r="C50" s="170" t="str">
        <f t="shared" si="1"/>
        <v>NI-MCPP-02</v>
      </c>
      <c r="D50" s="164"/>
      <c r="E50" s="311">
        <v>4999.43</v>
      </c>
      <c r="F50" s="311">
        <v>-0.56999999999999995</v>
      </c>
      <c r="G50" s="311">
        <v>0.68</v>
      </c>
      <c r="H50" s="311">
        <v>4999.74</v>
      </c>
      <c r="I50" s="311">
        <v>-0.26</v>
      </c>
      <c r="J50" s="311">
        <v>0.68</v>
      </c>
      <c r="K5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9">
        <v>8</v>
      </c>
      <c r="C51" s="170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9">
        <v>9</v>
      </c>
      <c r="C52" s="170" t="str">
        <f t="shared" si="1"/>
        <v>NI-MCPP-02</v>
      </c>
      <c r="D52" s="164"/>
      <c r="E52" s="311">
        <v>3998.51</v>
      </c>
      <c r="F52" s="311">
        <v>-1.49</v>
      </c>
      <c r="G52" s="311">
        <v>0.69</v>
      </c>
      <c r="H52" s="311">
        <v>3999.1</v>
      </c>
      <c r="I52" s="311">
        <v>-0.9</v>
      </c>
      <c r="J52" s="311">
        <v>0.68</v>
      </c>
      <c r="K5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9">
        <v>10</v>
      </c>
      <c r="C53" s="170" t="str">
        <f t="shared" si="1"/>
        <v>NI-MCPP-02</v>
      </c>
      <c r="D53" s="164"/>
      <c r="E53" s="311">
        <v>2998.85</v>
      </c>
      <c r="F53" s="311">
        <v>-1.1499999999999999</v>
      </c>
      <c r="G53" s="311">
        <v>0.68</v>
      </c>
      <c r="H53" s="311">
        <v>2999.5</v>
      </c>
      <c r="I53" s="311">
        <v>-0.5</v>
      </c>
      <c r="J53" s="311">
        <v>0.69</v>
      </c>
      <c r="K5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9">
        <v>11</v>
      </c>
      <c r="C54" s="170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9">
        <v>12</v>
      </c>
      <c r="C55" s="170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9">
        <v>13</v>
      </c>
      <c r="C56" s="170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9">
        <v>14</v>
      </c>
      <c r="C57" s="170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9">
        <v>15</v>
      </c>
      <c r="C58" s="170" t="str">
        <f>$C$44</f>
        <v>NI-MCPP-02</v>
      </c>
      <c r="D58" s="40"/>
      <c r="E58" s="32"/>
      <c r="F58" s="32"/>
      <c r="G58" s="32"/>
      <c r="H58" s="21"/>
      <c r="I58" s="21"/>
      <c r="J58" s="165"/>
      <c r="K58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9">
        <v>16</v>
      </c>
      <c r="C59" s="170" t="str">
        <f t="shared" si="1"/>
        <v>NI-MCPP-02</v>
      </c>
      <c r="D59" s="40"/>
      <c r="E59" s="32"/>
      <c r="F59" s="32"/>
      <c r="G59" s="32"/>
      <c r="H59" s="21"/>
      <c r="I59" s="21"/>
      <c r="J59" s="62"/>
      <c r="K59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60">
        <v>17</v>
      </c>
      <c r="C60" s="171" t="str">
        <f>$C$44</f>
        <v>NI-MCPP-02</v>
      </c>
      <c r="D60" s="41"/>
      <c r="E60" s="44"/>
      <c r="F60" s="44"/>
      <c r="G60" s="44"/>
      <c r="H60" s="42"/>
      <c r="I60" s="42"/>
      <c r="J60" s="63"/>
      <c r="K60" s="1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61">
        <v>1</v>
      </c>
      <c r="C61" s="66" t="str">
        <f>C17</f>
        <v>NI-MCPP-06</v>
      </c>
      <c r="D61" s="40" t="s">
        <v>308</v>
      </c>
      <c r="E61" s="269">
        <f>-11.73</f>
        <v>-11.73</v>
      </c>
      <c r="F61" s="34">
        <v>0.27</v>
      </c>
      <c r="G61" s="269">
        <v>0.59</v>
      </c>
      <c r="H61" s="43"/>
      <c r="I61" s="32"/>
      <c r="J61" s="43"/>
      <c r="K6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9">
        <v>2</v>
      </c>
      <c r="C62" s="172" t="str">
        <f>$C$61</f>
        <v>NI-MCPP-06</v>
      </c>
      <c r="D62" s="40" t="s">
        <v>131</v>
      </c>
      <c r="E62" s="34">
        <v>-9.7799999999999994</v>
      </c>
      <c r="F62" s="34">
        <v>0.22</v>
      </c>
      <c r="G62" s="269">
        <v>0.57999999999999996</v>
      </c>
      <c r="H62" s="21"/>
      <c r="I62" s="21"/>
      <c r="J62" s="43"/>
      <c r="K62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9">
        <v>3</v>
      </c>
      <c r="C63" s="172" t="str">
        <f t="shared" ref="C63:C86" si="2">$C$61</f>
        <v>NI-MCPP-06</v>
      </c>
      <c r="D63" s="40"/>
      <c r="E63" s="34">
        <v>-4.59</v>
      </c>
      <c r="F63" s="34">
        <v>0.41</v>
      </c>
      <c r="G63" s="269">
        <v>0.59</v>
      </c>
      <c r="H63" s="21"/>
      <c r="I63" s="21"/>
      <c r="J63" s="43"/>
      <c r="K63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9">
        <v>4</v>
      </c>
      <c r="C64" s="172" t="str">
        <f t="shared" si="2"/>
        <v>NI-MCPP-06</v>
      </c>
      <c r="D64" s="40"/>
      <c r="E64" s="34">
        <v>-2.6</v>
      </c>
      <c r="F64" s="34">
        <v>0.4</v>
      </c>
      <c r="G64" s="269">
        <v>0.57999999999999996</v>
      </c>
      <c r="H64" s="21"/>
      <c r="I64" s="21"/>
      <c r="J64" s="43"/>
      <c r="K6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9">
        <v>5</v>
      </c>
      <c r="C65" s="172" t="str">
        <f t="shared" si="2"/>
        <v>NI-MCPP-06</v>
      </c>
      <c r="D65" s="40"/>
      <c r="E65" s="34">
        <v>0</v>
      </c>
      <c r="F65" s="34">
        <v>0</v>
      </c>
      <c r="G65" s="269">
        <v>0.57999999999999996</v>
      </c>
      <c r="H65" s="21"/>
      <c r="I65" s="21"/>
      <c r="J65" s="43"/>
      <c r="K65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9">
        <v>6</v>
      </c>
      <c r="C66" s="172" t="str">
        <f t="shared" si="2"/>
        <v>NI-MCPP-06</v>
      </c>
      <c r="D66" s="40"/>
      <c r="E66" s="34">
        <v>-0.11</v>
      </c>
      <c r="F66" s="34">
        <v>-0.11</v>
      </c>
      <c r="G66" s="269">
        <v>0.59</v>
      </c>
      <c r="H66" s="32"/>
      <c r="I66" s="21"/>
      <c r="J66" s="43"/>
      <c r="K6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9">
        <v>7</v>
      </c>
      <c r="C67" s="172" t="str">
        <f t="shared" si="2"/>
        <v>NI-MCPP-06</v>
      </c>
      <c r="D67" s="40"/>
      <c r="E67" s="34">
        <v>99.59</v>
      </c>
      <c r="F67" s="34">
        <v>-0.41</v>
      </c>
      <c r="G67" s="269">
        <v>0.6</v>
      </c>
      <c r="H67" s="21"/>
      <c r="I67" s="21"/>
      <c r="J67" s="32"/>
      <c r="K67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9">
        <v>8</v>
      </c>
      <c r="C68" s="172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9">
        <v>9</v>
      </c>
      <c r="C69" s="172" t="str">
        <f t="shared" si="2"/>
        <v>NI-MCPP-06</v>
      </c>
      <c r="D69" s="40"/>
      <c r="E69" s="34">
        <v>2000.05</v>
      </c>
      <c r="F69" s="34">
        <v>0.05</v>
      </c>
      <c r="G69" s="269">
        <v>0.61</v>
      </c>
      <c r="H69" s="21"/>
      <c r="I69" s="21"/>
      <c r="J69" s="43"/>
      <c r="K69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9">
        <v>10</v>
      </c>
      <c r="C70" s="172" t="str">
        <f t="shared" si="2"/>
        <v>NI-MCPP-06</v>
      </c>
      <c r="D70" s="40"/>
      <c r="E70" s="34">
        <v>3000.71</v>
      </c>
      <c r="F70" s="34">
        <v>0.71</v>
      </c>
      <c r="G70" s="269">
        <v>0.64</v>
      </c>
      <c r="H70" s="21"/>
      <c r="I70" s="21"/>
      <c r="J70" s="43"/>
      <c r="K70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9">
        <v>11</v>
      </c>
      <c r="C71" s="172" t="str">
        <f t="shared" si="2"/>
        <v>NI-MCPP-06</v>
      </c>
      <c r="D71" s="40"/>
      <c r="E71" s="34">
        <v>4000.37</v>
      </c>
      <c r="F71" s="34">
        <v>0.37</v>
      </c>
      <c r="G71" s="269">
        <v>0.63</v>
      </c>
      <c r="H71" s="21"/>
      <c r="I71" s="21"/>
      <c r="J71" s="43"/>
      <c r="K7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9">
        <v>12</v>
      </c>
      <c r="C72" s="172" t="str">
        <f t="shared" si="2"/>
        <v>NI-MCPP-06</v>
      </c>
      <c r="D72" s="40"/>
      <c r="E72" s="34">
        <v>5000.26</v>
      </c>
      <c r="F72" s="34">
        <v>0.26</v>
      </c>
      <c r="G72" s="269">
        <v>0.66</v>
      </c>
      <c r="H72" s="21"/>
      <c r="I72" s="21"/>
      <c r="J72" s="43"/>
      <c r="K72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9">
        <v>13</v>
      </c>
      <c r="C73" s="172" t="str">
        <f t="shared" si="2"/>
        <v>NI-MCPP-06</v>
      </c>
      <c r="D73" s="40"/>
      <c r="E73" s="34">
        <v>5000.34</v>
      </c>
      <c r="F73" s="34">
        <v>0.34</v>
      </c>
      <c r="G73" s="269">
        <v>0.8</v>
      </c>
      <c r="H73" s="21"/>
      <c r="I73" s="21"/>
      <c r="J73" s="43"/>
      <c r="K73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9">
        <v>14</v>
      </c>
      <c r="C74" s="172" t="str">
        <f t="shared" si="2"/>
        <v>NI-MCPP-06</v>
      </c>
      <c r="D74" s="40"/>
      <c r="E74" s="34">
        <v>4000.23</v>
      </c>
      <c r="F74" s="34">
        <v>0.23</v>
      </c>
      <c r="G74" s="269">
        <v>0.63</v>
      </c>
      <c r="H74" s="21"/>
      <c r="I74" s="21"/>
      <c r="J74" s="32"/>
      <c r="K7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9">
        <v>15</v>
      </c>
      <c r="C75" s="172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9">
        <v>16</v>
      </c>
      <c r="C76" s="172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9">
        <v>17</v>
      </c>
      <c r="C77" s="172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9">
        <v>18</v>
      </c>
      <c r="C78" s="172" t="str">
        <f t="shared" si="2"/>
        <v>NI-MCPP-06</v>
      </c>
      <c r="D78" s="40"/>
      <c r="E78" s="34">
        <v>100.1</v>
      </c>
      <c r="F78" s="34">
        <v>0.1</v>
      </c>
      <c r="G78" s="269">
        <v>0.63</v>
      </c>
      <c r="H78" s="21"/>
      <c r="I78" s="21"/>
      <c r="J78" s="43"/>
      <c r="K78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9">
        <v>19</v>
      </c>
      <c r="C79" s="172" t="str">
        <f t="shared" si="2"/>
        <v>NI-MCPP-06</v>
      </c>
      <c r="D79" s="40"/>
      <c r="E79" s="34">
        <v>-0.11</v>
      </c>
      <c r="F79" s="34">
        <v>-0.11</v>
      </c>
      <c r="G79" s="269">
        <v>0.59</v>
      </c>
      <c r="H79" s="21"/>
      <c r="I79" s="21"/>
      <c r="J79" s="32"/>
      <c r="K79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9">
        <v>20</v>
      </c>
      <c r="C80" s="172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9">
        <v>21</v>
      </c>
      <c r="C81" s="172" t="str">
        <f t="shared" si="2"/>
        <v>NI-MCPP-06</v>
      </c>
      <c r="D81" s="40"/>
      <c r="E81" s="34">
        <v>-3.48</v>
      </c>
      <c r="F81" s="34">
        <v>-0.48</v>
      </c>
      <c r="G81" s="269">
        <v>0.57999999999999996</v>
      </c>
      <c r="H81" s="21"/>
      <c r="I81" s="21"/>
      <c r="J81" s="43"/>
      <c r="K81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9">
        <v>22</v>
      </c>
      <c r="C82" s="172" t="str">
        <f t="shared" si="2"/>
        <v>NI-MCPP-06</v>
      </c>
      <c r="D82" s="40"/>
      <c r="E82" s="34">
        <v>-5.46</v>
      </c>
      <c r="F82" s="34">
        <v>-0.46</v>
      </c>
      <c r="G82" s="269">
        <v>0.57999999999999996</v>
      </c>
      <c r="H82" s="21"/>
      <c r="I82" s="21"/>
      <c r="J82" s="43"/>
      <c r="K82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9">
        <v>23</v>
      </c>
      <c r="C83" s="172" t="str">
        <f t="shared" si="2"/>
        <v>NI-MCPP-06</v>
      </c>
      <c r="D83" s="40"/>
      <c r="E83" s="34">
        <v>-10.45</v>
      </c>
      <c r="F83" s="34">
        <v>-0.45</v>
      </c>
      <c r="G83" s="269">
        <v>0.57999999999999996</v>
      </c>
      <c r="H83" s="21"/>
      <c r="I83" s="21"/>
      <c r="J83" s="43"/>
      <c r="K83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9">
        <v>24</v>
      </c>
      <c r="C84" s="172" t="str">
        <f t="shared" si="2"/>
        <v>NI-MCPP-06</v>
      </c>
      <c r="D84" s="40"/>
      <c r="E84" s="34">
        <v>-12.46</v>
      </c>
      <c r="F84" s="34">
        <v>-0.46</v>
      </c>
      <c r="G84" s="269">
        <v>0.57999999999999996</v>
      </c>
      <c r="H84" s="21"/>
      <c r="I84" s="21"/>
      <c r="J84" s="43"/>
      <c r="K84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9">
        <v>25</v>
      </c>
      <c r="C85" s="172" t="str">
        <f t="shared" si="2"/>
        <v>NI-MCPP-06</v>
      </c>
      <c r="D85" s="40"/>
      <c r="E85" s="34"/>
      <c r="F85" s="34"/>
      <c r="G85" s="269"/>
      <c r="H85" s="21"/>
      <c r="I85" s="21"/>
      <c r="J85" s="43"/>
      <c r="K85" s="169"/>
      <c r="L85"/>
    </row>
    <row r="86" spans="1:12" ht="15" thickBot="1" x14ac:dyDescent="0.35">
      <c r="B86" s="60">
        <v>26</v>
      </c>
      <c r="C86" s="173" t="str">
        <f t="shared" si="2"/>
        <v>NI-MCPP-06</v>
      </c>
      <c r="D86" s="41"/>
      <c r="E86" s="160"/>
      <c r="F86" s="161"/>
      <c r="G86" s="160"/>
      <c r="H86" s="42"/>
      <c r="I86" s="35"/>
      <c r="J86" s="44"/>
      <c r="K86" s="162"/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2" t="s">
        <v>481</v>
      </c>
      <c r="E90" s="413"/>
      <c r="F90" s="413"/>
      <c r="G90" s="414"/>
      <c r="L90"/>
    </row>
    <row r="91" spans="1:12" x14ac:dyDescent="0.3">
      <c r="D91" s="332" t="s">
        <v>482</v>
      </c>
      <c r="E91" s="333"/>
      <c r="F91" s="333"/>
      <c r="G91" s="334"/>
      <c r="L91"/>
    </row>
    <row r="92" spans="1:12" x14ac:dyDescent="0.3">
      <c r="D92" s="332" t="s">
        <v>483</v>
      </c>
      <c r="E92" s="333"/>
      <c r="F92" s="333"/>
      <c r="G92" s="334"/>
      <c r="L92"/>
    </row>
    <row r="93" spans="1:12" x14ac:dyDescent="0.3">
      <c r="D93" s="332" t="s">
        <v>484</v>
      </c>
      <c r="E93" s="333"/>
      <c r="F93" s="333"/>
      <c r="G93" s="334"/>
      <c r="L93"/>
    </row>
    <row r="94" spans="1:12" x14ac:dyDescent="0.3">
      <c r="D94" s="332" t="s">
        <v>485</v>
      </c>
      <c r="E94" s="333"/>
      <c r="F94" s="333"/>
      <c r="G94" s="334"/>
      <c r="L94"/>
    </row>
    <row r="95" spans="1:12" x14ac:dyDescent="0.3">
      <c r="D95" s="332" t="s">
        <v>486</v>
      </c>
      <c r="E95" s="333"/>
      <c r="F95" s="333"/>
      <c r="G95" s="334"/>
      <c r="L95"/>
    </row>
    <row r="96" spans="1:12" x14ac:dyDescent="0.3">
      <c r="D96" s="332" t="s">
        <v>487</v>
      </c>
      <c r="E96" s="333"/>
      <c r="F96" s="333"/>
      <c r="G96" s="334"/>
    </row>
    <row r="97" spans="4:7" x14ac:dyDescent="0.3">
      <c r="D97" s="332" t="s">
        <v>488</v>
      </c>
      <c r="E97" s="333"/>
      <c r="F97" s="333"/>
      <c r="G97" s="334"/>
    </row>
    <row r="98" spans="4:7" x14ac:dyDescent="0.3">
      <c r="D98" s="332" t="s">
        <v>489</v>
      </c>
      <c r="E98" s="333"/>
      <c r="F98" s="333"/>
      <c r="G98" s="334"/>
    </row>
    <row r="99" spans="4:7" x14ac:dyDescent="0.3">
      <c r="D99" s="332" t="s">
        <v>490</v>
      </c>
      <c r="E99" s="333"/>
      <c r="F99" s="333"/>
      <c r="G99" s="334"/>
    </row>
    <row r="100" spans="4:7" x14ac:dyDescent="0.3">
      <c r="D100" s="332" t="s">
        <v>491</v>
      </c>
      <c r="E100" s="333"/>
      <c r="F100" s="333"/>
      <c r="G100" s="334"/>
    </row>
    <row r="101" spans="4:7" x14ac:dyDescent="0.3">
      <c r="D101" s="332" t="s">
        <v>492</v>
      </c>
      <c r="E101" s="333"/>
      <c r="F101" s="333"/>
      <c r="G101" s="334"/>
    </row>
    <row r="102" spans="4:7" x14ac:dyDescent="0.3">
      <c r="D102" s="332" t="s">
        <v>493</v>
      </c>
      <c r="E102" s="333"/>
      <c r="F102" s="333"/>
      <c r="G102" s="334"/>
    </row>
    <row r="103" spans="4:7" x14ac:dyDescent="0.3">
      <c r="D103" s="332" t="s">
        <v>494</v>
      </c>
      <c r="E103" s="333"/>
      <c r="F103" s="333"/>
      <c r="G103" s="334"/>
    </row>
    <row r="104" spans="4:7" x14ac:dyDescent="0.3">
      <c r="D104" s="332" t="s">
        <v>495</v>
      </c>
      <c r="E104" s="333"/>
      <c r="F104" s="333"/>
      <c r="G104" s="334"/>
    </row>
    <row r="105" spans="4:7" x14ac:dyDescent="0.3">
      <c r="D105" s="332" t="s">
        <v>496</v>
      </c>
      <c r="E105" s="333"/>
      <c r="F105" s="333"/>
      <c r="G105" s="334"/>
    </row>
    <row r="106" spans="4:7" x14ac:dyDescent="0.3">
      <c r="D106" s="332" t="s">
        <v>497</v>
      </c>
      <c r="E106" s="333"/>
      <c r="F106" s="333"/>
      <c r="G106" s="334"/>
    </row>
    <row r="107" spans="4:7" x14ac:dyDescent="0.3">
      <c r="D107" s="332" t="s">
        <v>498</v>
      </c>
      <c r="E107" s="333"/>
      <c r="F107" s="333"/>
      <c r="G107" s="334"/>
    </row>
    <row r="108" spans="4:7" x14ac:dyDescent="0.3">
      <c r="D108" s="332" t="s">
        <v>499</v>
      </c>
      <c r="E108" s="333"/>
      <c r="F108" s="333"/>
      <c r="G108" s="334"/>
    </row>
    <row r="109" spans="4:7" x14ac:dyDescent="0.3">
      <c r="D109" s="332" t="s">
        <v>500</v>
      </c>
      <c r="E109" s="333"/>
      <c r="F109" s="333"/>
      <c r="G109" s="334"/>
    </row>
    <row r="110" spans="4:7" x14ac:dyDescent="0.3">
      <c r="D110" s="332" t="s">
        <v>501</v>
      </c>
      <c r="E110" s="333"/>
      <c r="F110" s="333"/>
      <c r="G110" s="334"/>
    </row>
    <row r="111" spans="4:7" x14ac:dyDescent="0.3">
      <c r="D111" s="332" t="s">
        <v>502</v>
      </c>
      <c r="E111" s="333"/>
      <c r="F111" s="333"/>
      <c r="G111" s="334"/>
    </row>
    <row r="112" spans="4:7" x14ac:dyDescent="0.3">
      <c r="D112" s="332" t="s">
        <v>503</v>
      </c>
      <c r="E112" s="333"/>
      <c r="F112" s="333"/>
      <c r="G112" s="334"/>
    </row>
    <row r="113" spans="4:7" ht="15" thickBot="1" x14ac:dyDescent="0.35">
      <c r="D113" s="335" t="s">
        <v>504</v>
      </c>
      <c r="E113" s="336"/>
      <c r="F113" s="336"/>
      <c r="G113" s="337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0" zoomScale="88" zoomScaleNormal="88" workbookViewId="0">
      <selection activeCell="A5" sqref="A5:C37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5" t="s">
        <v>94</v>
      </c>
      <c r="B2" s="415"/>
      <c r="C2" s="415"/>
    </row>
    <row r="3" spans="1:7" x14ac:dyDescent="0.3">
      <c r="A3" s="12"/>
      <c r="B3" s="416" t="s">
        <v>93</v>
      </c>
      <c r="C3" s="416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6" t="s">
        <v>3</v>
      </c>
      <c r="C5" s="296" t="s">
        <v>734</v>
      </c>
    </row>
    <row r="6" spans="1:7" x14ac:dyDescent="0.3">
      <c r="A6" s="297">
        <v>1</v>
      </c>
      <c r="B6" s="298" t="s">
        <v>735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736</v>
      </c>
      <c r="C7" s="298" t="s">
        <v>737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738</v>
      </c>
      <c r="C9" s="298" t="s">
        <v>739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740</v>
      </c>
      <c r="C11" s="300" t="s">
        <v>741</v>
      </c>
      <c r="D11" s="9"/>
      <c r="E11" s="9"/>
      <c r="F11" s="9"/>
      <c r="G11" s="9"/>
    </row>
    <row r="12" spans="1:7" x14ac:dyDescent="0.3">
      <c r="A12" s="297">
        <v>7</v>
      </c>
      <c r="B12" s="298" t="s">
        <v>742</v>
      </c>
      <c r="C12" s="298" t="s">
        <v>743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744</v>
      </c>
      <c r="C16" s="300" t="s">
        <v>745</v>
      </c>
      <c r="D16" s="9"/>
      <c r="E16" s="9"/>
      <c r="F16" s="9"/>
      <c r="G16" s="9"/>
    </row>
    <row r="17" spans="1:7" x14ac:dyDescent="0.3">
      <c r="A17" s="297">
        <v>12</v>
      </c>
      <c r="B17" s="298" t="s">
        <v>746</v>
      </c>
      <c r="C17" s="298" t="s">
        <v>747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748</v>
      </c>
      <c r="C19" s="298" t="s">
        <v>601</v>
      </c>
      <c r="D19" s="9"/>
      <c r="E19" s="9"/>
      <c r="F19" s="9"/>
      <c r="G19" s="9"/>
    </row>
    <row r="20" spans="1:7" x14ac:dyDescent="0.3">
      <c r="A20" s="297">
        <v>15</v>
      </c>
      <c r="B20" s="298" t="s">
        <v>749</v>
      </c>
      <c r="C20" s="298" t="s">
        <v>750</v>
      </c>
      <c r="D20" s="9"/>
      <c r="E20" s="9"/>
      <c r="F20" s="9"/>
      <c r="G20" s="9"/>
    </row>
    <row r="21" spans="1:7" x14ac:dyDescent="0.3">
      <c r="A21" s="297">
        <v>16</v>
      </c>
      <c r="B21" s="298" t="s">
        <v>751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752</v>
      </c>
      <c r="C22" s="298" t="s">
        <v>753</v>
      </c>
      <c r="D22" s="9"/>
      <c r="E22" s="9"/>
      <c r="F22" s="9"/>
      <c r="G22" s="9"/>
    </row>
    <row r="23" spans="1:7" x14ac:dyDescent="0.3">
      <c r="A23" s="297">
        <v>18</v>
      </c>
      <c r="B23" s="298" t="s">
        <v>754</v>
      </c>
      <c r="C23" s="298" t="s">
        <v>755</v>
      </c>
      <c r="D23" s="9"/>
      <c r="E23" s="9"/>
      <c r="F23" s="9"/>
      <c r="G23" s="9"/>
    </row>
    <row r="24" spans="1:7" x14ac:dyDescent="0.3">
      <c r="A24" s="297">
        <v>19</v>
      </c>
      <c r="B24" s="298" t="s">
        <v>756</v>
      </c>
      <c r="C24" s="298" t="s">
        <v>757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758</v>
      </c>
      <c r="C25" s="298" t="s">
        <v>759</v>
      </c>
      <c r="D25" s="9"/>
      <c r="E25" s="9"/>
      <c r="F25" s="9"/>
      <c r="G25" s="9"/>
    </row>
    <row r="26" spans="1:7" x14ac:dyDescent="0.3">
      <c r="A26" s="297">
        <v>21</v>
      </c>
      <c r="B26" s="298" t="s">
        <v>760</v>
      </c>
      <c r="C26" s="298" t="s">
        <v>761</v>
      </c>
      <c r="D26" s="9"/>
      <c r="E26" s="9"/>
      <c r="F26" s="9"/>
      <c r="G26" s="9"/>
    </row>
    <row r="27" spans="1:7" x14ac:dyDescent="0.3">
      <c r="A27" s="297">
        <v>22</v>
      </c>
      <c r="B27" s="298" t="s">
        <v>762</v>
      </c>
      <c r="C27" s="298" t="s">
        <v>763</v>
      </c>
      <c r="D27" s="9"/>
      <c r="E27" s="9"/>
      <c r="F27" s="9"/>
      <c r="G27" s="9"/>
    </row>
    <row r="28" spans="1:7" x14ac:dyDescent="0.3">
      <c r="A28" s="297">
        <v>23</v>
      </c>
      <c r="B28" s="298" t="s">
        <v>764</v>
      </c>
      <c r="C28" s="298" t="s">
        <v>765</v>
      </c>
      <c r="D28" s="9"/>
      <c r="E28" s="9"/>
      <c r="F28" s="9"/>
      <c r="G28" s="9"/>
    </row>
    <row r="29" spans="1:7" x14ac:dyDescent="0.3">
      <c r="A29" s="297">
        <v>24</v>
      </c>
      <c r="B29" s="298" t="s">
        <v>766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767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768</v>
      </c>
      <c r="C31" s="298" t="s">
        <v>769</v>
      </c>
      <c r="D31" s="9"/>
      <c r="E31" s="9"/>
      <c r="F31" s="9"/>
      <c r="G31" s="9"/>
    </row>
    <row r="32" spans="1:7" x14ac:dyDescent="0.3">
      <c r="A32" s="297">
        <v>27</v>
      </c>
      <c r="B32" s="298" t="s">
        <v>770</v>
      </c>
      <c r="C32" s="298" t="s">
        <v>771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772</v>
      </c>
      <c r="D33" s="9"/>
      <c r="E33" s="9"/>
      <c r="F33" s="9"/>
      <c r="G33" s="9"/>
    </row>
    <row r="34" spans="1:7" x14ac:dyDescent="0.3">
      <c r="A34" s="297">
        <v>29</v>
      </c>
      <c r="B34" s="298" t="s">
        <v>773</v>
      </c>
      <c r="C34" s="298" t="s">
        <v>689</v>
      </c>
      <c r="D34" s="9"/>
      <c r="E34" s="9"/>
      <c r="F34" s="9"/>
      <c r="G34" s="9"/>
    </row>
    <row r="35" spans="1:7" x14ac:dyDescent="0.3">
      <c r="A35" s="297">
        <v>30</v>
      </c>
      <c r="B35" s="298" t="s">
        <v>774</v>
      </c>
      <c r="C35" s="298" t="s">
        <v>775</v>
      </c>
      <c r="D35" s="9"/>
      <c r="E35" s="9"/>
      <c r="F35" s="9"/>
      <c r="G35" s="9"/>
    </row>
    <row r="36" spans="1:7" x14ac:dyDescent="0.3">
      <c r="A36" s="297">
        <v>31</v>
      </c>
      <c r="B36" s="298" t="s">
        <v>776</v>
      </c>
      <c r="C36" s="298" t="s">
        <v>777</v>
      </c>
      <c r="D36" s="9"/>
      <c r="E36" s="9"/>
      <c r="F36" s="9"/>
      <c r="G36" s="9"/>
    </row>
    <row r="37" spans="1:7" x14ac:dyDescent="0.3">
      <c r="A37" s="297">
        <v>32</v>
      </c>
      <c r="B37" s="298" t="s">
        <v>572</v>
      </c>
      <c r="C37" s="298" t="s">
        <v>573</v>
      </c>
      <c r="D37" s="9"/>
      <c r="E37" s="9"/>
      <c r="F37" s="9"/>
      <c r="G37" s="9"/>
    </row>
    <row r="38" spans="1:7" x14ac:dyDescent="0.3">
      <c r="A38" s="297">
        <v>33</v>
      </c>
      <c r="B38" s="298" t="s">
        <v>778</v>
      </c>
      <c r="C38" s="298" t="s">
        <v>779</v>
      </c>
      <c r="D38" s="9"/>
      <c r="E38" s="9"/>
      <c r="F38" s="9"/>
      <c r="G38" s="9"/>
    </row>
    <row r="39" spans="1:7" x14ac:dyDescent="0.3">
      <c r="A39" s="297">
        <v>34</v>
      </c>
      <c r="B39" s="298" t="s">
        <v>780</v>
      </c>
      <c r="C39" s="298" t="s">
        <v>781</v>
      </c>
      <c r="D39" s="9"/>
      <c r="E39" s="9"/>
      <c r="F39" s="9"/>
      <c r="G39" s="9"/>
    </row>
    <row r="40" spans="1:7" x14ac:dyDescent="0.3">
      <c r="A40" s="297">
        <v>35</v>
      </c>
      <c r="B40" s="9" t="s">
        <v>782</v>
      </c>
      <c r="C40" s="298" t="s">
        <v>783</v>
      </c>
      <c r="D40" s="9"/>
      <c r="E40" s="9"/>
      <c r="F40" s="9"/>
      <c r="G40" s="9"/>
    </row>
    <row r="41" spans="1:7" x14ac:dyDescent="0.3">
      <c r="A41" s="297">
        <v>36</v>
      </c>
      <c r="B41" s="298" t="s">
        <v>690</v>
      </c>
      <c r="C41" s="298" t="s">
        <v>691</v>
      </c>
      <c r="D41" s="9"/>
      <c r="E41" s="9"/>
      <c r="F41" s="9"/>
      <c r="G41" s="9"/>
    </row>
    <row r="42" spans="1:7" x14ac:dyDescent="0.3">
      <c r="A42" s="297">
        <v>37</v>
      </c>
      <c r="B42" s="301" t="s">
        <v>784</v>
      </c>
      <c r="C42" s="298" t="s">
        <v>785</v>
      </c>
      <c r="D42" s="9"/>
      <c r="E42" s="9"/>
      <c r="F42" s="9"/>
      <c r="G42" s="9"/>
    </row>
    <row r="43" spans="1:7" x14ac:dyDescent="0.3">
      <c r="A43" s="297">
        <v>38</v>
      </c>
      <c r="B43" s="298" t="s">
        <v>786</v>
      </c>
      <c r="C43" s="298" t="s">
        <v>787</v>
      </c>
      <c r="D43" s="9"/>
      <c r="E43" s="9"/>
      <c r="F43" s="9"/>
      <c r="G43" s="9"/>
    </row>
    <row r="44" spans="1:7" x14ac:dyDescent="0.3">
      <c r="A44" s="297">
        <v>39</v>
      </c>
      <c r="B44" s="298" t="s">
        <v>788</v>
      </c>
      <c r="C44" s="298" t="s">
        <v>789</v>
      </c>
      <c r="D44" s="9"/>
      <c r="E44" s="9"/>
      <c r="F44" s="9"/>
      <c r="G44" s="9"/>
    </row>
    <row r="45" spans="1:7" x14ac:dyDescent="0.3">
      <c r="A45" s="297">
        <v>40</v>
      </c>
      <c r="B45" s="298" t="s">
        <v>790</v>
      </c>
      <c r="C45" s="298" t="s">
        <v>791</v>
      </c>
      <c r="D45" s="9"/>
      <c r="E45" s="9"/>
      <c r="F45" s="9"/>
      <c r="G45" s="9"/>
    </row>
    <row r="46" spans="1:7" x14ac:dyDescent="0.3">
      <c r="A46" s="297">
        <v>41</v>
      </c>
      <c r="B46" s="298" t="s">
        <v>792</v>
      </c>
      <c r="C46" s="298" t="s">
        <v>576</v>
      </c>
      <c r="D46" s="9"/>
      <c r="E46" s="9"/>
      <c r="F46" s="9"/>
      <c r="G46" s="9"/>
    </row>
    <row r="47" spans="1:7" x14ac:dyDescent="0.3">
      <c r="A47" s="297">
        <v>42</v>
      </c>
      <c r="B47" s="298" t="s">
        <v>793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794</v>
      </c>
      <c r="C48" s="298" t="s">
        <v>574</v>
      </c>
      <c r="D48" s="9"/>
      <c r="E48" s="9"/>
      <c r="F48" s="9"/>
      <c r="G48" s="9"/>
    </row>
    <row r="49" spans="1:7" x14ac:dyDescent="0.3">
      <c r="A49" s="297">
        <v>44</v>
      </c>
      <c r="B49" s="298" t="s">
        <v>577</v>
      </c>
      <c r="C49" s="298" t="s">
        <v>578</v>
      </c>
      <c r="D49" s="9"/>
      <c r="E49" s="9"/>
      <c r="F49" s="9"/>
      <c r="G49" s="9"/>
    </row>
    <row r="50" spans="1:7" x14ac:dyDescent="0.3">
      <c r="A50" s="297">
        <v>45</v>
      </c>
      <c r="B50" s="298" t="s">
        <v>795</v>
      </c>
      <c r="C50" s="298" t="s">
        <v>796</v>
      </c>
      <c r="D50" s="9"/>
      <c r="E50" s="9"/>
      <c r="F50" s="9"/>
      <c r="G50" s="9"/>
    </row>
    <row r="51" spans="1:7" x14ac:dyDescent="0.3">
      <c r="A51" s="297">
        <v>46</v>
      </c>
      <c r="B51" s="298" t="s">
        <v>797</v>
      </c>
      <c r="C51" s="298" t="s">
        <v>798</v>
      </c>
      <c r="D51" s="9"/>
      <c r="E51" s="9"/>
      <c r="F51" s="9"/>
      <c r="G51" s="9"/>
    </row>
    <row r="52" spans="1:7" x14ac:dyDescent="0.3">
      <c r="A52" s="297">
        <v>47</v>
      </c>
      <c r="B52" s="298" t="s">
        <v>799</v>
      </c>
      <c r="C52" s="298" t="s">
        <v>800</v>
      </c>
      <c r="D52" s="9"/>
      <c r="E52" s="9"/>
      <c r="F52" s="9"/>
      <c r="G52" s="9"/>
    </row>
    <row r="53" spans="1:7" x14ac:dyDescent="0.3">
      <c r="A53" s="297">
        <v>48</v>
      </c>
      <c r="B53" s="298" t="s">
        <v>801</v>
      </c>
      <c r="C53" s="298" t="s">
        <v>580</v>
      </c>
      <c r="D53" s="9"/>
      <c r="E53" s="9"/>
      <c r="F53" s="9"/>
      <c r="G53" s="9"/>
    </row>
    <row r="54" spans="1:7" x14ac:dyDescent="0.3">
      <c r="A54" s="297">
        <v>49</v>
      </c>
      <c r="B54" s="298" t="s">
        <v>802</v>
      </c>
      <c r="C54" s="298" t="s">
        <v>803</v>
      </c>
      <c r="D54" s="9"/>
      <c r="E54" s="9"/>
      <c r="F54" s="9"/>
      <c r="G54" s="9"/>
    </row>
    <row r="55" spans="1:7" x14ac:dyDescent="0.3">
      <c r="A55" s="297">
        <v>50</v>
      </c>
      <c r="B55" s="298" t="s">
        <v>804</v>
      </c>
      <c r="C55" s="298" t="s">
        <v>805</v>
      </c>
      <c r="D55" s="9"/>
      <c r="E55" s="9"/>
      <c r="F55" s="9"/>
      <c r="G55" s="9"/>
    </row>
    <row r="56" spans="1:7" x14ac:dyDescent="0.3">
      <c r="A56" s="297">
        <v>51</v>
      </c>
      <c r="B56" s="298" t="s">
        <v>806</v>
      </c>
      <c r="C56" s="298" t="s">
        <v>579</v>
      </c>
      <c r="D56" s="9"/>
      <c r="E56" s="9"/>
      <c r="F56" s="9"/>
      <c r="G56" s="9"/>
    </row>
    <row r="57" spans="1:7" x14ac:dyDescent="0.3">
      <c r="A57" s="297">
        <v>52</v>
      </c>
      <c r="B57" s="298" t="s">
        <v>807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808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809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810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811</v>
      </c>
      <c r="C61" s="298" t="s">
        <v>812</v>
      </c>
      <c r="D61" s="9"/>
      <c r="E61" s="9"/>
      <c r="F61" s="9"/>
      <c r="G61" s="9"/>
    </row>
    <row r="62" spans="1:7" x14ac:dyDescent="0.3">
      <c r="A62" s="297">
        <v>57</v>
      </c>
      <c r="B62" s="298" t="s">
        <v>813</v>
      </c>
      <c r="C62" s="298" t="s">
        <v>584</v>
      </c>
      <c r="D62" s="9"/>
      <c r="E62" s="9"/>
      <c r="F62" s="9"/>
      <c r="G62" s="9"/>
    </row>
    <row r="63" spans="1:7" x14ac:dyDescent="0.3">
      <c r="A63" s="297">
        <v>58</v>
      </c>
      <c r="B63" s="298" t="s">
        <v>814</v>
      </c>
      <c r="C63" s="298" t="s">
        <v>815</v>
      </c>
      <c r="D63" s="9"/>
      <c r="E63" s="9"/>
      <c r="F63" s="9"/>
      <c r="G63" s="9"/>
    </row>
    <row r="64" spans="1:7" x14ac:dyDescent="0.3">
      <c r="A64" s="297">
        <v>59</v>
      </c>
      <c r="B64" s="298" t="s">
        <v>816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817</v>
      </c>
      <c r="C65" s="302" t="s">
        <v>818</v>
      </c>
      <c r="D65" s="9"/>
      <c r="E65" s="9"/>
      <c r="F65" s="9"/>
      <c r="G65" s="9"/>
    </row>
    <row r="66" spans="1:7" x14ac:dyDescent="0.3">
      <c r="A66" s="297">
        <v>61</v>
      </c>
      <c r="B66" s="298" t="s">
        <v>819</v>
      </c>
      <c r="C66" s="302" t="s">
        <v>820</v>
      </c>
      <c r="D66" s="9"/>
      <c r="E66" s="9"/>
      <c r="F66" s="9"/>
      <c r="G66" s="9"/>
    </row>
    <row r="67" spans="1:7" x14ac:dyDescent="0.3">
      <c r="A67" s="297">
        <v>62</v>
      </c>
      <c r="B67" s="303" t="s">
        <v>821</v>
      </c>
      <c r="C67" s="303" t="s">
        <v>583</v>
      </c>
      <c r="D67" s="9"/>
      <c r="E67" s="9"/>
      <c r="F67" s="9"/>
      <c r="G67" s="9"/>
    </row>
    <row r="68" spans="1:7" x14ac:dyDescent="0.3">
      <c r="A68" s="297">
        <v>63</v>
      </c>
      <c r="B68" s="298" t="s">
        <v>822</v>
      </c>
      <c r="C68" s="298" t="s">
        <v>823</v>
      </c>
      <c r="D68" s="9"/>
      <c r="E68" s="9"/>
      <c r="F68" s="9"/>
      <c r="G68" s="9"/>
    </row>
    <row r="69" spans="1:7" x14ac:dyDescent="0.3">
      <c r="A69" s="297">
        <v>64</v>
      </c>
      <c r="B69" s="298" t="s">
        <v>824</v>
      </c>
      <c r="C69" s="298" t="s">
        <v>783</v>
      </c>
      <c r="D69" s="9"/>
      <c r="E69" s="9"/>
      <c r="F69" s="9"/>
      <c r="G69" s="9"/>
    </row>
    <row r="70" spans="1:7" x14ac:dyDescent="0.3">
      <c r="A70" s="297">
        <v>65</v>
      </c>
      <c r="B70" s="298" t="s">
        <v>825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826</v>
      </c>
      <c r="C71" s="298" t="s">
        <v>827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759</v>
      </c>
      <c r="D72" s="9"/>
      <c r="E72" s="9"/>
      <c r="F72" s="9"/>
      <c r="G72" s="9"/>
    </row>
    <row r="73" spans="1:7" x14ac:dyDescent="0.3">
      <c r="A73" s="297">
        <v>68</v>
      </c>
      <c r="B73" s="298" t="s">
        <v>828</v>
      </c>
      <c r="C73" s="298" t="s">
        <v>829</v>
      </c>
      <c r="D73" s="9"/>
      <c r="E73" s="9"/>
      <c r="F73" s="9"/>
      <c r="G73" s="9"/>
    </row>
    <row r="74" spans="1:7" x14ac:dyDescent="0.3">
      <c r="A74" s="297">
        <v>69</v>
      </c>
      <c r="B74" s="298" t="s">
        <v>830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831</v>
      </c>
      <c r="C75" s="298" t="s">
        <v>832</v>
      </c>
      <c r="D75" s="9"/>
      <c r="E75" s="9"/>
      <c r="F75" s="9"/>
      <c r="G75" s="9"/>
    </row>
    <row r="76" spans="1:7" x14ac:dyDescent="0.3">
      <c r="A76" s="297">
        <v>71</v>
      </c>
      <c r="B76" s="298" t="s">
        <v>833</v>
      </c>
      <c r="C76" s="298" t="s">
        <v>834</v>
      </c>
      <c r="D76" s="9"/>
      <c r="E76" s="9"/>
      <c r="F76" s="9"/>
      <c r="G76" s="9"/>
    </row>
    <row r="77" spans="1:7" x14ac:dyDescent="0.3">
      <c r="A77" s="297">
        <v>72</v>
      </c>
      <c r="B77" s="298" t="s">
        <v>835</v>
      </c>
      <c r="C77" s="298" t="s">
        <v>836</v>
      </c>
      <c r="D77" s="9"/>
      <c r="E77" s="9"/>
      <c r="F77" s="9"/>
      <c r="G77" s="9"/>
    </row>
    <row r="78" spans="1:7" x14ac:dyDescent="0.3">
      <c r="A78" s="297">
        <v>73</v>
      </c>
      <c r="B78" s="298" t="s">
        <v>837</v>
      </c>
      <c r="C78" s="298" t="s">
        <v>759</v>
      </c>
      <c r="D78" s="9"/>
      <c r="E78" s="9"/>
      <c r="F78" s="9"/>
      <c r="G78" s="9"/>
    </row>
    <row r="79" spans="1:7" x14ac:dyDescent="0.3">
      <c r="A79" s="297">
        <v>74</v>
      </c>
      <c r="B79" s="298" t="s">
        <v>838</v>
      </c>
      <c r="C79" s="298" t="s">
        <v>839</v>
      </c>
      <c r="D79" s="9"/>
      <c r="E79" s="9"/>
      <c r="F79" s="9"/>
      <c r="G79" s="9"/>
    </row>
    <row r="80" spans="1:7" x14ac:dyDescent="0.3">
      <c r="A80" s="297">
        <v>75</v>
      </c>
      <c r="B80" s="298" t="s">
        <v>840</v>
      </c>
      <c r="C80" s="298" t="s">
        <v>841</v>
      </c>
      <c r="D80" s="9"/>
      <c r="E80" s="9"/>
      <c r="F80" s="9"/>
      <c r="G80" s="9"/>
    </row>
    <row r="81" spans="1:7" x14ac:dyDescent="0.3">
      <c r="A81" s="297">
        <v>76</v>
      </c>
      <c r="B81" s="298" t="s">
        <v>585</v>
      </c>
      <c r="C81" s="298" t="s">
        <v>842</v>
      </c>
      <c r="D81" s="9"/>
      <c r="E81" s="9"/>
      <c r="F81" s="9"/>
      <c r="G81" s="9"/>
    </row>
    <row r="82" spans="1:7" x14ac:dyDescent="0.3">
      <c r="A82" s="297">
        <v>77</v>
      </c>
      <c r="B82" s="298" t="s">
        <v>693</v>
      </c>
      <c r="C82" s="298" t="s">
        <v>843</v>
      </c>
      <c r="D82" s="9"/>
      <c r="E82" s="9"/>
      <c r="F82" s="9"/>
      <c r="G82" s="9"/>
    </row>
    <row r="83" spans="1:7" x14ac:dyDescent="0.3">
      <c r="A83" s="297">
        <v>78</v>
      </c>
      <c r="B83" s="298" t="s">
        <v>844</v>
      </c>
      <c r="C83" s="298" t="s">
        <v>845</v>
      </c>
      <c r="D83" s="9"/>
      <c r="E83" s="9"/>
      <c r="F83" s="9"/>
      <c r="G83" s="9"/>
    </row>
    <row r="84" spans="1:7" x14ac:dyDescent="0.3">
      <c r="A84" s="297">
        <v>79</v>
      </c>
      <c r="B84" s="298" t="s">
        <v>846</v>
      </c>
      <c r="C84" s="298" t="s">
        <v>847</v>
      </c>
      <c r="D84" s="9"/>
      <c r="E84" s="9"/>
      <c r="F84" s="9"/>
      <c r="G84" s="9"/>
    </row>
    <row r="85" spans="1:7" x14ac:dyDescent="0.3">
      <c r="A85" s="297">
        <v>80</v>
      </c>
      <c r="B85" s="298" t="s">
        <v>848</v>
      </c>
      <c r="C85" s="298" t="s">
        <v>849</v>
      </c>
      <c r="D85" s="9"/>
      <c r="E85" s="9"/>
      <c r="F85" s="9"/>
      <c r="G85" s="9"/>
    </row>
    <row r="86" spans="1:7" x14ac:dyDescent="0.3">
      <c r="A86" s="297">
        <v>81</v>
      </c>
      <c r="B86" s="298" t="s">
        <v>850</v>
      </c>
      <c r="C86" s="9" t="s">
        <v>851</v>
      </c>
      <c r="D86" s="9"/>
      <c r="E86" s="9"/>
      <c r="F86" s="9"/>
      <c r="G86" s="9"/>
    </row>
    <row r="87" spans="1:7" x14ac:dyDescent="0.3">
      <c r="A87" s="297">
        <v>82</v>
      </c>
      <c r="B87" s="298" t="s">
        <v>852</v>
      </c>
      <c r="C87" s="298" t="s">
        <v>853</v>
      </c>
      <c r="D87" s="9"/>
      <c r="E87" s="9"/>
      <c r="F87" s="9"/>
      <c r="G87" s="9"/>
    </row>
    <row r="88" spans="1:7" x14ac:dyDescent="0.3">
      <c r="A88" s="297">
        <v>83</v>
      </c>
      <c r="B88" s="298" t="s">
        <v>854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855</v>
      </c>
      <c r="C89" s="298" t="s">
        <v>856</v>
      </c>
      <c r="D89" s="9"/>
      <c r="E89" s="9"/>
      <c r="F89" s="9"/>
      <c r="G89" s="9"/>
    </row>
    <row r="90" spans="1:7" x14ac:dyDescent="0.3">
      <c r="A90" s="297">
        <v>85</v>
      </c>
      <c r="B90" s="298" t="s">
        <v>857</v>
      </c>
      <c r="C90" s="298" t="s">
        <v>858</v>
      </c>
      <c r="D90" s="9"/>
      <c r="E90" s="9"/>
      <c r="F90" s="9"/>
      <c r="G90" s="9"/>
    </row>
    <row r="91" spans="1:7" x14ac:dyDescent="0.3">
      <c r="A91" s="297">
        <v>86</v>
      </c>
      <c r="B91" s="298" t="s">
        <v>859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694</v>
      </c>
      <c r="C92" s="298" t="s">
        <v>695</v>
      </c>
      <c r="D92" s="9"/>
      <c r="E92" s="9"/>
      <c r="F92" s="9"/>
      <c r="G92" s="9"/>
    </row>
    <row r="93" spans="1:7" x14ac:dyDescent="0.3">
      <c r="A93" s="297">
        <v>88</v>
      </c>
      <c r="B93" s="298" t="s">
        <v>860</v>
      </c>
      <c r="C93" s="298" t="s">
        <v>861</v>
      </c>
      <c r="D93" s="9"/>
      <c r="E93" s="9"/>
      <c r="F93" s="9"/>
      <c r="G93" s="9"/>
    </row>
    <row r="94" spans="1:7" x14ac:dyDescent="0.3">
      <c r="A94" s="297">
        <v>89</v>
      </c>
      <c r="B94" s="298" t="s">
        <v>862</v>
      </c>
      <c r="C94" s="298" t="s">
        <v>692</v>
      </c>
      <c r="D94" s="9"/>
      <c r="E94" s="9"/>
      <c r="F94" s="9"/>
      <c r="G94" s="9"/>
    </row>
    <row r="95" spans="1:7" x14ac:dyDescent="0.3">
      <c r="A95" s="297">
        <v>90</v>
      </c>
      <c r="B95" s="298" t="s">
        <v>863</v>
      </c>
      <c r="C95" s="298" t="s">
        <v>864</v>
      </c>
      <c r="D95" s="9"/>
      <c r="E95" s="9"/>
      <c r="F95" s="9"/>
      <c r="G95" s="9"/>
    </row>
    <row r="96" spans="1:7" x14ac:dyDescent="0.3">
      <c r="A96" s="297">
        <v>91</v>
      </c>
      <c r="B96" s="298" t="s">
        <v>865</v>
      </c>
      <c r="C96" s="298" t="s">
        <v>866</v>
      </c>
      <c r="D96" s="9"/>
      <c r="E96" s="9"/>
      <c r="F96" s="9"/>
      <c r="G96" s="9"/>
    </row>
    <row r="97" spans="1:7" x14ac:dyDescent="0.3">
      <c r="A97" s="297">
        <v>92</v>
      </c>
      <c r="B97" s="298" t="s">
        <v>867</v>
      </c>
      <c r="C97" s="298" t="s">
        <v>868</v>
      </c>
      <c r="D97" s="9"/>
      <c r="E97" s="9"/>
      <c r="F97" s="9"/>
      <c r="G97" s="9"/>
    </row>
    <row r="98" spans="1:7" x14ac:dyDescent="0.3">
      <c r="A98" s="297">
        <v>93</v>
      </c>
      <c r="B98" s="298" t="s">
        <v>869</v>
      </c>
      <c r="C98" s="298" t="s">
        <v>870</v>
      </c>
      <c r="D98" s="9"/>
      <c r="E98" s="9"/>
      <c r="F98" s="9"/>
      <c r="G98" s="9"/>
    </row>
    <row r="99" spans="1:7" x14ac:dyDescent="0.3">
      <c r="A99" s="297">
        <v>94</v>
      </c>
      <c r="B99" s="298" t="s">
        <v>871</v>
      </c>
      <c r="C99" s="298" t="s">
        <v>872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873</v>
      </c>
      <c r="C100" s="298" t="s">
        <v>874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875</v>
      </c>
      <c r="C101" s="298" t="s">
        <v>586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876</v>
      </c>
      <c r="C102" s="298" t="s">
        <v>877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878</v>
      </c>
      <c r="C103" s="298" t="s">
        <v>879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880</v>
      </c>
      <c r="C104" s="298" t="s">
        <v>881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882</v>
      </c>
      <c r="C105" s="298" t="s">
        <v>883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884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885</v>
      </c>
      <c r="C107" s="298" t="s">
        <v>886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887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888</v>
      </c>
      <c r="C109" s="298" t="s">
        <v>889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890</v>
      </c>
      <c r="C110" s="298" t="s">
        <v>891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892</v>
      </c>
      <c r="C111" s="298" t="s">
        <v>893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587</v>
      </c>
      <c r="C112" s="298" t="s">
        <v>588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894</v>
      </c>
      <c r="C113" s="298" t="s">
        <v>895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896</v>
      </c>
      <c r="C114" s="298" t="s">
        <v>897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898</v>
      </c>
      <c r="C115" s="298" t="s">
        <v>899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900</v>
      </c>
      <c r="C116" s="298" t="s">
        <v>901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902</v>
      </c>
      <c r="C117" s="298" t="s">
        <v>903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904</v>
      </c>
      <c r="C118" s="298" t="s">
        <v>589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591</v>
      </c>
      <c r="C119" s="298" t="s">
        <v>592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905</v>
      </c>
      <c r="C120" s="298" t="s">
        <v>590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906</v>
      </c>
      <c r="C121" s="298" t="s">
        <v>907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908</v>
      </c>
      <c r="C122" s="298" t="s">
        <v>593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909</v>
      </c>
      <c r="C123" s="298" t="s">
        <v>910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911</v>
      </c>
      <c r="C124" s="298" t="s">
        <v>912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913</v>
      </c>
      <c r="C125" s="298" t="s">
        <v>914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312</v>
      </c>
      <c r="C126" s="298" t="s">
        <v>594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915</v>
      </c>
      <c r="C127" s="298" t="s">
        <v>916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917</v>
      </c>
      <c r="C128" s="298" t="s">
        <v>918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919</v>
      </c>
      <c r="C129" s="298" t="s">
        <v>920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921</v>
      </c>
      <c r="C130" s="298" t="s">
        <v>922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697</v>
      </c>
      <c r="C131" s="298" t="s">
        <v>923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924</v>
      </c>
      <c r="C132" s="298" t="s">
        <v>925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926</v>
      </c>
      <c r="C133" s="298" t="s">
        <v>595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927</v>
      </c>
      <c r="C134" s="298" t="s">
        <v>928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929</v>
      </c>
      <c r="C135" s="298" t="s">
        <v>930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931</v>
      </c>
      <c r="C136" s="298" t="s">
        <v>616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932</v>
      </c>
      <c r="C137" s="298" t="s">
        <v>596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933</v>
      </c>
      <c r="C138" s="298" t="s">
        <v>934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935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936</v>
      </c>
      <c r="C140" s="298" t="s">
        <v>937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938</v>
      </c>
      <c r="C141" s="298" t="s">
        <v>939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940</v>
      </c>
      <c r="C142" s="298" t="s">
        <v>941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942</v>
      </c>
      <c r="C143" s="298" t="s">
        <v>943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944</v>
      </c>
      <c r="C144" s="298" t="s">
        <v>945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946</v>
      </c>
      <c r="C145" s="298" t="s">
        <v>947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948</v>
      </c>
      <c r="C146" s="298" t="s">
        <v>598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949</v>
      </c>
      <c r="C147" s="298" t="s">
        <v>599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950</v>
      </c>
      <c r="C148" s="298" t="s">
        <v>951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952</v>
      </c>
      <c r="C149" s="298" t="s">
        <v>759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953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954</v>
      </c>
      <c r="C151" s="298" t="s">
        <v>955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956</v>
      </c>
      <c r="C152" s="298" t="s">
        <v>955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957</v>
      </c>
      <c r="C153" s="298" t="s">
        <v>597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958</v>
      </c>
      <c r="C154" s="298" t="s">
        <v>959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960</v>
      </c>
      <c r="C155" s="298" t="s">
        <v>696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961</v>
      </c>
      <c r="C156" s="298" t="s">
        <v>962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963</v>
      </c>
      <c r="C157" s="298" t="s">
        <v>964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965</v>
      </c>
      <c r="C158" s="298" t="s">
        <v>966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698</v>
      </c>
      <c r="C159" s="298" t="s">
        <v>699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701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967</v>
      </c>
      <c r="C161" s="298" t="s">
        <v>700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968</v>
      </c>
      <c r="C162" s="298" t="s">
        <v>759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969</v>
      </c>
      <c r="C163" s="298" t="s">
        <v>970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971</v>
      </c>
      <c r="C164" s="298" t="s">
        <v>600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972</v>
      </c>
      <c r="C165" s="298" t="s">
        <v>973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974</v>
      </c>
      <c r="C166" s="298" t="s">
        <v>975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976</v>
      </c>
      <c r="C168" s="298" t="s">
        <v>702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977</v>
      </c>
      <c r="C169" s="298" t="s">
        <v>978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703</v>
      </c>
      <c r="C170" s="298" t="s">
        <v>704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979</v>
      </c>
      <c r="C171" s="298" t="s">
        <v>980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981</v>
      </c>
      <c r="C172" s="298" t="s">
        <v>982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983</v>
      </c>
      <c r="C173" s="298" t="s">
        <v>743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984</v>
      </c>
      <c r="C174" s="298" t="s">
        <v>985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986</v>
      </c>
      <c r="C175" s="298" t="s">
        <v>706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987</v>
      </c>
      <c r="C176" s="298" t="s">
        <v>988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989</v>
      </c>
      <c r="C177" s="298" t="s">
        <v>990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991</v>
      </c>
      <c r="C178" s="298" t="s">
        <v>992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993</v>
      </c>
      <c r="C179" s="301" t="s">
        <v>994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995</v>
      </c>
      <c r="C180" s="301" t="s">
        <v>996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997</v>
      </c>
      <c r="C181" s="298" t="s">
        <v>998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606</v>
      </c>
      <c r="C182" s="298" t="s">
        <v>607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999</v>
      </c>
      <c r="C183" s="298" t="s">
        <v>1000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1001</v>
      </c>
      <c r="C184" s="298" t="s">
        <v>1000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1002</v>
      </c>
      <c r="C185" s="298" t="s">
        <v>1003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1004</v>
      </c>
      <c r="C186" s="298" t="s">
        <v>610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1005</v>
      </c>
      <c r="C187" s="298" t="s">
        <v>1006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1007</v>
      </c>
      <c r="C188" s="298" t="s">
        <v>603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1008</v>
      </c>
      <c r="C189" s="298" t="s">
        <v>1009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582</v>
      </c>
      <c r="C190" s="298" t="s">
        <v>1010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1011</v>
      </c>
      <c r="C191" s="298" t="s">
        <v>1012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688</v>
      </c>
      <c r="C192" s="298" t="s">
        <v>684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602</v>
      </c>
      <c r="C193" s="298" t="s">
        <v>1013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1014</v>
      </c>
      <c r="C194" s="298" t="s">
        <v>1015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1016</v>
      </c>
      <c r="C195" s="298" t="s">
        <v>1017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1018</v>
      </c>
      <c r="C196" s="298" t="s">
        <v>604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1019</v>
      </c>
      <c r="C197" s="298" t="s">
        <v>705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1020</v>
      </c>
      <c r="C198" s="298" t="s">
        <v>1021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1022</v>
      </c>
      <c r="C199" s="298" t="s">
        <v>1023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1024</v>
      </c>
      <c r="C200" s="298" t="s">
        <v>605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1025</v>
      </c>
      <c r="C201" s="298" t="s">
        <v>1026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1027</v>
      </c>
      <c r="C202" s="298" t="s">
        <v>1028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1029</v>
      </c>
      <c r="C203" s="298" t="s">
        <v>609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1030</v>
      </c>
      <c r="C204" s="298" t="s">
        <v>1031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1032</v>
      </c>
      <c r="C205" s="298" t="s">
        <v>1033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1034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1035</v>
      </c>
      <c r="C207" s="298" t="s">
        <v>1036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1037</v>
      </c>
      <c r="C208" s="298" t="s">
        <v>1038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1039</v>
      </c>
      <c r="C209" s="298" t="s">
        <v>1040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1041</v>
      </c>
      <c r="C210" s="298" t="s">
        <v>1042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1043</v>
      </c>
      <c r="C211" s="298" t="s">
        <v>1044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1045</v>
      </c>
      <c r="C212" s="298" t="s">
        <v>1046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1047</v>
      </c>
      <c r="C213" s="298" t="s">
        <v>1048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1049</v>
      </c>
      <c r="C214" s="298" t="s">
        <v>1050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1051</v>
      </c>
      <c r="C215" s="301" t="s">
        <v>708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1052</v>
      </c>
      <c r="C216" s="298" t="s">
        <v>1053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1054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1055</v>
      </c>
      <c r="C218" s="298" t="s">
        <v>1056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617</v>
      </c>
      <c r="C219" s="298" t="s">
        <v>618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1057</v>
      </c>
      <c r="C220" s="298" t="s">
        <v>1058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1059</v>
      </c>
      <c r="C221" s="298" t="s">
        <v>1060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1061</v>
      </c>
      <c r="C222" s="298" t="s">
        <v>1062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613</v>
      </c>
      <c r="C223" s="298" t="s">
        <v>1062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709</v>
      </c>
      <c r="C224" s="298" t="s">
        <v>710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1063</v>
      </c>
      <c r="C225" s="298" t="s">
        <v>1064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611</v>
      </c>
      <c r="C226" s="298" t="s">
        <v>612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1065</v>
      </c>
      <c r="C227" s="298" t="s">
        <v>615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1066</v>
      </c>
      <c r="C228" s="298" t="s">
        <v>707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1067</v>
      </c>
      <c r="C229" s="298" t="s">
        <v>614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1068</v>
      </c>
      <c r="C230" s="298" t="s">
        <v>1069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1070</v>
      </c>
      <c r="C231" s="298" t="s">
        <v>1071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1072</v>
      </c>
      <c r="C232" s="298" t="s">
        <v>1073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1074</v>
      </c>
      <c r="C233" s="298" t="s">
        <v>1075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1076</v>
      </c>
      <c r="C234" s="298" t="s">
        <v>1077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1078</v>
      </c>
      <c r="C235" s="298" t="s">
        <v>1079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1080</v>
      </c>
      <c r="C236" s="298" t="s">
        <v>1081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1082</v>
      </c>
      <c r="C238" s="298" t="s">
        <v>616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1083</v>
      </c>
      <c r="C239" s="298" t="s">
        <v>1084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1085</v>
      </c>
      <c r="C240" s="298" t="s">
        <v>1086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621</v>
      </c>
      <c r="C241" s="298" t="s">
        <v>622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619</v>
      </c>
      <c r="C242" s="298" t="s">
        <v>620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1087</v>
      </c>
      <c r="C243" s="298" t="s">
        <v>581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1088</v>
      </c>
      <c r="C244" s="298" t="s">
        <v>1089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1090</v>
      </c>
      <c r="C245" s="298" t="s">
        <v>1091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626</v>
      </c>
      <c r="C246" s="298" t="s">
        <v>627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1092</v>
      </c>
      <c r="C248" s="298" t="s">
        <v>1093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625</v>
      </c>
      <c r="C249" s="298" t="s">
        <v>1094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623</v>
      </c>
      <c r="C250" s="298" t="s">
        <v>624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1095</v>
      </c>
      <c r="C251" s="298" t="s">
        <v>575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1096</v>
      </c>
      <c r="C252" s="298" t="s">
        <v>1097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1098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1099</v>
      </c>
      <c r="C254" s="298" t="s">
        <v>1097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1100</v>
      </c>
      <c r="C255" s="298" t="s">
        <v>759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628</v>
      </c>
      <c r="C256" s="298" t="s">
        <v>629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1101</v>
      </c>
      <c r="C257" s="298" t="s">
        <v>1102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1103</v>
      </c>
      <c r="C258" s="298" t="s">
        <v>1104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1105</v>
      </c>
      <c r="C259" s="298" t="s">
        <v>1106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630</v>
      </c>
      <c r="C260" s="298" t="s">
        <v>631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1107</v>
      </c>
      <c r="C261" s="298" t="s">
        <v>1108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634</v>
      </c>
      <c r="C262" s="298" t="s">
        <v>635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632</v>
      </c>
      <c r="C263" s="298" t="s">
        <v>633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1109</v>
      </c>
      <c r="C264" s="298" t="s">
        <v>1110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1111</v>
      </c>
      <c r="C265" s="298" t="s">
        <v>636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1112</v>
      </c>
      <c r="C266" s="298" t="s">
        <v>1113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1114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1115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1116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1117</v>
      </c>
      <c r="C270" s="298" t="s">
        <v>1118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1119</v>
      </c>
      <c r="C271" s="298" t="s">
        <v>1120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1121</v>
      </c>
      <c r="C272" s="298" t="s">
        <v>1122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1123</v>
      </c>
      <c r="C273" s="298" t="s">
        <v>1124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1125</v>
      </c>
      <c r="C274" s="298" t="s">
        <v>1126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1127</v>
      </c>
      <c r="C275" s="299" t="s">
        <v>1128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1129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1130</v>
      </c>
      <c r="C277" s="298" t="s">
        <v>1131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1132</v>
      </c>
      <c r="C278" s="301" t="s">
        <v>1133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1134</v>
      </c>
      <c r="C279" s="298" t="s">
        <v>1135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1136</v>
      </c>
      <c r="C280" s="298" t="s">
        <v>639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637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638</v>
      </c>
      <c r="C282" s="298" t="s">
        <v>1137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1138</v>
      </c>
      <c r="C283" s="307" t="s">
        <v>1139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1140</v>
      </c>
      <c r="C284" s="307" t="s">
        <v>1141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1142</v>
      </c>
      <c r="C285" s="298" t="s">
        <v>608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1143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1144</v>
      </c>
      <c r="C287" s="298" t="s">
        <v>1145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1146</v>
      </c>
      <c r="C288" s="298" t="s">
        <v>1147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642</v>
      </c>
      <c r="C289" s="298" t="s">
        <v>643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1148</v>
      </c>
      <c r="C290" s="298" t="s">
        <v>1149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1150</v>
      </c>
      <c r="C291" s="298" t="s">
        <v>1151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1152</v>
      </c>
      <c r="C292" s="298" t="s">
        <v>1153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1154</v>
      </c>
      <c r="C293" s="298" t="s">
        <v>1155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1156</v>
      </c>
      <c r="C294" s="298" t="s">
        <v>640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1157</v>
      </c>
      <c r="C295" s="298" t="s">
        <v>1158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1159</v>
      </c>
      <c r="C296" s="298" t="s">
        <v>713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1160</v>
      </c>
      <c r="C297" s="298" t="s">
        <v>992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1161</v>
      </c>
      <c r="C298" s="298" t="s">
        <v>1162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711</v>
      </c>
      <c r="C299" s="298" t="s">
        <v>712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1163</v>
      </c>
      <c r="C300" s="298" t="s">
        <v>1164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1165</v>
      </c>
      <c r="C301" s="298" t="s">
        <v>1166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1167</v>
      </c>
      <c r="C302" s="298" t="s">
        <v>1168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1169</v>
      </c>
      <c r="C303" s="298" t="s">
        <v>641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1170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1171</v>
      </c>
      <c r="C305" s="298" t="s">
        <v>1172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1173</v>
      </c>
      <c r="C306" s="298" t="s">
        <v>714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1174</v>
      </c>
      <c r="C307" s="299" t="s">
        <v>1175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1176</v>
      </c>
      <c r="C308" s="298" t="s">
        <v>1177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644</v>
      </c>
      <c r="C309" s="298" t="s">
        <v>1178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1179</v>
      </c>
      <c r="C310" s="298" t="s">
        <v>645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1180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1181</v>
      </c>
      <c r="C312" s="298" t="s">
        <v>713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1182</v>
      </c>
      <c r="C313" s="298" t="s">
        <v>1183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1184</v>
      </c>
      <c r="C314" s="298" t="s">
        <v>1185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1186</v>
      </c>
      <c r="C315" s="298" t="s">
        <v>1187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1188</v>
      </c>
      <c r="C316" s="298" t="s">
        <v>1189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1190</v>
      </c>
      <c r="C317" s="298" t="s">
        <v>1191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1192</v>
      </c>
      <c r="C318" s="298" t="s">
        <v>1193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1194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1195</v>
      </c>
      <c r="C320" s="298" t="s">
        <v>593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1196</v>
      </c>
      <c r="C321" s="298" t="s">
        <v>715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1197</v>
      </c>
      <c r="C322" s="298" t="s">
        <v>1198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1199</v>
      </c>
      <c r="C323" s="298" t="s">
        <v>646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1200</v>
      </c>
      <c r="C324" s="298" t="s">
        <v>1201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1202</v>
      </c>
      <c r="C325" s="298" t="s">
        <v>716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1203</v>
      </c>
      <c r="C326" s="298" t="s">
        <v>1204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1205</v>
      </c>
      <c r="C327" s="298" t="s">
        <v>1206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1207</v>
      </c>
      <c r="C328" s="298" t="s">
        <v>717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1208</v>
      </c>
      <c r="C329" s="298" t="s">
        <v>1209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1210</v>
      </c>
      <c r="C330" s="298" t="s">
        <v>1211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647</v>
      </c>
      <c r="C331" s="298" t="s">
        <v>648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1212</v>
      </c>
      <c r="C332" s="298" t="s">
        <v>1213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1214</v>
      </c>
      <c r="C333" s="298" t="s">
        <v>1215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651</v>
      </c>
      <c r="C334" s="298" t="s">
        <v>652</v>
      </c>
    </row>
    <row r="335" spans="1:8" x14ac:dyDescent="0.3">
      <c r="A335" s="297">
        <v>330</v>
      </c>
      <c r="B335" s="298" t="s">
        <v>1216</v>
      </c>
      <c r="C335" s="298" t="s">
        <v>85</v>
      </c>
    </row>
    <row r="336" spans="1:8" x14ac:dyDescent="0.3">
      <c r="A336" s="297">
        <v>331</v>
      </c>
      <c r="B336" s="298" t="s">
        <v>1217</v>
      </c>
      <c r="C336" s="298" t="s">
        <v>1218</v>
      </c>
    </row>
    <row r="337" spans="1:3" x14ac:dyDescent="0.3">
      <c r="A337" s="297">
        <v>332</v>
      </c>
      <c r="B337" s="298" t="s">
        <v>649</v>
      </c>
      <c r="C337" s="298" t="s">
        <v>55</v>
      </c>
    </row>
    <row r="338" spans="1:3" x14ac:dyDescent="0.3">
      <c r="A338" s="297">
        <v>333</v>
      </c>
      <c r="B338" s="301" t="s">
        <v>1219</v>
      </c>
      <c r="C338" s="298" t="s">
        <v>650</v>
      </c>
    </row>
    <row r="339" spans="1:3" ht="26.4" x14ac:dyDescent="0.3">
      <c r="A339" s="297">
        <v>334</v>
      </c>
      <c r="B339" s="301" t="s">
        <v>733</v>
      </c>
      <c r="C339" s="298" t="s">
        <v>1220</v>
      </c>
    </row>
    <row r="340" spans="1:3" x14ac:dyDescent="0.3">
      <c r="A340" s="297">
        <v>335</v>
      </c>
      <c r="B340" s="301" t="s">
        <v>1221</v>
      </c>
      <c r="C340" s="298" t="s">
        <v>659</v>
      </c>
    </row>
    <row r="341" spans="1:3" x14ac:dyDescent="0.3">
      <c r="A341" s="297">
        <v>336</v>
      </c>
      <c r="B341" s="301" t="s">
        <v>1222</v>
      </c>
      <c r="C341" s="298" t="s">
        <v>1223</v>
      </c>
    </row>
    <row r="342" spans="1:3" x14ac:dyDescent="0.3">
      <c r="A342" s="297">
        <v>337</v>
      </c>
      <c r="B342" s="301" t="s">
        <v>1224</v>
      </c>
      <c r="C342" s="298" t="s">
        <v>656</v>
      </c>
    </row>
    <row r="343" spans="1:3" x14ac:dyDescent="0.3">
      <c r="A343" s="297">
        <v>338</v>
      </c>
      <c r="B343" s="301" t="s">
        <v>655</v>
      </c>
      <c r="C343" s="298" t="s">
        <v>73</v>
      </c>
    </row>
    <row r="344" spans="1:3" x14ac:dyDescent="0.3">
      <c r="A344" s="297">
        <v>339</v>
      </c>
      <c r="B344" s="301" t="s">
        <v>653</v>
      </c>
      <c r="C344" s="298" t="s">
        <v>654</v>
      </c>
    </row>
    <row r="345" spans="1:3" x14ac:dyDescent="0.3">
      <c r="A345" s="297">
        <v>340</v>
      </c>
      <c r="B345" s="301" t="s">
        <v>1225</v>
      </c>
      <c r="C345" s="298" t="s">
        <v>657</v>
      </c>
    </row>
    <row r="346" spans="1:3" x14ac:dyDescent="0.3">
      <c r="A346" s="297">
        <v>341</v>
      </c>
      <c r="B346" s="301" t="s">
        <v>1226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1227</v>
      </c>
    </row>
    <row r="348" spans="1:3" x14ac:dyDescent="0.3">
      <c r="A348" s="297">
        <v>343</v>
      </c>
      <c r="B348" s="301" t="s">
        <v>1228</v>
      </c>
      <c r="C348" s="298" t="s">
        <v>561</v>
      </c>
    </row>
    <row r="349" spans="1:3" x14ac:dyDescent="0.3">
      <c r="A349" s="297">
        <v>344</v>
      </c>
      <c r="B349" s="301" t="s">
        <v>1229</v>
      </c>
      <c r="C349" s="298" t="s">
        <v>49</v>
      </c>
    </row>
    <row r="350" spans="1:3" x14ac:dyDescent="0.3">
      <c r="A350" s="297">
        <v>345</v>
      </c>
      <c r="B350" s="301" t="s">
        <v>1230</v>
      </c>
      <c r="C350" s="298" t="s">
        <v>1231</v>
      </c>
    </row>
    <row r="351" spans="1:3" x14ac:dyDescent="0.3">
      <c r="A351" s="297">
        <v>346</v>
      </c>
      <c r="B351" s="301" t="s">
        <v>52</v>
      </c>
      <c r="C351" s="298" t="s">
        <v>1232</v>
      </c>
    </row>
    <row r="352" spans="1:3" x14ac:dyDescent="0.3">
      <c r="A352" s="297">
        <v>347</v>
      </c>
      <c r="B352" s="301" t="s">
        <v>1233</v>
      </c>
      <c r="C352" s="298" t="s">
        <v>1234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658</v>
      </c>
      <c r="C354" s="298" t="s">
        <v>1235</v>
      </c>
    </row>
    <row r="355" spans="1:3" x14ac:dyDescent="0.3">
      <c r="A355" s="297">
        <v>350</v>
      </c>
      <c r="B355" s="301" t="s">
        <v>1236</v>
      </c>
      <c r="C355" s="298" t="s">
        <v>1237</v>
      </c>
    </row>
    <row r="356" spans="1:3" x14ac:dyDescent="0.3">
      <c r="A356" s="297">
        <v>351</v>
      </c>
      <c r="B356" s="301" t="s">
        <v>1238</v>
      </c>
      <c r="C356" s="298" t="s">
        <v>1239</v>
      </c>
    </row>
    <row r="357" spans="1:3" x14ac:dyDescent="0.3">
      <c r="A357" s="297">
        <v>352</v>
      </c>
      <c r="B357" s="301" t="s">
        <v>1240</v>
      </c>
      <c r="C357" s="298" t="s">
        <v>660</v>
      </c>
    </row>
    <row r="358" spans="1:3" x14ac:dyDescent="0.3">
      <c r="A358" s="297">
        <v>353</v>
      </c>
      <c r="B358" s="301" t="s">
        <v>663</v>
      </c>
      <c r="C358" s="298" t="s">
        <v>664</v>
      </c>
    </row>
    <row r="359" spans="1:3" x14ac:dyDescent="0.3">
      <c r="A359" s="297">
        <v>354</v>
      </c>
      <c r="B359" s="301" t="s">
        <v>1241</v>
      </c>
      <c r="C359" s="301" t="s">
        <v>662</v>
      </c>
    </row>
    <row r="360" spans="1:3" x14ac:dyDescent="0.3">
      <c r="A360" s="297">
        <v>355</v>
      </c>
      <c r="B360" s="301" t="s">
        <v>1242</v>
      </c>
      <c r="C360" s="301" t="s">
        <v>1243</v>
      </c>
    </row>
    <row r="361" spans="1:3" x14ac:dyDescent="0.3">
      <c r="A361" s="297">
        <v>356</v>
      </c>
      <c r="B361" s="301" t="s">
        <v>1244</v>
      </c>
      <c r="C361" s="301" t="s">
        <v>661</v>
      </c>
    </row>
    <row r="362" spans="1:3" x14ac:dyDescent="0.3">
      <c r="A362" s="297">
        <v>357</v>
      </c>
      <c r="B362" s="301" t="s">
        <v>1245</v>
      </c>
      <c r="C362" s="301" t="s">
        <v>1246</v>
      </c>
    </row>
    <row r="363" spans="1:3" x14ac:dyDescent="0.3">
      <c r="A363" s="297">
        <v>358</v>
      </c>
      <c r="B363" s="301" t="s">
        <v>1247</v>
      </c>
      <c r="C363" s="301" t="s">
        <v>856</v>
      </c>
    </row>
    <row r="364" spans="1:3" x14ac:dyDescent="0.3">
      <c r="A364" s="297">
        <v>359</v>
      </c>
      <c r="B364" s="301" t="s">
        <v>1248</v>
      </c>
      <c r="C364" s="301" t="s">
        <v>1249</v>
      </c>
    </row>
    <row r="365" spans="1:3" x14ac:dyDescent="0.3">
      <c r="A365" s="297">
        <v>360</v>
      </c>
      <c r="B365" s="301" t="s">
        <v>1250</v>
      </c>
      <c r="C365" s="301" t="s">
        <v>1251</v>
      </c>
    </row>
    <row r="366" spans="1:3" x14ac:dyDescent="0.3">
      <c r="A366" s="297">
        <v>361</v>
      </c>
      <c r="B366" s="301" t="s">
        <v>1252</v>
      </c>
      <c r="C366" s="301" t="s">
        <v>665</v>
      </c>
    </row>
    <row r="367" spans="1:3" x14ac:dyDescent="0.3">
      <c r="A367" s="297">
        <v>362</v>
      </c>
      <c r="B367" s="301" t="s">
        <v>1253</v>
      </c>
      <c r="C367" s="301" t="s">
        <v>48</v>
      </c>
    </row>
    <row r="368" spans="1:3" x14ac:dyDescent="0.3">
      <c r="A368" s="297">
        <v>363</v>
      </c>
      <c r="B368" s="301" t="s">
        <v>1254</v>
      </c>
      <c r="C368" s="301" t="s">
        <v>759</v>
      </c>
    </row>
    <row r="369" spans="1:3" x14ac:dyDescent="0.3">
      <c r="A369" s="297">
        <v>364</v>
      </c>
      <c r="B369" s="301" t="s">
        <v>1255</v>
      </c>
      <c r="C369" s="301" t="s">
        <v>1256</v>
      </c>
    </row>
    <row r="370" spans="1:3" x14ac:dyDescent="0.3">
      <c r="A370" s="297">
        <v>365</v>
      </c>
      <c r="B370" s="2" t="s">
        <v>1257</v>
      </c>
      <c r="C370" s="2" t="s">
        <v>759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2024-07-04T19:40:23Z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